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O88" i="14" s="1"/>
  <c r="O18" i="59" s="1"/>
  <c r="K18" i="18"/>
  <c r="N88" i="14" s="1"/>
  <c r="N18" i="59" s="1"/>
  <c r="N20" s="1"/>
  <c r="J18" i="18"/>
  <c r="J88" i="14" s="1"/>
  <c r="J18" i="59" s="1"/>
  <c r="I18" i="18"/>
  <c r="H18"/>
  <c r="G18"/>
  <c r="F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N6" i="17" s="1"/>
  <c r="U61" i="18"/>
  <c r="L6" i="17" s="1"/>
  <c r="T61" i="18"/>
  <c r="S61"/>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F6" i="17"/>
  <c r="D6"/>
  <c r="C6"/>
  <c r="D5"/>
  <c r="B19" i="6"/>
  <c r="B18"/>
  <c r="B5"/>
  <c r="C29" i="14" s="1"/>
  <c r="B6" i="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Q11" s="1"/>
  <c r="G11"/>
  <c r="F11"/>
  <c r="E11"/>
  <c r="D11"/>
  <c r="C11"/>
  <c r="B11"/>
  <c r="P32"/>
  <c r="O32"/>
  <c r="P28"/>
  <c r="O28"/>
  <c r="P27"/>
  <c r="O27"/>
  <c r="P25"/>
  <c r="O25"/>
  <c r="M89" i="14"/>
  <c r="M19" i="59" s="1"/>
  <c r="L89" i="14"/>
  <c r="L19" i="59" s="1"/>
  <c r="K89" i="14"/>
  <c r="K19" i="59" s="1"/>
  <c r="K20" s="1"/>
  <c r="J89" i="14"/>
  <c r="J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B72" i="14"/>
  <c r="B4" i="59" s="1"/>
  <c r="C64" i="14"/>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L22" s="1"/>
  <c r="K19"/>
  <c r="J19"/>
  <c r="I19"/>
  <c r="G19"/>
  <c r="F19"/>
  <c r="E19"/>
  <c r="D19"/>
  <c r="D22" s="1"/>
  <c r="Q48"/>
  <c r="Q52" s="1"/>
  <c r="P48"/>
  <c r="P52" s="1"/>
  <c r="O48"/>
  <c r="M48"/>
  <c r="L48"/>
  <c r="K48"/>
  <c r="J48"/>
  <c r="G48"/>
  <c r="D48"/>
  <c r="Q18"/>
  <c r="Q22" s="1"/>
  <c r="P18"/>
  <c r="P22" s="1"/>
  <c r="O18"/>
  <c r="O22" s="1"/>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78" l="1"/>
  <c r="O9" i="59"/>
  <c r="G9"/>
  <c r="G10" s="1"/>
  <c r="G78" i="14"/>
  <c r="O20" i="59"/>
  <c r="H18"/>
  <c r="H8"/>
  <c r="O10"/>
  <c r="N10"/>
  <c r="L20"/>
  <c r="H89" i="14"/>
  <c r="H19" i="59" s="1"/>
  <c r="L20" i="18"/>
  <c r="K10" i="59"/>
  <c r="H20"/>
  <c r="K20" i="18"/>
  <c r="C98"/>
  <c r="I101" s="1"/>
  <c r="H8" s="1"/>
  <c r="D13" i="15"/>
  <c r="O90" i="14"/>
  <c r="H77"/>
  <c r="H9" i="59" s="1"/>
  <c r="B10" i="18"/>
  <c r="L10"/>
  <c r="C13" i="15"/>
  <c r="L78" i="14"/>
  <c r="L8" i="59"/>
  <c r="L10" s="1"/>
  <c r="O19" i="18"/>
  <c r="K90" i="14"/>
  <c r="E20" i="59"/>
  <c r="E88" i="14"/>
  <c r="E18" i="59" s="1"/>
  <c r="B13" i="15"/>
  <c r="F20" i="18"/>
  <c r="N90" i="14"/>
  <c r="E10" i="59"/>
  <c r="B17" i="18"/>
  <c r="B20" s="1"/>
  <c r="L13" i="15"/>
  <c r="N13"/>
  <c r="Q77" i="14"/>
  <c r="P9" i="59" s="1"/>
  <c r="O9" i="18"/>
  <c r="O18"/>
  <c r="B89" i="14"/>
  <c r="B19" i="59" s="1"/>
  <c r="G88" i="14"/>
  <c r="F89"/>
  <c r="E101" i="18"/>
  <c r="E8" s="1"/>
  <c r="H101"/>
  <c r="D101"/>
  <c r="G101"/>
  <c r="I102"/>
  <c r="H17" s="1"/>
  <c r="E102"/>
  <c r="E17" s="1"/>
  <c r="H102"/>
  <c r="D102"/>
  <c r="G102"/>
  <c r="C102"/>
  <c r="F102"/>
  <c r="B102"/>
  <c r="C17" s="1"/>
  <c r="B88" i="14"/>
  <c r="B18" i="59" s="1"/>
  <c r="B77" i="14"/>
  <c r="B9" i="59" s="1"/>
  <c r="Q14" i="48"/>
  <c r="O24"/>
  <c r="O30"/>
  <c r="P24"/>
  <c r="P30"/>
  <c r="C77" i="14"/>
  <c r="C9" i="59" s="1"/>
  <c r="E78" i="14"/>
  <c r="E90"/>
  <c r="N78"/>
  <c r="G90" l="1"/>
  <c r="G18" i="59"/>
  <c r="G20" s="1"/>
  <c r="C88" i="14"/>
  <c r="C18" i="59" s="1"/>
  <c r="C101" i="18"/>
  <c r="J8" s="1"/>
  <c r="F101"/>
  <c r="H90" i="14"/>
  <c r="C89"/>
  <c r="C19" i="59" s="1"/>
  <c r="F19"/>
  <c r="B101" i="18"/>
  <c r="C8" s="1"/>
  <c r="H10" i="59"/>
  <c r="Q88" i="14"/>
  <c r="P18" i="59" s="1"/>
  <c r="H78" i="14"/>
  <c r="Q89"/>
  <c r="P19" i="59" s="1"/>
  <c r="C20" i="18"/>
  <c r="D87" i="14"/>
  <c r="D17" i="59" s="1"/>
  <c r="D20" s="1"/>
  <c r="D76" i="14"/>
  <c r="D8" i="59" s="1"/>
  <c r="D10" s="1"/>
  <c r="C10" i="18"/>
  <c r="J17"/>
  <c r="F87" i="14"/>
  <c r="E20" i="18"/>
  <c r="E10"/>
  <c r="F76" i="14"/>
  <c r="F8" i="59" s="1"/>
  <c r="F10" s="1"/>
  <c r="I17" i="18"/>
  <c r="H20"/>
  <c r="M87" i="14"/>
  <c r="I8" i="18"/>
  <c r="M76" i="14"/>
  <c r="H10" i="18"/>
  <c r="H14" i="15"/>
  <c r="H16" s="1"/>
  <c r="G14"/>
  <c r="G16" s="1"/>
  <c r="M78" i="14" l="1"/>
  <c r="M8" i="59"/>
  <c r="M10" s="1"/>
  <c r="F90" i="14"/>
  <c r="F17" i="59"/>
  <c r="F20" s="1"/>
  <c r="H5" i="48"/>
  <c r="I10" i="14"/>
  <c r="I16" s="1"/>
  <c r="O17" i="18"/>
  <c r="O20" s="1"/>
  <c r="G5" i="48"/>
  <c r="H10" i="14"/>
  <c r="H16" s="1"/>
  <c r="M90"/>
  <c r="M17" i="59"/>
  <c r="M20" s="1"/>
  <c r="O8" i="18"/>
  <c r="O10" s="1"/>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1"/>
  <c r="E29"/>
  <c r="E30"/>
  <c r="E24"/>
  <c r="M32"/>
  <c r="M25"/>
  <c r="M26"/>
  <c r="M29"/>
  <c r="M22"/>
  <c r="M24"/>
  <c r="M30"/>
  <c r="M23"/>
  <c r="K5"/>
  <c r="L10" i="14"/>
  <c r="L16" s="1"/>
  <c r="L27" s="1"/>
  <c r="D31" i="48"/>
  <c r="D29"/>
  <c r="D30"/>
  <c r="D28"/>
  <c r="D24"/>
  <c r="D32"/>
  <c r="K25"/>
  <c r="K32"/>
  <c r="K31"/>
  <c r="K29"/>
  <c r="K26"/>
  <c r="K28"/>
  <c r="K30"/>
  <c r="K27"/>
  <c r="K24"/>
  <c r="K22"/>
  <c r="B7"/>
  <c r="C24" i="14"/>
  <c r="C26" s="1"/>
  <c r="J32" i="48"/>
  <c r="J29"/>
  <c r="J28"/>
  <c r="J30"/>
  <c r="J24"/>
  <c r="J31"/>
  <c r="J27"/>
  <c r="O4"/>
  <c r="P11" i="14"/>
  <c r="I32" i="48"/>
  <c r="I22"/>
  <c r="I25"/>
  <c r="I26"/>
  <c r="I28"/>
  <c r="I27"/>
  <c r="I29"/>
  <c r="I24"/>
  <c r="I31"/>
  <c r="I30"/>
  <c r="D4"/>
  <c r="D22" s="1"/>
  <c r="E11" i="14"/>
  <c r="H28" i="48"/>
  <c r="H26"/>
  <c r="H32"/>
  <c r="H25"/>
  <c r="H29"/>
  <c r="H24"/>
  <c r="H22"/>
  <c r="H30"/>
  <c r="H23"/>
  <c r="L27"/>
  <c r="L32"/>
  <c r="L31"/>
  <c r="L29"/>
  <c r="L24"/>
  <c r="L22"/>
  <c r="L28"/>
  <c r="L30"/>
  <c r="Q10" i="14"/>
  <c r="P5" i="48"/>
  <c r="P23" s="1"/>
  <c r="Q11" i="14"/>
  <c r="P4" i="48"/>
  <c r="C4"/>
  <c r="D11" i="14"/>
  <c r="G32" i="48"/>
  <c r="G26"/>
  <c r="G30"/>
  <c r="G25"/>
  <c r="G29"/>
  <c r="G24"/>
  <c r="G22"/>
  <c r="G23"/>
  <c r="B4"/>
  <c r="C11" i="14"/>
  <c r="F27" i="48"/>
  <c r="F32"/>
  <c r="F31"/>
  <c r="F29"/>
  <c r="F30"/>
  <c r="F28"/>
  <c r="F24"/>
  <c r="N27"/>
  <c r="N32"/>
  <c r="N31"/>
  <c r="N29"/>
  <c r="N30"/>
  <c r="N28"/>
  <c r="N24"/>
  <c r="C19" i="14"/>
  <c r="B10"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P22" i="48"/>
  <c r="C20" i="14"/>
  <c r="C22" s="1"/>
  <c r="B9" i="48"/>
  <c r="K15"/>
  <c r="K23"/>
  <c r="K33" s="1"/>
  <c r="I5"/>
  <c r="J10" i="14"/>
  <c r="J16" s="1"/>
  <c r="J27" s="1"/>
  <c r="M12" i="22"/>
  <c r="N18" i="14"/>
  <c r="M13" i="48"/>
  <c r="M31" s="1"/>
  <c r="G13"/>
  <c r="H18" i="14"/>
  <c r="H13" i="48"/>
  <c r="H31" s="1"/>
  <c r="I18" i="14"/>
  <c r="O22" i="48"/>
  <c r="J12" i="17"/>
  <c r="K54" i="14" s="1"/>
  <c r="K56" s="1"/>
  <c r="J46"/>
  <c r="J61" s="1"/>
  <c r="Q16"/>
  <c r="Q27" s="1"/>
  <c r="Q63" s="1"/>
  <c r="D9" i="48"/>
  <c r="D27" s="1"/>
  <c r="E20" i="14"/>
  <c r="E22" s="1"/>
  <c r="O5" i="48"/>
  <c r="O23" s="1"/>
  <c r="P10" i="14"/>
  <c r="F4" i="48"/>
  <c r="F22" s="1"/>
  <c r="G11" i="14"/>
  <c r="P8" i="48"/>
  <c r="P26" s="1"/>
  <c r="Q13" i="14"/>
  <c r="F20"/>
  <c r="F22" s="1"/>
  <c r="E9" i="48"/>
  <c r="E27"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O11" i="14"/>
  <c r="N4" i="48"/>
  <c r="N22" s="1"/>
  <c r="G10"/>
  <c r="H19" i="14"/>
  <c r="I23" i="48"/>
  <c r="I33" s="1"/>
  <c r="I15"/>
  <c r="J63" i="14"/>
  <c r="H20"/>
  <c r="G9" i="48"/>
  <c r="I20" i="14"/>
  <c r="I22" s="1"/>
  <c r="I27" s="1"/>
  <c r="H9" i="48"/>
  <c r="G31"/>
  <c r="Q13"/>
  <c r="M10"/>
  <c r="M28" s="1"/>
  <c r="N19" i="14"/>
  <c r="R18"/>
  <c r="J4" i="48"/>
  <c r="K11" i="14"/>
  <c r="F24"/>
  <c r="F26" s="1"/>
  <c r="E7" i="48"/>
  <c r="E25" s="1"/>
  <c r="O22" i="16"/>
  <c r="P43" i="14" s="1"/>
  <c r="O8" i="48"/>
  <c r="O26" s="1"/>
  <c r="O33" s="1"/>
  <c r="P13" i="14"/>
  <c r="P16" s="1"/>
  <c r="P27" s="1"/>
  <c r="P46"/>
  <c r="P61" s="1"/>
  <c r="P15" i="48"/>
  <c r="M14" i="22"/>
  <c r="P33"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F10" i="14"/>
  <c r="E5" i="48"/>
  <c r="E23" s="1"/>
  <c r="H27"/>
  <c r="H33" s="1"/>
  <c r="H15"/>
  <c r="J5"/>
  <c r="J23" s="1"/>
  <c r="K10" i="14"/>
  <c r="E22" i="48"/>
  <c r="Q4"/>
  <c r="R19" i="14"/>
  <c r="R11"/>
  <c r="G28" i="48"/>
  <c r="Q10"/>
  <c r="N20" i="14"/>
  <c r="R20" s="1"/>
  <c r="M9" i="48"/>
  <c r="G27"/>
  <c r="G33" s="1"/>
  <c r="G15"/>
  <c r="H22" i="14"/>
  <c r="H27" s="1"/>
  <c r="P63"/>
  <c r="O15" i="48"/>
  <c r="Q7"/>
  <c r="E20" i="15"/>
  <c r="F40" i="14" s="1"/>
  <c r="J18" i="16"/>
  <c r="E18"/>
  <c r="F18"/>
  <c r="F22" s="1"/>
  <c r="G43" i="14" s="1"/>
  <c r="N18" i="16"/>
  <c r="G18" i="22"/>
  <c r="H50" i="14" s="1"/>
  <c r="H52" s="1"/>
  <c r="H61" s="1"/>
  <c r="H63" s="1"/>
  <c r="E22" i="16"/>
  <c r="F43" i="14" s="1"/>
  <c r="H18" i="22"/>
  <c r="I50" i="14" s="1"/>
  <c r="I52" s="1"/>
  <c r="I61" s="1"/>
  <c r="I63" s="1"/>
  <c r="R22" l="1"/>
  <c r="J22" i="16"/>
  <c r="K43" i="14" s="1"/>
  <c r="K46" s="1"/>
  <c r="K61" s="1"/>
  <c r="J8" i="48"/>
  <c r="K13" i="14"/>
  <c r="K16" s="1"/>
  <c r="K27" s="1"/>
  <c r="E8" i="48"/>
  <c r="F13" i="14"/>
  <c r="F16" s="1"/>
  <c r="F27" s="1"/>
  <c r="F46"/>
  <c r="F61" s="1"/>
  <c r="N22"/>
  <c r="N27" s="1"/>
  <c r="N63" s="1"/>
  <c r="M27" i="48"/>
  <c r="M33" s="1"/>
  <c r="M15"/>
  <c r="Q9"/>
  <c r="N8"/>
  <c r="N26" s="1"/>
  <c r="O13" i="14"/>
  <c r="N22" i="16"/>
  <c r="O43" i="14" s="1"/>
  <c r="G13"/>
  <c r="F8" i="48"/>
  <c r="J26" l="1"/>
  <c r="J33" s="1"/>
  <c r="J15"/>
  <c r="F63" i="14"/>
  <c r="K63"/>
  <c r="R13"/>
  <c r="E26" i="48"/>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<sst xmlns="http://schemas.openxmlformats.org/spreadsheetml/2006/main" count="2401" uniqueCount="897">
  <si>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</si>
  <si>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</si>
  <si>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</si>
  <si>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</si>
  <si>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</si>
  <si>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</si>
  <si>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</si>
  <si>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</si>
  <si>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</si>
  <si>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</si>
  <si>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</si>
  <si>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</si>
  <si>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</si>
  <si>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</si>
  <si>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</si>
  <si>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</si>
  <si>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</si>
  <si>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</si>
  <si>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</si>
  <si>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</si>
  <si>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</si>
  <si>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</si>
  <si>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</si>
  <si>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</si>
  <si>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</si>
  <si>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</si>
  <si>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</si>
  <si>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</si>
  <si>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</si>
  <si>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</si>
  <si>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</si>
  <si>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</si>
  <si>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</si>
  <si>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</si>
  <si>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</si>
  <si>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</si>
  <si>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</si>
  <si>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</si>
  <si>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</si>
  <si>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</si>
  <si>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</si>
  <si>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</si>
  <si>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</si>
  <si>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</si>
  <si>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</si>
  <si>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</si>
  <si>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</si>
  <si>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</si>
  <si>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</si>
  <si>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</si>
  <si>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</si>
  <si>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</si>
  <si>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</si>
  <si>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</si>
  <si>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</si>
  <si>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</si>
  <si>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</si>
  <si>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</si>
  <si>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</si>
  <si>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</si>
  <si>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</si>
  <si>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</si>
  <si>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</si>
  <si>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</si>
  <si>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</si>
  <si>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</si>
  <si>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</si>
  <si>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</si>
  <si>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</si>
  <si>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</si>
  <si>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</si>
  <si>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</si>
  <si>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</si>
  <si>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</si>
  <si>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</si>
  <si>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</si>
  <si>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</si>
  <si>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</si>
  <si>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</si>
  <si>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</si>
  <si>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</si>
  <si>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</si>
  <si>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</si>
  <si>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</si>
  <si>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</si>
  <si>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</si>
  <si>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</si>
  <si>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</si>
  <si>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</si>
  <si>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</si>
  <si>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</si>
  <si>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</si>
  <si>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</si>
  <si>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</si>
  <si>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</si>
  <si>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</si>
  <si>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</si>
  <si>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</si>
  <si>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</si>
  <si>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</si>
  <si>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</si>
  <si>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</si>
  <si>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</si>
  <si>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</si>
  <si>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</si>
  <si>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</si>
  <si>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</si>
  <si>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</si>
  <si>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</si>
  <si>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</si>
  <si>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</si>
  <si>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</si>
  <si>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</si>
  <si>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</si>
  <si>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</si>
  <si>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</si>
  <si>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</si>
  <si>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</si>
  <si>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</si>
  <si>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</si>
  <si>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</si>
  <si>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</si>
  <si>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</si>
  <si>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</si>
  <si>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</si>
  <si>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</si>
  <si>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</si>
  <si>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</si>
  <si>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</si>
  <si>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</si>
  <si>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</si>
  <si>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</si>
  <si>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</si>
  <si>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</si>
  <si>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</si>
  <si>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</si>
  <si>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</si>
  <si>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</si>
  <si>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</si>
  <si>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</si>
  <si>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</si>
  <si>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</si>
  <si>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</si>
  <si>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</si>
  <si>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</si>
  <si>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</si>
  <si>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</si>
  <si>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</si>
  <si>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</si>
  <si>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</si>
  <si>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</si>
  <si>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</si>
  <si>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</si>
  <si>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</si>
  <si>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</si>
  <si>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</si>
  <si>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</si>
  <si>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</si>
  <si>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</si>
  <si>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</si>
  <si>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</si>
  <si>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</si>
  <si>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</si>
  <si>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</si>
  <si>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</si>
  <si>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</si>
  <si>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</si>
  <si>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</si>
  <si>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</si>
  <si>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</si>
  <si>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</si>
  <si>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</si>
  <si>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</si>
  <si>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</si>
  <si>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</si>
  <si>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</si>
  <si>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</si>
  <si>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</si>
  <si>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</si>
  <si>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</si>
  <si>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</si>
  <si>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</si>
  <si>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</si>
  <si>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</si>
  <si>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</si>
  <si>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</si>
  <si>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</si>
  <si>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</si>
  <si>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</si>
  <si>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</si>
  <si>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</si>
  <si>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</si>
  <si>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</si>
  <si>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</si>
  <si>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</si>
  <si>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</si>
  <si>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</si>
  <si>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</si>
  <si>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</si>
  <si>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</si>
  <si>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</si>
  <si>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</si>
  <si>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</si>
  <si>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</si>
  <si>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</si>
  <si>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</si>
  <si>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</si>
  <si>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</si>
  <si>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</si>
  <si>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</si>
  <si>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</si>
  <si>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</si>
  <si>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</si>
  <si>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</si>
  <si>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</si>
  <si>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</si>
  <si>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</si>
  <si>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</si>
  <si>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</si>
  <si>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</si>
  <si>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</si>
  <si>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</si>
  <si>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</si>
  <si>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</si>
  <si>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</si>
  <si>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</si>
  <si>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</si>
  <si>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</si>
  <si>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</si>
  <si>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</si>
  <si>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</si>
  <si>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</si>
  <si>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</si>
  <si>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</si>
  <si>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</si>
  <si>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</si>
  <si>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</si>
  <si>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</si>
  <si>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</si>
  <si>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</si>
  <si>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</si>
  <si>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</si>
  <si>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</si>
  <si>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</si>
  <si>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</si>
  <si>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</si>
  <si>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</si>
  <si>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</si>
  <si>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</si>
  <si>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</si>
  <si>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</si>
  <si>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</si>
  <si>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</si>
  <si>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</si>
  <si>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</si>
  <si>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</si>
  <si>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</si>
  <si>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</si>
  <si>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</si>
  <si>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</si>
  <si>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</si>
  <si>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</si>
  <si>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</si>
  <si>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</si>
  <si>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</si>
  <si>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</si>
  <si>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</si>
  <si>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</si>
  <si>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</si>
  <si>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</si>
  <si>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</si>
  <si>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</si>
  <si>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</si>
  <si>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</si>
  <si>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</si>
  <si>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</si>
  <si>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</si>
  <si>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</si>
  <si>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</si>
  <si>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</si>
  <si>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</si>
  <si>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</si>
  <si>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</si>
  <si>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</si>
  <si>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</si>
  <si>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</si>
  <si>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</si>
  <si>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</si>
  <si>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</si>
  <si>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</si>
  <si>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</si>
  <si>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</si>
  <si>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</si>
  <si>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</si>
  <si>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</si>
  <si>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</si>
  <si>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</si>
  <si>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</si>
  <si>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</si>
  <si>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</si>
  <si>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</si>
  <si>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</si>
  <si>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</si>
  <si>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</si>
  <si>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</si>
  <si>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</si>
  <si>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</si>
  <si>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</si>
  <si>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</si>
  <si>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</si>
  <si>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</si>
  <si>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</si>
  <si>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</si>
  <si>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</si>
  <si>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</si>
  <si>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</si>
  <si>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</si>
  <si>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</si>
  <si>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</si>
  <si>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</si>
  <si>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</si>
  <si>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</si>
  <si>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</si>
  <si>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</si>
  <si>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</si>
  <si>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</si>
  <si>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</si>
  <si>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</si>
  <si>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</si>
  <si>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</si>
  <si>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</si>
  <si>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</si>
  <si>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</si>
  <si>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</si>
  <si>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</si>
  <si>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</si>
  <si>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</si>
  <si>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</si>
  <si>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</si>
  <si>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</si>
  <si>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</si>
  <si>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</si>
  <si>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</si>
  <si>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</si>
  <si>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</si>
  <si>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</si>
  <si>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</si>
  <si>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</si>
  <si>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</si>
  <si>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</si>
  <si>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</si>
  <si>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</si>
  <si>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</si>
  <si>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</si>
  <si>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</si>
  <si>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</si>
  <si>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</si>
  <si>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</si>
  <si>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</si>
  <si>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</si>
  <si>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</si>
  <si>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</si>
  <si>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</si>
  <si>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</si>
  <si>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</si>
  <si>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</si>
  <si>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</si>
  <si>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</si>
  <si>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</si>
  <si>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</si>
  <si>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</si>
  <si>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</si>
  <si>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</si>
  <si>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</si>
  <si>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</si>
  <si>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</si>
  <si>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</si>
  <si>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</si>
  <si>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</si>
  <si>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</si>
  <si>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</si>
  <si>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</si>
  <si>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</si>
  <si>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</si>
  <si>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</si>
  <si>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</si>
  <si>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</si>
  <si>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</si>
  <si>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</si>
  <si>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</si>
  <si>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</si>
  <si>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</si>
  <si>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</si>
  <si>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</si>
  <si>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</si>
  <si>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</si>
  <si>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</si>
  <si>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</si>
  <si>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</si>
  <si>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</si>
  <si>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</si>
  <si>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</si>
  <si>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</si>
  <si>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</si>
  <si>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</si>
  <si>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</si>
  <si>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</si>
  <si>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</si>
  <si>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</si>
  <si>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</si>
  <si>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</si>
  <si>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</si>
  <si>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</si>
  <si>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</si>
  <si>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</si>
  <si>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</si>
  <si>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</si>
  <si>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</si>
  <si>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</si>
  <si>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</si>
  <si>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</si>
  <si>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</si>
  <si>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</si>
  <si>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</si>
  <si>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</si>
  <si>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</si>
  <si>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</si>
  <si>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</si>
  <si>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</si>
  <si>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</si>
  <si>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</si>
  <si>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</si>
  <si>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</si>
  <si>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</si>
  <si>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</si>
  <si>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</si>
  <si>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</si>
  <si>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</si>
  <si>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</si>
  <si>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</si>
  <si>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</si>
  <si>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</si>
  <si>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</si>
  <si>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</si>
  <si>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</si>
  <si>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</si>
  <si>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</si>
  <si>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</si>
  <si>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</si>
  <si>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</si>
  <si>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</si>
  <si>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</si>
  <si>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</si>
  <si>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</si>
  <si>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</si>
  <si>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</si>
  <si>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</si>
  <si>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</si>
  <si>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</si>
  <si>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</si>
  <si>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</si>
  <si>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</si>
  <si>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</si>
  <si>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</si>
  <si>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</si>
  <si>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</si>
  <si>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</si>
  <si>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</si>
  <si>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</si>
  <si>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</si>
  <si>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</si>
  <si>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</si>
  <si>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</si>
  <si>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</si>
  <si>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</si>
  <si>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</si>
  <si>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</si>
  <si>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</si>
  <si>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</si>
  <si>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</si>
  <si>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</si>
  <si>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</si>
  <si>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</si>
  <si>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</si>
  <si>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</si>
  <si>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</si>
  <si>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</si>
  <si>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</si>
  <si>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</si>
  <si>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</si>
  <si>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</si>
  <si>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</si>
  <si>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</si>
  <si>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</si>
  <si>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</si>
  <si>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</si>
  <si>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</si>
  <si>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</si>
  <si>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</si>
  <si>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</si>
  <si>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</si>
  <si>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</si>
  <si>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</si>
  <si>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</si>
  <si>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</si>
  <si>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</si>
  <si>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</si>
  <si>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</si>
  <si>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</si>
  <si>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</si>
  <si>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</si>
  <si>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</si>
  <si>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</si>
  <si>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</si>
  <si>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</si>
  <si>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</si>
  <si>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</si>
  <si>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</si>
  <si>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</si>
  <si>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</si>
  <si>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</si>
  <si>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</si>
  <si>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</si>
  <si>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</si>
  <si>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</si>
  <si>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</si>
  <si>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</si>
  <si>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</si>
  <si>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</si>
  <si>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</si>
  <si>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</si>
  <si>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</si>
  <si>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</si>
  <si>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</si>
  <si>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</si>
  <si>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</si>
  <si>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</si>
  <si>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</si>
  <si>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</si>
  <si>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</si>
  <si>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</si>
  <si>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</si>
  <si>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</si>
  <si>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</si>
  <si>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</si>
  <si>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</si>
  <si>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</si>
  <si>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</si>
  <si>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</si>
  <si>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</si>
  <si>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</si>
  <si>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</si>
  <si>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</si>
  <si>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</si>
  <si>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</si>
  <si>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</si>
  <si>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</si>
  <si>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</si>
  <si>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</si>
  <si>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</si>
  <si>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</si>
  <si>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</si>
  <si>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</si>
  <si>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</si>
  <si>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</si>
  <si>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</si>
  <si>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</si>
  <si>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</si>
  <si>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</si>
  <si>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</si>
  <si>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</si>
  <si>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</si>
  <si>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</si>
  <si>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</si>
  <si>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</si>
  <si>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</si>
  <si>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</si>
  <si>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</si>
  <si>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</si>
  <si>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</si>
  <si>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</si>
  <si>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</si>
  <si>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</si>
  <si>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</si>
  <si>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</si>
  <si>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</si>
  <si>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</si>
  <si>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</si>
  <si>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</si>
  <si>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</si>
  <si>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</si>
  <si>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</si>
  <si>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</si>
  <si>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</si>
  <si>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</si>
  <si>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</si>
  <si>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</si>
  <si>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</si>
  <si>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</si>
  <si>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</si>
  <si>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</si>
  <si>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</si>
  <si>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</si>
  <si>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</si>
  <si>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</si>
  <si>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</si>
  <si>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</si>
  <si>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</si>
  <si>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</si>
  <si>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</si>
  <si>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</si>
  <si>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</si>
  <si>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</si>
  <si>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</si>
  <si>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</si>
  <si>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</si>
  <si>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</si>
  <si>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</si>
  <si>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</si>
  <si>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</si>
  <si>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</si>
  <si>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</si>
  <si>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</si>
  <si>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</si>
  <si>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</si>
  <si>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</si>
  <si>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</si>
  <si>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</si>
  <si>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</si>
  <si>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</si>
  <si>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</si>
  <si>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</si>
  <si>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</si>
  <si>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</si>
  <si>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</si>
  <si>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</si>
  <si>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</si>
  <si>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</si>
  <si>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</si>
  <si>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</si>
  <si>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</si>
  <si>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</si>
  <si>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</si>
  <si>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</si>
  <si>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</si>
  <si>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</si>
  <si>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</si>
  <si>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</si>
  <si>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</si>
  <si>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</si>
  <si>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</si>
  <si>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</si>
  <si>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</si>
  <si>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</si>
  <si>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</si>
  <si>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</si>
  <si>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</si>
  <si>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</si>
  <si>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</si>
  <si>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</si>
  <si>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</si>
  <si>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</si>
  <si>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</si>
  <si>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</si>
  <si>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</si>
  <si>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</si>
  <si>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</si>
  <si>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</si>
  <si>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</si>
  <si>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</si>
  <si>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</si>
  <si>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</si>
  <si>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</si>
  <si>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</si>
  <si>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</si>
  <si>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</si>
  <si>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</si>
  <si>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</si>
  <si>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</si>
  <si>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</si>
  <si>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</si>
  <si>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</si>
  <si>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</si>
  <si>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</si>
  <si>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</si>
  <si>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</si>
  <si>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</si>
  <si>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</si>
  <si>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</si>
  <si>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</si>
  <si>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</si>
  <si>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</si>
  <si>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</si>
  <si>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</si>
  <si>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</si>
  <si>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</si>
  <si>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</si>
  <si>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</si>
  <si>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</si>
  <si>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</si>
  <si>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</si>
  <si>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</si>
  <si>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</si>
  <si>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</si>
  <si>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</si>
  <si>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</si>
  <si>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</si>
  <si>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</si>
  <si>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</si>
  <si>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</si>
  <si>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</si>
  <si>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</si>
  <si>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</si>
  <si>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</si>
  <si>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</si>
  <si>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</si>
  <si>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</si>
  <si>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</si>
  <si>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</si>
  <si>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</si>
  <si>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</si>
  <si>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</si>
  <si>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</si>
  <si>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</si>
  <si>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</si>
  <si>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</si>
  <si>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</si>
  <si>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</si>
  <si>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</si>
  <si>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</si>
  <si>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</si>
  <si>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</si>
  <si>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</si>
  <si>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</si>
  <si>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</si>
  <si>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</si>
  <si>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</si>
  <si>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</si>
  <si>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</si>
  <si>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</si>
  <si>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</si>
  <si>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</si>
  <si>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</si>
  <si>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</si>
  <si>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</si>
  <si>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</si>
  <si>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</si>
  <si>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</si>
  <si>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</si>
  <si>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</si>
  <si>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</si>
  <si>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</si>
  <si>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</si>
  <si>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</si>
  <si>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</si>
  <si>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</si>
  <si>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</si>
  <si>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</si>
  <si>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</si>
  <si>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</si>
  <si>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</si>
  <si>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</si>
  <si>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</si>
  <si>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</si>
  <si>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</si>
  <si>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</si>
  <si>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</si>
  <si>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</si>
  <si>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</si>
  <si>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</si>
  <si>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</si>
  <si>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</si>
  <si>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</si>
  <si>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</si>
  <si>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</si>
  <si>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</si>
  <si>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</si>
  <si>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</si>
  <si>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</si>
  <si>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</si>
  <si>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</si>
  <si>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</si>
  <si>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</si>
  <si>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</si>
  <si>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</si>
  <si>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</si>
  <si>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</si>
  <si>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</si>
  <si>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</si>
  <si>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</si>
  <si>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</si>
  <si>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</si>
  <si>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</si>
  <si>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</si>
  <si>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</si>
  <si>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</si>
  <si>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</si>
  <si>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</si>
  <si>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</si>
  <si>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</si>
  <si>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</si>
  <si>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</si>
  <si>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</si>
  <si>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</si>
  <si>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</si>
  <si>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</si>
  <si>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</si>
  <si>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</si>
  <si>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</si>
  <si>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</si>
  <si>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</si>
  <si>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</si>
  <si>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</si>
  <si>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</si>
  <si>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</si>
  <si>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</si>
  <si>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</si>
  <si>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</si>
  <si>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</si>
  <si>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</si>
  <si>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</si>
  <si>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</si>
  <si>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</si>
  <si>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</si>
  <si>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</si>
  <si>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</si>
  <si>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</si>
  <si>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</si>
  <si>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</si>
  <si>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</si>
  <si>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</si>
  <si>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</si>
  <si>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</si>
  <si>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</si>
  <si>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</si>
  <si>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</si>
  <si>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</si>
  <si>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</si>
  <si>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</si>
  <si>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</si>
  <si>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</si>
  <si>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</si>
  <si>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</si>
  <si>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</si>
  <si>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</si>
  <si>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</si>
  <si>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</si>
  <si>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</si>
  <si>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</si>
  <si>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</si>
  <si>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</si>
  <si>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</si>
  <si>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</si>
  <si>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</si>
  <si>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</si>
  <si>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</si>
  <si>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</si>
  <si>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</si>
  <si>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</si>
  <si>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</si>
  <si>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</si>
  <si>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</si>
  <si>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</si>
  <si>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</si>
  <si>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</si>
  <si>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</si>
  <si>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</si>
  <si>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</si>
  <si>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</si>
  <si>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</si>
  <si>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</si>
  <si>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</si>
  <si>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</si>
  <si>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</si>
  <si>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</si>
  <si>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</si>
  <si>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</si>
  <si>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</si>
  <si>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</si>
  <si>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</si>
  <si>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</si>
  <si>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</si>
  <si>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12007</t>
  </si>
  <si>
    <t>BORNEM</t>
  </si>
  <si>
    <t>Paarden&amp;pony's 200 - 600 kg</t>
  </si>
  <si>
    <t>Paarden&amp;pony's &lt; 200 kg</t>
  </si>
  <si>
    <t>referentietaak LNE (2017); Jaarverslag De Lijn (2015)</t>
  </si>
  <si>
    <t>op basis van VEA (maart 2018) en Inventaris Hernieuwbare Energiebronnen (juni 2018)</t>
  </si>
  <si>
    <t>VEA (januari 2017)</t>
  </si>
  <si>
    <t>VEA (juni 2018)</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</si>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</sst>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151336.22906800808</c:v>
                </c:pt>
                <c:pt idx="1">
                  <c:v>85127.377557843487</c:v>
                </c:pt>
                <c:pt idx="2">
                  <c:v>1712.671</c:v>
                </c:pt>
                <c:pt idx="3">
                  <c:v>4185.0846375010051</c:v>
                </c:pt>
                <c:pt idx="4">
                  <c:v>193844.63355379773</c:v>
                </c:pt>
                <c:pt idx="5">
                  <c:v>106871.55016451089</c:v>
                </c:pt>
                <c:pt idx="6">
                  <c:v>651.1356424514845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151336.22906800808</c:v>
                </c:pt>
                <c:pt idx="1">
                  <c:v>85127.377557843487</c:v>
                </c:pt>
                <c:pt idx="2">
                  <c:v>1712.671</c:v>
                </c:pt>
                <c:pt idx="3">
                  <c:v>4185.0846375010051</c:v>
                </c:pt>
                <c:pt idx="4">
                  <c:v>193844.63355379773</c:v>
                </c:pt>
                <c:pt idx="5">
                  <c:v>106871.55016451089</c:v>
                </c:pt>
                <c:pt idx="6">
                  <c:v>651.1356424514845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26606.407802176418</c:v>
                </c:pt>
                <c:pt idx="2">
                  <c:v>17090.379808195677</c:v>
                </c:pt>
                <c:pt idx="3">
                  <c:v>344.26785269936005</c:v>
                </c:pt>
                <c:pt idx="4">
                  <c:v>1008.6123929893275</c:v>
                </c:pt>
                <c:pt idx="5">
                  <c:v>38463.563738768724</c:v>
                </c:pt>
                <c:pt idx="6">
                  <c:v>27352.267695894923</c:v>
                </c:pt>
                <c:pt idx="7">
                  <c:v>168.62291107321164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88992"/>
      </c:barChart>
      <c:catAx>
        <c:axId val="183852032"/>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26606.407802176418</c:v>
                </c:pt>
                <c:pt idx="2">
                  <c:v>17090.379808195677</c:v>
                </c:pt>
                <c:pt idx="3">
                  <c:v>344.26785269936005</c:v>
                </c:pt>
                <c:pt idx="4">
                  <c:v>1008.6123929893275</c:v>
                </c:pt>
                <c:pt idx="5">
                  <c:v>38463.563738768724</c:v>
                </c:pt>
                <c:pt idx="6">
                  <c:v>27352.267695894923</c:v>
                </c:pt>
                <c:pt idx="7">
                  <c:v>168.62291107321164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34332.154043429997</v>
      </c>
      <c r="D10" s="1012">
        <f ca="1">tertiair!C16</f>
        <v>0</v>
      </c>
      <c r="E10" s="1012">
        <f ca="1">tertiair!D16</f>
        <v>40930.418728661003</v>
      </c>
      <c r="F10" s="1012">
        <f>tertiair!E16</f>
        <v>630.76025054934576</v>
      </c>
      <c r="G10" s="1012">
        <f ca="1">tertiair!F16</f>
        <v>7948.8274889667828</v>
      </c>
      <c r="H10" s="1012">
        <f>tertiair!G16</f>
        <v>0</v>
      </c>
      <c r="I10" s="1012">
        <f>tertiair!H16</f>
        <v>0</v>
      </c>
      <c r="J10" s="1012">
        <f>tertiair!I16</f>
        <v>0</v>
      </c>
      <c r="K10" s="1012">
        <f>tertiair!J16</f>
        <v>0</v>
      </c>
      <c r="L10" s="1012">
        <f>tertiair!K16</f>
        <v>0</v>
      </c>
      <c r="M10" s="1012">
        <f ca="1">tertiair!L16</f>
        <v>0</v>
      </c>
      <c r="N10" s="1012">
        <f>tertiair!M16</f>
        <v>0</v>
      </c>
      <c r="O10" s="1012">
        <f ca="1">tertiair!N16</f>
        <v>2935.9980462363592</v>
      </c>
      <c r="P10" s="1012">
        <f>tertiair!O16</f>
        <v>4.6900000000000004</v>
      </c>
      <c r="Q10" s="1013">
        <f>tertiair!P16</f>
        <v>57.2</v>
      </c>
      <c r="R10" s="700">
        <f ca="1">SUM(C10:Q10)</f>
        <v>86840.048557843475</v>
      </c>
      <c r="S10" s="67"/>
    </row>
    <row r="11" spans="1:19" s="473" customFormat="1">
      <c r="A11" s="809" t="s">
        <v>225</v>
      </c>
      <c r="B11" s="814"/>
      <c r="C11" s="1012">
        <f>huishoudens!B8</f>
        <v>36166.142555930404</v>
      </c>
      <c r="D11" s="1012">
        <f>huishoudens!C8</f>
        <v>0</v>
      </c>
      <c r="E11" s="1012">
        <f>huishoudens!D8</f>
        <v>92408.012628140001</v>
      </c>
      <c r="F11" s="1012">
        <f>huishoudens!E8</f>
        <v>2952.209387925885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19070.557829345104</v>
      </c>
      <c r="P11" s="1012">
        <f>huishoudens!O8</f>
        <v>262.64000000000004</v>
      </c>
      <c r="Q11" s="1013">
        <f>huishoudens!P8</f>
        <v>476.66666666666663</v>
      </c>
      <c r="R11" s="700">
        <f>SUM(C11:Q11)</f>
        <v>151336.22906800808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66533.100233800011</v>
      </c>
      <c r="D13" s="1012">
        <f>industrie!C18</f>
        <v>5785.7142857142862</v>
      </c>
      <c r="E13" s="1012">
        <f>industrie!D18</f>
        <v>65667.364550972008</v>
      </c>
      <c r="F13" s="1012">
        <f>industrie!E18</f>
        <v>8847.2508064324738</v>
      </c>
      <c r="G13" s="1012">
        <f>industrie!F18</f>
        <v>31258.161552873506</v>
      </c>
      <c r="H13" s="1012">
        <f>industrie!G18</f>
        <v>0</v>
      </c>
      <c r="I13" s="1012">
        <f>industrie!H18</f>
        <v>0</v>
      </c>
      <c r="J13" s="1012">
        <f>industrie!I18</f>
        <v>0</v>
      </c>
      <c r="K13" s="1012">
        <f>industrie!J18</f>
        <v>269.98534929599128</v>
      </c>
      <c r="L13" s="1012">
        <f>industrie!K18</f>
        <v>0</v>
      </c>
      <c r="M13" s="1012">
        <f>industrie!L18</f>
        <v>0</v>
      </c>
      <c r="N13" s="1012">
        <f>industrie!M18</f>
        <v>0</v>
      </c>
      <c r="O13" s="1012">
        <f>industrie!N18</f>
        <v>15483.056774709454</v>
      </c>
      <c r="P13" s="1012">
        <f>industrie!O18</f>
        <v>0</v>
      </c>
      <c r="Q13" s="1013">
        <f>industrie!P18</f>
        <v>0</v>
      </c>
      <c r="R13" s="700">
        <f>SUM(C13:Q13)</f>
        <v>193844.63355379773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137031.39683316043</v>
      </c>
      <c r="D16" s="732">
        <f t="shared" ref="D16:R16" ca="1" si="0">SUM(D9:D15)</f>
        <v>5785.7142857142862</v>
      </c>
      <c r="E16" s="732">
        <f t="shared" ca="1" si="0"/>
        <v>199005.79590777302</v>
      </c>
      <c r="F16" s="732">
        <f t="shared" si="0"/>
        <v>12430.220444907703</v>
      </c>
      <c r="G16" s="732">
        <f t="shared" ca="1" si="0"/>
        <v>39206.989041840287</v>
      </c>
      <c r="H16" s="732">
        <f t="shared" si="0"/>
        <v>0</v>
      </c>
      <c r="I16" s="732">
        <f t="shared" si="0"/>
        <v>0</v>
      </c>
      <c r="J16" s="732">
        <f t="shared" si="0"/>
        <v>0</v>
      </c>
      <c r="K16" s="732">
        <f t="shared" si="0"/>
        <v>269.98534929599128</v>
      </c>
      <c r="L16" s="732">
        <f t="shared" si="0"/>
        <v>0</v>
      </c>
      <c r="M16" s="732">
        <f t="shared" ca="1" si="0"/>
        <v>0</v>
      </c>
      <c r="N16" s="732">
        <f t="shared" si="0"/>
        <v>0</v>
      </c>
      <c r="O16" s="732">
        <f t="shared" ca="1" si="0"/>
        <v>37489.612650290917</v>
      </c>
      <c r="P16" s="732">
        <f t="shared" si="0"/>
        <v>267.33000000000004</v>
      </c>
      <c r="Q16" s="732">
        <f t="shared" si="0"/>
        <v>533.86666666666667</v>
      </c>
      <c r="R16" s="732">
        <f t="shared" ca="1" si="0"/>
        <v>432020.91117964929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631.54648342026826</v>
      </c>
      <c r="I19" s="1012">
        <f>transport!H54</f>
        <v>0</v>
      </c>
      <c r="J19" s="1012">
        <f>transport!I54</f>
        <v>0</v>
      </c>
      <c r="K19" s="1012">
        <f>transport!J54</f>
        <v>0</v>
      </c>
      <c r="L19" s="1012">
        <f>transport!K54</f>
        <v>0</v>
      </c>
      <c r="M19" s="1012">
        <f>transport!L54</f>
        <v>0</v>
      </c>
      <c r="N19" s="1012">
        <f>transport!M54</f>
        <v>19.589159031216187</v>
      </c>
      <c r="O19" s="1012">
        <f>transport!N54</f>
        <v>0</v>
      </c>
      <c r="P19" s="1012">
        <f>transport!O54</f>
        <v>0</v>
      </c>
      <c r="Q19" s="1013">
        <f>transport!P54</f>
        <v>0</v>
      </c>
      <c r="R19" s="700">
        <f>SUM(C19:Q19)</f>
        <v>651.1356424514845</v>
      </c>
      <c r="S19" s="67"/>
    </row>
    <row r="20" spans="1:19" s="473" customFormat="1">
      <c r="A20" s="809" t="s">
        <v>307</v>
      </c>
      <c r="B20" s="814"/>
      <c r="C20" s="1012">
        <f>transport!B14</f>
        <v>27.708843529872436</v>
      </c>
      <c r="D20" s="1012">
        <f>transport!C14</f>
        <v>0</v>
      </c>
      <c r="E20" s="1012">
        <f>transport!D14</f>
        <v>63.060392343343416</v>
      </c>
      <c r="F20" s="1012">
        <f>transport!E14</f>
        <v>242.72561444225198</v>
      </c>
      <c r="G20" s="1012">
        <f>transport!F14</f>
        <v>0</v>
      </c>
      <c r="H20" s="1012">
        <f>transport!G14</f>
        <v>86378.567131769581</v>
      </c>
      <c r="I20" s="1012">
        <f>transport!H14</f>
        <v>16930.857594272773</v>
      </c>
      <c r="J20" s="1012">
        <f>transport!I14</f>
        <v>0</v>
      </c>
      <c r="K20" s="1012">
        <f>transport!J14</f>
        <v>0</v>
      </c>
      <c r="L20" s="1012">
        <f>transport!K14</f>
        <v>0</v>
      </c>
      <c r="M20" s="1012">
        <f>transport!L14</f>
        <v>0</v>
      </c>
      <c r="N20" s="1012">
        <f>transport!M14</f>
        <v>3228.6305881530639</v>
      </c>
      <c r="O20" s="1012">
        <f>transport!N14</f>
        <v>0</v>
      </c>
      <c r="P20" s="1012">
        <f>transport!O14</f>
        <v>0</v>
      </c>
      <c r="Q20" s="1013">
        <f>transport!P14</f>
        <v>0</v>
      </c>
      <c r="R20" s="700">
        <f>SUM(C20:Q20)</f>
        <v>106871.55016451089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27.708843529872436</v>
      </c>
      <c r="D22" s="812">
        <f t="shared" ref="D22:R22" si="1">SUM(D18:D21)</f>
        <v>0</v>
      </c>
      <c r="E22" s="812">
        <f t="shared" si="1"/>
        <v>63.060392343343416</v>
      </c>
      <c r="F22" s="812">
        <f t="shared" si="1"/>
        <v>242.72561444225198</v>
      </c>
      <c r="G22" s="812">
        <f t="shared" si="1"/>
        <v>0</v>
      </c>
      <c r="H22" s="812">
        <f t="shared" si="1"/>
        <v>87010.113615189854</v>
      </c>
      <c r="I22" s="812">
        <f t="shared" si="1"/>
        <v>16930.857594272773</v>
      </c>
      <c r="J22" s="812">
        <f t="shared" si="1"/>
        <v>0</v>
      </c>
      <c r="K22" s="812">
        <f t="shared" si="1"/>
        <v>0</v>
      </c>
      <c r="L22" s="812">
        <f t="shared" si="1"/>
        <v>0</v>
      </c>
      <c r="M22" s="812">
        <f t="shared" si="1"/>
        <v>0</v>
      </c>
      <c r="N22" s="812">
        <f t="shared" si="1"/>
        <v>3248.2197471842801</v>
      </c>
      <c r="O22" s="812">
        <f t="shared" si="1"/>
        <v>0</v>
      </c>
      <c r="P22" s="812">
        <f t="shared" si="1"/>
        <v>0</v>
      </c>
      <c r="Q22" s="812">
        <f t="shared" si="1"/>
        <v>0</v>
      </c>
      <c r="R22" s="812">
        <f t="shared" si="1"/>
        <v>107522.68580696237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629.90537556999993</v>
      </c>
      <c r="D24" s="1012">
        <f>+landbouw!C8</f>
        <v>0</v>
      </c>
      <c r="E24" s="1012">
        <f>+landbouw!D8</f>
        <v>1145.8291115232059</v>
      </c>
      <c r="F24" s="1012">
        <f>+landbouw!E8</f>
        <v>16.24284107892899</v>
      </c>
      <c r="G24" s="1012">
        <f>+landbouw!F8</f>
        <v>2302.42410735983</v>
      </c>
      <c r="H24" s="1012">
        <f>+landbouw!G8</f>
        <v>0</v>
      </c>
      <c r="I24" s="1012">
        <f>+landbouw!H8</f>
        <v>0</v>
      </c>
      <c r="J24" s="1012">
        <f>+landbouw!I8</f>
        <v>0</v>
      </c>
      <c r="K24" s="1012">
        <f>+landbouw!J8</f>
        <v>90.683201969039771</v>
      </c>
      <c r="L24" s="1012">
        <f>+landbouw!K8</f>
        <v>0</v>
      </c>
      <c r="M24" s="1012">
        <f>+landbouw!L8</f>
        <v>0</v>
      </c>
      <c r="N24" s="1012">
        <f>+landbouw!M8</f>
        <v>0</v>
      </c>
      <c r="O24" s="1012">
        <f>+landbouw!N8</f>
        <v>0</v>
      </c>
      <c r="P24" s="1012">
        <f>+landbouw!O8</f>
        <v>0</v>
      </c>
      <c r="Q24" s="1013">
        <f>+landbouw!P8</f>
        <v>0</v>
      </c>
      <c r="R24" s="700">
        <f>SUM(C24:Q24)</f>
        <v>4185.0846375010051</v>
      </c>
      <c r="S24" s="67"/>
    </row>
    <row r="25" spans="1:19" s="473" customFormat="1" ht="15" thickBot="1">
      <c r="A25" s="831" t="s">
        <v>848</v>
      </c>
      <c r="B25" s="1015"/>
      <c r="C25" s="1016">
        <f>IF(Onbekend_ele_kWh="---",0,Onbekend_ele_kWh)/1000+IF(REST_rest_ele_kWh="---",0,REST_rest_ele_kWh)/1000</f>
        <v>1887.5416021000001</v>
      </c>
      <c r="D25" s="1016"/>
      <c r="E25" s="1016">
        <f>IF(onbekend_gas_kWh="---",0,onbekend_gas_kWh)/1000+IF(REST_rest_gas_kWh="---",0,REST_rest_gas_kWh)/1000</f>
        <v>5687.2448354999997</v>
      </c>
      <c r="F25" s="1016"/>
      <c r="G25" s="1016"/>
      <c r="H25" s="1016"/>
      <c r="I25" s="1016"/>
      <c r="J25" s="1016"/>
      <c r="K25" s="1016"/>
      <c r="L25" s="1016"/>
      <c r="M25" s="1016"/>
      <c r="N25" s="1016"/>
      <c r="O25" s="1016"/>
      <c r="P25" s="1016"/>
      <c r="Q25" s="1017"/>
      <c r="R25" s="700">
        <f>SUM(C25:Q25)</f>
        <v>7574.7864375999998</v>
      </c>
      <c r="S25" s="67"/>
    </row>
    <row r="26" spans="1:19" s="473" customFormat="1" ht="15.75" thickBot="1">
      <c r="A26" s="705" t="s">
        <v>849</v>
      </c>
      <c r="B26" s="817"/>
      <c r="C26" s="812">
        <f>SUM(C24:C25)</f>
        <v>2517.4469776699998</v>
      </c>
      <c r="D26" s="812">
        <f t="shared" ref="D26:R26" si="2">SUM(D24:D25)</f>
        <v>0</v>
      </c>
      <c r="E26" s="812">
        <f t="shared" si="2"/>
        <v>6833.0739470232056</v>
      </c>
      <c r="F26" s="812">
        <f t="shared" si="2"/>
        <v>16.24284107892899</v>
      </c>
      <c r="G26" s="812">
        <f t="shared" si="2"/>
        <v>2302.42410735983</v>
      </c>
      <c r="H26" s="812">
        <f t="shared" si="2"/>
        <v>0</v>
      </c>
      <c r="I26" s="812">
        <f t="shared" si="2"/>
        <v>0</v>
      </c>
      <c r="J26" s="812">
        <f t="shared" si="2"/>
        <v>0</v>
      </c>
      <c r="K26" s="812">
        <f t="shared" si="2"/>
        <v>90.683201969039771</v>
      </c>
      <c r="L26" s="812">
        <f t="shared" si="2"/>
        <v>0</v>
      </c>
      <c r="M26" s="812">
        <f t="shared" si="2"/>
        <v>0</v>
      </c>
      <c r="N26" s="812">
        <f t="shared" si="2"/>
        <v>0</v>
      </c>
      <c r="O26" s="812">
        <f t="shared" si="2"/>
        <v>0</v>
      </c>
      <c r="P26" s="812">
        <f t="shared" si="2"/>
        <v>0</v>
      </c>
      <c r="Q26" s="812">
        <f t="shared" si="2"/>
        <v>0</v>
      </c>
      <c r="R26" s="812">
        <f t="shared" si="2"/>
        <v>11759.871075101004</v>
      </c>
      <c r="S26" s="67"/>
    </row>
    <row r="27" spans="1:19" s="473" customFormat="1" ht="17.25" thickTop="1" thickBot="1">
      <c r="A27" s="706" t="s">
        <v>116</v>
      </c>
      <c r="B27" s="805"/>
      <c r="C27" s="707">
        <f ca="1">C22+C16+C26</f>
        <v>139576.5526543603</v>
      </c>
      <c r="D27" s="707">
        <f t="shared" ref="D27:R27" ca="1" si="3">D22+D16+D26</f>
        <v>5785.7142857142862</v>
      </c>
      <c r="E27" s="707">
        <f t="shared" ca="1" si="3"/>
        <v>205901.93024713956</v>
      </c>
      <c r="F27" s="707">
        <f t="shared" si="3"/>
        <v>12689.188900428884</v>
      </c>
      <c r="G27" s="707">
        <f t="shared" ca="1" si="3"/>
        <v>41509.413149200118</v>
      </c>
      <c r="H27" s="707">
        <f t="shared" si="3"/>
        <v>87010.113615189854</v>
      </c>
      <c r="I27" s="707">
        <f t="shared" si="3"/>
        <v>16930.857594272773</v>
      </c>
      <c r="J27" s="707">
        <f t="shared" si="3"/>
        <v>0</v>
      </c>
      <c r="K27" s="707">
        <f t="shared" si="3"/>
        <v>360.66855126503106</v>
      </c>
      <c r="L27" s="707">
        <f t="shared" si="3"/>
        <v>0</v>
      </c>
      <c r="M27" s="707">
        <f t="shared" ca="1" si="3"/>
        <v>0</v>
      </c>
      <c r="N27" s="707">
        <f t="shared" si="3"/>
        <v>3248.2197471842801</v>
      </c>
      <c r="O27" s="707">
        <f t="shared" ca="1" si="3"/>
        <v>37489.612650290917</v>
      </c>
      <c r="P27" s="707">
        <f t="shared" si="3"/>
        <v>267.33000000000004</v>
      </c>
      <c r="Q27" s="707">
        <f t="shared" si="3"/>
        <v>533.86666666666667</v>
      </c>
      <c r="R27" s="707">
        <f t="shared" ca="1" si="3"/>
        <v>551303.46806171257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6901.1835612766827</v>
      </c>
      <c r="D40" s="1012">
        <f ca="1">tertiair!C20</f>
        <v>0</v>
      </c>
      <c r="E40" s="1012">
        <f ca="1">tertiair!D20</f>
        <v>8267.9445831895227</v>
      </c>
      <c r="F40" s="1012">
        <f>tertiair!E20</f>
        <v>143.18257687470148</v>
      </c>
      <c r="G40" s="1012">
        <f ca="1">tertiair!F20</f>
        <v>2122.3369395541313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17434.64766089504</v>
      </c>
    </row>
    <row r="41" spans="1:18">
      <c r="A41" s="822" t="s">
        <v>225</v>
      </c>
      <c r="B41" s="829"/>
      <c r="C41" s="1012">
        <f ca="1">huishoudens!B12</f>
        <v>7269.8377202329611</v>
      </c>
      <c r="D41" s="1012">
        <f ca="1">huishoudens!C12</f>
        <v>0</v>
      </c>
      <c r="E41" s="1012">
        <f>huishoudens!D12</f>
        <v>18666.418550884282</v>
      </c>
      <c r="F41" s="1012">
        <f>huishoudens!E12</f>
        <v>670.15153105917591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26606.407802176418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13373.968234950917</v>
      </c>
      <c r="D43" s="1012">
        <f ca="1">industrie!C22</f>
        <v>1374.9579831932776</v>
      </c>
      <c r="E43" s="1012">
        <f>industrie!D22</f>
        <v>13264.807639296347</v>
      </c>
      <c r="F43" s="1012">
        <f>industrie!E22</f>
        <v>2008.3259330601716</v>
      </c>
      <c r="G43" s="1012">
        <f>industrie!F22</f>
        <v>8345.9291346172267</v>
      </c>
      <c r="H43" s="1012">
        <f>industrie!G22</f>
        <v>0</v>
      </c>
      <c r="I43" s="1012">
        <f>industrie!H22</f>
        <v>0</v>
      </c>
      <c r="J43" s="1012">
        <f>industrie!I22</f>
        <v>0</v>
      </c>
      <c r="K43" s="1012">
        <f>industrie!J22</f>
        <v>95.574813650780911</v>
      </c>
      <c r="L43" s="1012">
        <f>industrie!K22</f>
        <v>0</v>
      </c>
      <c r="M43" s="1012">
        <f>industrie!L22</f>
        <v>0</v>
      </c>
      <c r="N43" s="1012">
        <f>industrie!M22</f>
        <v>0</v>
      </c>
      <c r="O43" s="1012">
        <f>industrie!N22</f>
        <v>0</v>
      </c>
      <c r="P43" s="1012">
        <f>industrie!O22</f>
        <v>0</v>
      </c>
      <c r="Q43" s="774">
        <f>industrie!P22</f>
        <v>0</v>
      </c>
      <c r="R43" s="849">
        <f t="shared" ca="1" si="4"/>
        <v>38463.563738768724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27544.989516460562</v>
      </c>
      <c r="D46" s="732">
        <f t="shared" ref="D46:Q46" ca="1" si="5">SUM(D39:D45)</f>
        <v>1374.9579831932776</v>
      </c>
      <c r="E46" s="732">
        <f t="shared" ca="1" si="5"/>
        <v>40199.170773370155</v>
      </c>
      <c r="F46" s="732">
        <f t="shared" si="5"/>
        <v>2821.6600409940488</v>
      </c>
      <c r="G46" s="732">
        <f t="shared" ca="1" si="5"/>
        <v>10468.266074171359</v>
      </c>
      <c r="H46" s="732">
        <f t="shared" si="5"/>
        <v>0</v>
      </c>
      <c r="I46" s="732">
        <f t="shared" si="5"/>
        <v>0</v>
      </c>
      <c r="J46" s="732">
        <f t="shared" si="5"/>
        <v>0</v>
      </c>
      <c r="K46" s="732">
        <f t="shared" si="5"/>
        <v>95.574813650780911</v>
      </c>
      <c r="L46" s="732">
        <f t="shared" si="5"/>
        <v>0</v>
      </c>
      <c r="M46" s="732">
        <f t="shared" ca="1" si="5"/>
        <v>0</v>
      </c>
      <c r="N46" s="732">
        <f t="shared" si="5"/>
        <v>0</v>
      </c>
      <c r="O46" s="732">
        <f t="shared" ca="1" si="5"/>
        <v>0</v>
      </c>
      <c r="P46" s="732">
        <f t="shared" si="5"/>
        <v>0</v>
      </c>
      <c r="Q46" s="732">
        <f t="shared" si="5"/>
        <v>0</v>
      </c>
      <c r="R46" s="732">
        <f ca="1">SUM(R39:R45)</f>
        <v>82504.619201840193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168.62291107321164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168.62291107321164</v>
      </c>
    </row>
    <row r="50" spans="1:18">
      <c r="A50" s="825" t="s">
        <v>307</v>
      </c>
      <c r="B50" s="835"/>
      <c r="C50" s="703">
        <f ca="1">transport!B18</f>
        <v>5.5698170067758133</v>
      </c>
      <c r="D50" s="703">
        <f>transport!C18</f>
        <v>0</v>
      </c>
      <c r="E50" s="703">
        <f>transport!D18</f>
        <v>12.73819925335537</v>
      </c>
      <c r="F50" s="703">
        <f>transport!E18</f>
        <v>55.098714478391202</v>
      </c>
      <c r="G50" s="703">
        <f>transport!F18</f>
        <v>0</v>
      </c>
      <c r="H50" s="703">
        <f>transport!G18</f>
        <v>23063.07742418248</v>
      </c>
      <c r="I50" s="703">
        <f>transport!H18</f>
        <v>4215.78354097392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27352.267695894923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5.5698170067758133</v>
      </c>
      <c r="D52" s="732">
        <f t="shared" ref="D52:Q52" ca="1" si="6">SUM(D48:D51)</f>
        <v>0</v>
      </c>
      <c r="E52" s="732">
        <f t="shared" si="6"/>
        <v>12.73819925335537</v>
      </c>
      <c r="F52" s="732">
        <f t="shared" si="6"/>
        <v>55.098714478391202</v>
      </c>
      <c r="G52" s="732">
        <f t="shared" si="6"/>
        <v>0</v>
      </c>
      <c r="H52" s="732">
        <f t="shared" si="6"/>
        <v>23231.700335255693</v>
      </c>
      <c r="I52" s="732">
        <f t="shared" si="6"/>
        <v>4215.78354097392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27520.890606968136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126.61869737460832</v>
      </c>
      <c r="D54" s="703">
        <f ca="1">+landbouw!C12</f>
        <v>0</v>
      </c>
      <c r="E54" s="703">
        <f>+landbouw!D12</f>
        <v>231.45748052768761</v>
      </c>
      <c r="F54" s="703">
        <f>+landbouw!E12</f>
        <v>3.6871249249168807</v>
      </c>
      <c r="G54" s="703">
        <f>+landbouw!F12</f>
        <v>614.74723666507464</v>
      </c>
      <c r="H54" s="703">
        <f>+landbouw!G12</f>
        <v>0</v>
      </c>
      <c r="I54" s="703">
        <f>+landbouw!H12</f>
        <v>0</v>
      </c>
      <c r="J54" s="703">
        <f>+landbouw!I12</f>
        <v>0</v>
      </c>
      <c r="K54" s="703">
        <f>+landbouw!J12</f>
        <v>32.101853497040075</v>
      </c>
      <c r="L54" s="703">
        <f>+landbouw!K12</f>
        <v>0</v>
      </c>
      <c r="M54" s="703">
        <f>+landbouw!L12</f>
        <v>0</v>
      </c>
      <c r="N54" s="703">
        <f>+landbouw!M12</f>
        <v>0</v>
      </c>
      <c r="O54" s="703">
        <f>+landbouw!N12</f>
        <v>0</v>
      </c>
      <c r="P54" s="703">
        <f>+landbouw!O12</f>
        <v>0</v>
      </c>
      <c r="Q54" s="704">
        <f>+landbouw!P12</f>
        <v>0</v>
      </c>
      <c r="R54" s="731">
        <f ca="1">SUM(C54:Q54)</f>
        <v>1008.6123929893275</v>
      </c>
    </row>
    <row r="55" spans="1:18" ht="15" thickBot="1">
      <c r="A55" s="825" t="s">
        <v>848</v>
      </c>
      <c r="B55" s="835"/>
      <c r="C55" s="703">
        <f ca="1">C25*'EF ele_warmte'!B12</f>
        <v>379.41898603740992</v>
      </c>
      <c r="D55" s="703"/>
      <c r="E55" s="703">
        <f>E25*EF_CO2_aardgas</f>
        <v>1148.8234567710001</v>
      </c>
      <c r="F55" s="703"/>
      <c r="G55" s="703"/>
      <c r="H55" s="703"/>
      <c r="I55" s="703"/>
      <c r="J55" s="703"/>
      <c r="K55" s="703"/>
      <c r="L55" s="703"/>
      <c r="M55" s="703"/>
      <c r="N55" s="703"/>
      <c r="O55" s="703"/>
      <c r="P55" s="703"/>
      <c r="Q55" s="704"/>
      <c r="R55" s="731">
        <f ca="1">SUM(C55:Q55)</f>
        <v>1528.24244280841</v>
      </c>
    </row>
    <row r="56" spans="1:18" ht="15.75" thickBot="1">
      <c r="A56" s="823" t="s">
        <v>849</v>
      </c>
      <c r="B56" s="836"/>
      <c r="C56" s="732">
        <f ca="1">SUM(C54:C55)</f>
        <v>506.03768341201823</v>
      </c>
      <c r="D56" s="732">
        <f t="shared" ref="D56:Q56" ca="1" si="7">SUM(D54:D55)</f>
        <v>0</v>
      </c>
      <c r="E56" s="732">
        <f t="shared" si="7"/>
        <v>1380.2809372986876</v>
      </c>
      <c r="F56" s="732">
        <f t="shared" si="7"/>
        <v>3.6871249249168807</v>
      </c>
      <c r="G56" s="732">
        <f t="shared" si="7"/>
        <v>614.74723666507464</v>
      </c>
      <c r="H56" s="732">
        <f t="shared" si="7"/>
        <v>0</v>
      </c>
      <c r="I56" s="732">
        <f t="shared" si="7"/>
        <v>0</v>
      </c>
      <c r="J56" s="732">
        <f t="shared" si="7"/>
        <v>0</v>
      </c>
      <c r="K56" s="732">
        <f t="shared" si="7"/>
        <v>32.101853497040075</v>
      </c>
      <c r="L56" s="732">
        <f t="shared" si="7"/>
        <v>0</v>
      </c>
      <c r="M56" s="732">
        <f t="shared" si="7"/>
        <v>0</v>
      </c>
      <c r="N56" s="732">
        <f t="shared" si="7"/>
        <v>0</v>
      </c>
      <c r="O56" s="732">
        <f t="shared" si="7"/>
        <v>0</v>
      </c>
      <c r="P56" s="732">
        <f t="shared" si="7"/>
        <v>0</v>
      </c>
      <c r="Q56" s="733">
        <f t="shared" si="7"/>
        <v>0</v>
      </c>
      <c r="R56" s="734">
        <f ca="1">SUM(R54:R55)</f>
        <v>2536.8548357977375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28056.597016879357</v>
      </c>
      <c r="D61" s="740">
        <f t="shared" ref="D61:Q61" ca="1" si="8">D46+D52+D56</f>
        <v>1374.9579831932776</v>
      </c>
      <c r="E61" s="740">
        <f t="shared" ca="1" si="8"/>
        <v>41592.189909922199</v>
      </c>
      <c r="F61" s="740">
        <f t="shared" si="8"/>
        <v>2880.4458803973571</v>
      </c>
      <c r="G61" s="740">
        <f t="shared" ca="1" si="8"/>
        <v>11083.013310836433</v>
      </c>
      <c r="H61" s="740">
        <f t="shared" si="8"/>
        <v>23231.700335255693</v>
      </c>
      <c r="I61" s="740">
        <f t="shared" si="8"/>
        <v>4215.78354097392</v>
      </c>
      <c r="J61" s="740">
        <f t="shared" si="8"/>
        <v>0</v>
      </c>
      <c r="K61" s="740">
        <f t="shared" si="8"/>
        <v>127.67666714782098</v>
      </c>
      <c r="L61" s="740">
        <f t="shared" si="8"/>
        <v>0</v>
      </c>
      <c r="M61" s="740">
        <f t="shared" ca="1" si="8"/>
        <v>0</v>
      </c>
      <c r="N61" s="740">
        <f t="shared" si="8"/>
        <v>0</v>
      </c>
      <c r="O61" s="740">
        <f t="shared" ca="1" si="8"/>
        <v>0</v>
      </c>
      <c r="P61" s="740">
        <f t="shared" si="8"/>
        <v>0</v>
      </c>
      <c r="Q61" s="740">
        <f t="shared" si="8"/>
        <v>0</v>
      </c>
      <c r="R61" s="740">
        <f ca="1">R46+R52+R56</f>
        <v>112562.36464460607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0.20101225086391961</v>
      </c>
      <c r="D63" s="781">
        <f t="shared" ca="1" si="9"/>
        <v>0.23764705882352946</v>
      </c>
      <c r="E63" s="1023">
        <f t="shared" ca="1" si="9"/>
        <v>0.20200000000000004</v>
      </c>
      <c r="F63" s="781">
        <f t="shared" si="9"/>
        <v>0.22700000000000004</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12928.695511174514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4050</v>
      </c>
      <c r="D76" s="1033">
        <f>'lokale energieproductie'!C8</f>
        <v>4764.7058823529414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962.47058823529426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12928.695511174514</v>
      </c>
      <c r="C78" s="755">
        <f>SUM(C72:C77)</f>
        <v>4050</v>
      </c>
      <c r="D78" s="756">
        <f t="shared" ref="D78:H78" si="10">SUM(D76:D77)</f>
        <v>4764.7058823529414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962.47058823529426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5785.7142857142862</v>
      </c>
      <c r="D87" s="777">
        <f>'lokale energieproductie'!C17</f>
        <v>6806.722689075631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1374.9579831932776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5785.7142857142862</v>
      </c>
      <c r="D90" s="755">
        <f t="shared" ref="D90:H90" si="12">SUM(D87:D89)</f>
        <v>6806.722689075631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1374.9579831932776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36166.142555930404</v>
      </c>
      <c r="C4" s="477">
        <f>huishoudens!C8</f>
        <v>0</v>
      </c>
      <c r="D4" s="477">
        <f>huishoudens!D8</f>
        <v>92408.012628140001</v>
      </c>
      <c r="E4" s="477">
        <f>huishoudens!E8</f>
        <v>2952.209387925885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19070.557829345104</v>
      </c>
      <c r="O4" s="477">
        <f>huishoudens!O8</f>
        <v>262.64000000000004</v>
      </c>
      <c r="P4" s="478">
        <f>huishoudens!P8</f>
        <v>476.66666666666663</v>
      </c>
      <c r="Q4" s="479">
        <f>SUM(B4:P4)</f>
        <v>151336.22906800808</v>
      </c>
    </row>
    <row r="5" spans="1:17">
      <c r="A5" s="476" t="s">
        <v>156</v>
      </c>
      <c r="B5" s="477">
        <f ca="1">tertiair!B16</f>
        <v>32619.483043429998</v>
      </c>
      <c r="C5" s="477">
        <f ca="1">tertiair!C16</f>
        <v>0</v>
      </c>
      <c r="D5" s="477">
        <f ca="1">tertiair!D16</f>
        <v>40930.418728661003</v>
      </c>
      <c r="E5" s="477">
        <f>tertiair!E16</f>
        <v>630.76025054934576</v>
      </c>
      <c r="F5" s="477">
        <f ca="1">tertiair!F16</f>
        <v>7948.8274889667828</v>
      </c>
      <c r="G5" s="477">
        <f>tertiair!G16</f>
        <v>0</v>
      </c>
      <c r="H5" s="477">
        <f>tertiair!H16</f>
        <v>0</v>
      </c>
      <c r="I5" s="477">
        <f>tertiair!I16</f>
        <v>0</v>
      </c>
      <c r="J5" s="477">
        <f>tertiair!J16</f>
        <v>0</v>
      </c>
      <c r="K5" s="477">
        <f>tertiair!K16</f>
        <v>0</v>
      </c>
      <c r="L5" s="477">
        <f ca="1">tertiair!L16</f>
        <v>0</v>
      </c>
      <c r="M5" s="477">
        <f>tertiair!M16</f>
        <v>0</v>
      </c>
      <c r="N5" s="477">
        <f ca="1">tertiair!N16</f>
        <v>2935.9980462363592</v>
      </c>
      <c r="O5" s="477">
        <f>tertiair!O16</f>
        <v>4.6900000000000004</v>
      </c>
      <c r="P5" s="478">
        <f>tertiair!P16</f>
        <v>57.2</v>
      </c>
      <c r="Q5" s="476">
        <f t="shared" ref="Q5:Q14" ca="1" si="0">SUM(B5:P5)</f>
        <v>85127.377557843487</v>
      </c>
    </row>
    <row r="6" spans="1:17">
      <c r="A6" s="476" t="s">
        <v>194</v>
      </c>
      <c r="B6" s="477">
        <f>'openbare verlichting'!B8</f>
        <v>1712.671</v>
      </c>
      <c r="C6" s="477"/>
      <c r="D6" s="477"/>
      <c r="E6" s="477"/>
      <c r="F6" s="477"/>
      <c r="G6" s="477"/>
      <c r="H6" s="477"/>
      <c r="I6" s="477"/>
      <c r="J6" s="477"/>
      <c r="K6" s="477"/>
      <c r="L6" s="477"/>
      <c r="M6" s="477"/>
      <c r="N6" s="477"/>
      <c r="O6" s="477"/>
      <c r="P6" s="478"/>
      <c r="Q6" s="476">
        <f t="shared" si="0"/>
        <v>1712.671</v>
      </c>
    </row>
    <row r="7" spans="1:17">
      <c r="A7" s="476" t="s">
        <v>112</v>
      </c>
      <c r="B7" s="477">
        <f>landbouw!B8</f>
        <v>629.90537556999993</v>
      </c>
      <c r="C7" s="477">
        <f>landbouw!C8</f>
        <v>0</v>
      </c>
      <c r="D7" s="477">
        <f>landbouw!D8</f>
        <v>1145.8291115232059</v>
      </c>
      <c r="E7" s="477">
        <f>landbouw!E8</f>
        <v>16.24284107892899</v>
      </c>
      <c r="F7" s="477">
        <f>landbouw!F8</f>
        <v>2302.42410735983</v>
      </c>
      <c r="G7" s="477">
        <f>landbouw!G8</f>
        <v>0</v>
      </c>
      <c r="H7" s="477">
        <f>landbouw!H8</f>
        <v>0</v>
      </c>
      <c r="I7" s="477">
        <f>landbouw!I8</f>
        <v>0</v>
      </c>
      <c r="J7" s="477">
        <f>landbouw!J8</f>
        <v>90.683201969039771</v>
      </c>
      <c r="K7" s="477">
        <f>landbouw!K8</f>
        <v>0</v>
      </c>
      <c r="L7" s="477">
        <f>landbouw!L8</f>
        <v>0</v>
      </c>
      <c r="M7" s="477">
        <f>landbouw!M8</f>
        <v>0</v>
      </c>
      <c r="N7" s="477">
        <f>landbouw!N8</f>
        <v>0</v>
      </c>
      <c r="O7" s="477">
        <f>landbouw!O8</f>
        <v>0</v>
      </c>
      <c r="P7" s="478">
        <f>landbouw!P8</f>
        <v>0</v>
      </c>
      <c r="Q7" s="476">
        <f t="shared" si="0"/>
        <v>4185.0846375010051</v>
      </c>
    </row>
    <row r="8" spans="1:17">
      <c r="A8" s="476" t="s">
        <v>638</v>
      </c>
      <c r="B8" s="477">
        <f>industrie!B18</f>
        <v>66533.100233800011</v>
      </c>
      <c r="C8" s="477">
        <f>industrie!C18</f>
        <v>5785.7142857142862</v>
      </c>
      <c r="D8" s="477">
        <f>industrie!D18</f>
        <v>65667.364550972008</v>
      </c>
      <c r="E8" s="477">
        <f>industrie!E18</f>
        <v>8847.2508064324738</v>
      </c>
      <c r="F8" s="477">
        <f>industrie!F18</f>
        <v>31258.161552873506</v>
      </c>
      <c r="G8" s="477">
        <f>industrie!G18</f>
        <v>0</v>
      </c>
      <c r="H8" s="477">
        <f>industrie!H18</f>
        <v>0</v>
      </c>
      <c r="I8" s="477">
        <f>industrie!I18</f>
        <v>0</v>
      </c>
      <c r="J8" s="477">
        <f>industrie!J18</f>
        <v>269.98534929599128</v>
      </c>
      <c r="K8" s="477">
        <f>industrie!K18</f>
        <v>0</v>
      </c>
      <c r="L8" s="477">
        <f>industrie!L18</f>
        <v>0</v>
      </c>
      <c r="M8" s="477">
        <f>industrie!M18</f>
        <v>0</v>
      </c>
      <c r="N8" s="477">
        <f>industrie!N18</f>
        <v>15483.056774709454</v>
      </c>
      <c r="O8" s="477">
        <f>industrie!O18</f>
        <v>0</v>
      </c>
      <c r="P8" s="478">
        <f>industrie!P18</f>
        <v>0</v>
      </c>
      <c r="Q8" s="476">
        <f t="shared" si="0"/>
        <v>193844.63355379773</v>
      </c>
    </row>
    <row r="9" spans="1:17" s="482" customFormat="1">
      <c r="A9" s="480" t="s">
        <v>564</v>
      </c>
      <c r="B9" s="481">
        <f>transport!B14</f>
        <v>27.708843529872436</v>
      </c>
      <c r="C9" s="481">
        <f>transport!C14</f>
        <v>0</v>
      </c>
      <c r="D9" s="481">
        <f>transport!D14</f>
        <v>63.060392343343416</v>
      </c>
      <c r="E9" s="481">
        <f>transport!E14</f>
        <v>242.72561444225198</v>
      </c>
      <c r="F9" s="481">
        <f>transport!F14</f>
        <v>0</v>
      </c>
      <c r="G9" s="481">
        <f>transport!G14</f>
        <v>86378.567131769581</v>
      </c>
      <c r="H9" s="481">
        <f>transport!H14</f>
        <v>16930.857594272773</v>
      </c>
      <c r="I9" s="481">
        <f>transport!I14</f>
        <v>0</v>
      </c>
      <c r="J9" s="481">
        <f>transport!J14</f>
        <v>0</v>
      </c>
      <c r="K9" s="481">
        <f>transport!K14</f>
        <v>0</v>
      </c>
      <c r="L9" s="481">
        <f>transport!L14</f>
        <v>0</v>
      </c>
      <c r="M9" s="481">
        <f>transport!M14</f>
        <v>3228.6305881530639</v>
      </c>
      <c r="N9" s="481">
        <f>transport!N14</f>
        <v>0</v>
      </c>
      <c r="O9" s="481">
        <f>transport!O14</f>
        <v>0</v>
      </c>
      <c r="P9" s="481">
        <f>transport!P14</f>
        <v>0</v>
      </c>
      <c r="Q9" s="480">
        <f>SUM(B9:P9)</f>
        <v>106871.55016451089</v>
      </c>
    </row>
    <row r="10" spans="1:17">
      <c r="A10" s="476" t="s">
        <v>554</v>
      </c>
      <c r="B10" s="477">
        <f>transport!B54</f>
        <v>0</v>
      </c>
      <c r="C10" s="477">
        <f>transport!C54</f>
        <v>0</v>
      </c>
      <c r="D10" s="477">
        <f>transport!D54</f>
        <v>0</v>
      </c>
      <c r="E10" s="477">
        <f>transport!E54</f>
        <v>0</v>
      </c>
      <c r="F10" s="477">
        <f>transport!F54</f>
        <v>0</v>
      </c>
      <c r="G10" s="477">
        <f>transport!G54</f>
        <v>631.54648342026826</v>
      </c>
      <c r="H10" s="477">
        <f>transport!H54</f>
        <v>0</v>
      </c>
      <c r="I10" s="477">
        <f>transport!I54</f>
        <v>0</v>
      </c>
      <c r="J10" s="477">
        <f>transport!J54</f>
        <v>0</v>
      </c>
      <c r="K10" s="477">
        <f>transport!K54</f>
        <v>0</v>
      </c>
      <c r="L10" s="477">
        <f>transport!L54</f>
        <v>0</v>
      </c>
      <c r="M10" s="477">
        <f>transport!M54</f>
        <v>19.589159031216187</v>
      </c>
      <c r="N10" s="477">
        <f>transport!N54</f>
        <v>0</v>
      </c>
      <c r="O10" s="477">
        <f>transport!O54</f>
        <v>0</v>
      </c>
      <c r="P10" s="478">
        <f>transport!P54</f>
        <v>0</v>
      </c>
      <c r="Q10" s="476">
        <f t="shared" si="0"/>
        <v>651.1356424514845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1887.5416021000001</v>
      </c>
      <c r="C14" s="484"/>
      <c r="D14" s="484">
        <f>'SEAP template'!E25</f>
        <v>5687.2448354999997</v>
      </c>
      <c r="E14" s="484"/>
      <c r="F14" s="484"/>
      <c r="G14" s="484"/>
      <c r="H14" s="484"/>
      <c r="I14" s="484"/>
      <c r="J14" s="484"/>
      <c r="K14" s="484"/>
      <c r="L14" s="484"/>
      <c r="M14" s="484"/>
      <c r="N14" s="484"/>
      <c r="O14" s="484"/>
      <c r="P14" s="485"/>
      <c r="Q14" s="476">
        <f t="shared" si="0"/>
        <v>7574.7864375999998</v>
      </c>
    </row>
    <row r="15" spans="1:17" s="486" customFormat="1">
      <c r="A15" s="1038" t="s">
        <v>558</v>
      </c>
      <c r="B15" s="978">
        <f ca="1">SUM(B4:B14)</f>
        <v>139576.5526543603</v>
      </c>
      <c r="C15" s="978">
        <f t="shared" ref="C15:Q15" ca="1" si="1">SUM(C4:C14)</f>
        <v>5785.7142857142862</v>
      </c>
      <c r="D15" s="978">
        <f t="shared" ca="1" si="1"/>
        <v>205901.93024713956</v>
      </c>
      <c r="E15" s="978">
        <f t="shared" si="1"/>
        <v>12689.188900428884</v>
      </c>
      <c r="F15" s="978">
        <f t="shared" ca="1" si="1"/>
        <v>41509.413149200118</v>
      </c>
      <c r="G15" s="978">
        <f t="shared" si="1"/>
        <v>87010.113615189854</v>
      </c>
      <c r="H15" s="978">
        <f t="shared" si="1"/>
        <v>16930.857594272773</v>
      </c>
      <c r="I15" s="978">
        <f t="shared" si="1"/>
        <v>0</v>
      </c>
      <c r="J15" s="978">
        <f t="shared" si="1"/>
        <v>360.66855126503106</v>
      </c>
      <c r="K15" s="978">
        <f t="shared" si="1"/>
        <v>0</v>
      </c>
      <c r="L15" s="978">
        <f t="shared" ca="1" si="1"/>
        <v>0</v>
      </c>
      <c r="M15" s="978">
        <f t="shared" si="1"/>
        <v>3248.2197471842801</v>
      </c>
      <c r="N15" s="978">
        <f t="shared" ca="1" si="1"/>
        <v>37489.612650290917</v>
      </c>
      <c r="O15" s="978">
        <f t="shared" si="1"/>
        <v>267.33000000000004</v>
      </c>
      <c r="P15" s="978">
        <f t="shared" si="1"/>
        <v>533.86666666666667</v>
      </c>
      <c r="Q15" s="978">
        <f t="shared" ca="1" si="1"/>
        <v>551303.46806171269</v>
      </c>
    </row>
    <row r="17" spans="1:17">
      <c r="A17" s="487" t="s">
        <v>559</v>
      </c>
      <c r="B17" s="786">
        <f ca="1">huishoudens!B10</f>
        <v>0.20101225086391961</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7269.8377202329611</v>
      </c>
      <c r="C22" s="477">
        <f t="shared" ref="C22:C32" ca="1" si="3">C4*$C$17</f>
        <v>0</v>
      </c>
      <c r="D22" s="477">
        <f t="shared" ref="D22:D32" si="4">D4*$D$17</f>
        <v>18666.418550884282</v>
      </c>
      <c r="E22" s="477">
        <f t="shared" ref="E22:E32" si="5">E4*$E$17</f>
        <v>670.15153105917591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26606.407802176418</v>
      </c>
    </row>
    <row r="23" spans="1:17">
      <c r="A23" s="476" t="s">
        <v>156</v>
      </c>
      <c r="B23" s="477">
        <f t="shared" ca="1" si="2"/>
        <v>6556.9157085773222</v>
      </c>
      <c r="C23" s="477">
        <f t="shared" ca="1" si="3"/>
        <v>0</v>
      </c>
      <c r="D23" s="477">
        <f t="shared" ca="1" si="4"/>
        <v>8267.9445831895227</v>
      </c>
      <c r="E23" s="477">
        <f t="shared" si="5"/>
        <v>143.18257687470148</v>
      </c>
      <c r="F23" s="477">
        <f t="shared" ca="1" si="6"/>
        <v>2122.3369395541313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17090.379808195677</v>
      </c>
    </row>
    <row r="24" spans="1:17">
      <c r="A24" s="476" t="s">
        <v>194</v>
      </c>
      <c r="B24" s="477">
        <f t="shared" ca="1" si="2"/>
        <v>344.26785269936005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344.26785269936005</v>
      </c>
    </row>
    <row r="25" spans="1:17">
      <c r="A25" s="476" t="s">
        <v>112</v>
      </c>
      <c r="B25" s="477">
        <f t="shared" ca="1" si="2"/>
        <v>126.61869737460832</v>
      </c>
      <c r="C25" s="477">
        <f t="shared" ca="1" si="3"/>
        <v>0</v>
      </c>
      <c r="D25" s="477">
        <f t="shared" si="4"/>
        <v>231.45748052768761</v>
      </c>
      <c r="E25" s="477">
        <f t="shared" si="5"/>
        <v>3.6871249249168807</v>
      </c>
      <c r="F25" s="477">
        <f t="shared" si="6"/>
        <v>614.74723666507464</v>
      </c>
      <c r="G25" s="477">
        <f t="shared" si="7"/>
        <v>0</v>
      </c>
      <c r="H25" s="477">
        <f t="shared" si="8"/>
        <v>0</v>
      </c>
      <c r="I25" s="477">
        <f t="shared" si="9"/>
        <v>0</v>
      </c>
      <c r="J25" s="477">
        <f t="shared" si="10"/>
        <v>32.101853497040075</v>
      </c>
      <c r="K25" s="477">
        <f t="shared" si="11"/>
        <v>0</v>
      </c>
      <c r="L25" s="477">
        <f t="shared" si="12"/>
        <v>0</v>
      </c>
      <c r="M25" s="477">
        <f t="shared" si="13"/>
        <v>0</v>
      </c>
      <c r="N25" s="477">
        <f t="shared" si="14"/>
        <v>0</v>
      </c>
      <c r="O25" s="477">
        <f t="shared" si="15"/>
        <v>0</v>
      </c>
      <c r="P25" s="478">
        <f t="shared" si="16"/>
        <v>0</v>
      </c>
      <c r="Q25" s="476">
        <f t="shared" ca="1" si="17"/>
        <v>1008.6123929893275</v>
      </c>
    </row>
    <row r="26" spans="1:17">
      <c r="A26" s="476" t="s">
        <v>638</v>
      </c>
      <c r="B26" s="477">
        <f t="shared" ca="1" si="2"/>
        <v>13373.968234950917</v>
      </c>
      <c r="C26" s="477">
        <f t="shared" ca="1" si="3"/>
        <v>1374.9579831932776</v>
      </c>
      <c r="D26" s="477">
        <f t="shared" si="4"/>
        <v>13264.807639296347</v>
      </c>
      <c r="E26" s="477">
        <f t="shared" si="5"/>
        <v>2008.3259330601716</v>
      </c>
      <c r="F26" s="477">
        <f t="shared" si="6"/>
        <v>8345.9291346172267</v>
      </c>
      <c r="G26" s="477">
        <f t="shared" si="7"/>
        <v>0</v>
      </c>
      <c r="H26" s="477">
        <f t="shared" si="8"/>
        <v>0</v>
      </c>
      <c r="I26" s="477">
        <f t="shared" si="9"/>
        <v>0</v>
      </c>
      <c r="J26" s="477">
        <f t="shared" si="10"/>
        <v>95.574813650780911</v>
      </c>
      <c r="K26" s="477">
        <f t="shared" si="11"/>
        <v>0</v>
      </c>
      <c r="L26" s="477">
        <f t="shared" si="12"/>
        <v>0</v>
      </c>
      <c r="M26" s="477">
        <f t="shared" si="13"/>
        <v>0</v>
      </c>
      <c r="N26" s="477">
        <f t="shared" si="14"/>
        <v>0</v>
      </c>
      <c r="O26" s="477">
        <f t="shared" si="15"/>
        <v>0</v>
      </c>
      <c r="P26" s="478">
        <f t="shared" si="16"/>
        <v>0</v>
      </c>
      <c r="Q26" s="476">
        <f t="shared" ca="1" si="17"/>
        <v>38463.563738768724</v>
      </c>
    </row>
    <row r="27" spans="1:17" s="482" customFormat="1">
      <c r="A27" s="480" t="s">
        <v>564</v>
      </c>
      <c r="B27" s="780">
        <f t="shared" ca="1" si="2"/>
        <v>5.5698170067758133</v>
      </c>
      <c r="C27" s="481">
        <f t="shared" ca="1" si="3"/>
        <v>0</v>
      </c>
      <c r="D27" s="481">
        <f t="shared" si="4"/>
        <v>12.73819925335537</v>
      </c>
      <c r="E27" s="481">
        <f t="shared" si="5"/>
        <v>55.098714478391202</v>
      </c>
      <c r="F27" s="481">
        <f t="shared" si="6"/>
        <v>0</v>
      </c>
      <c r="G27" s="481">
        <f t="shared" si="7"/>
        <v>23063.07742418248</v>
      </c>
      <c r="H27" s="481">
        <f t="shared" si="8"/>
        <v>4215.78354097392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27352.267695894923</v>
      </c>
    </row>
    <row r="28" spans="1:17">
      <c r="A28" s="476" t="s">
        <v>554</v>
      </c>
      <c r="B28" s="477">
        <f t="shared" ca="1" si="2"/>
        <v>0</v>
      </c>
      <c r="C28" s="477">
        <f t="shared" ca="1" si="3"/>
        <v>0</v>
      </c>
      <c r="D28" s="477">
        <f t="shared" si="4"/>
        <v>0</v>
      </c>
      <c r="E28" s="477">
        <f t="shared" si="5"/>
        <v>0</v>
      </c>
      <c r="F28" s="477">
        <f t="shared" si="6"/>
        <v>0</v>
      </c>
      <c r="G28" s="477">
        <f t="shared" si="7"/>
        <v>168.62291107321164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168.62291107321164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379.41898603740992</v>
      </c>
      <c r="C32" s="477">
        <f t="shared" ca="1" si="3"/>
        <v>0</v>
      </c>
      <c r="D32" s="477">
        <f t="shared" si="4"/>
        <v>1148.8234567710001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1528.24244280841</v>
      </c>
    </row>
    <row r="33" spans="1:17" s="486" customFormat="1">
      <c r="A33" s="1038" t="s">
        <v>558</v>
      </c>
      <c r="B33" s="978">
        <f ca="1">SUM(B22:B32)</f>
        <v>28056.597016879357</v>
      </c>
      <c r="C33" s="978">
        <f t="shared" ref="C33:Q33" ca="1" si="18">SUM(C22:C32)</f>
        <v>1374.9579831932776</v>
      </c>
      <c r="D33" s="978">
        <f t="shared" ca="1" si="18"/>
        <v>41592.189909922199</v>
      </c>
      <c r="E33" s="978">
        <f t="shared" si="18"/>
        <v>2880.4458803973571</v>
      </c>
      <c r="F33" s="978">
        <f t="shared" ca="1" si="18"/>
        <v>11083.013310836432</v>
      </c>
      <c r="G33" s="978">
        <f t="shared" si="18"/>
        <v>23231.700335255693</v>
      </c>
      <c r="H33" s="978">
        <f t="shared" si="18"/>
        <v>4215.78354097392</v>
      </c>
      <c r="I33" s="978">
        <f t="shared" si="18"/>
        <v>0</v>
      </c>
      <c r="J33" s="978">
        <f t="shared" si="18"/>
        <v>127.67666714782098</v>
      </c>
      <c r="K33" s="978">
        <f t="shared" si="18"/>
        <v>0</v>
      </c>
      <c r="L33" s="978">
        <f t="shared" ca="1" si="18"/>
        <v>0</v>
      </c>
      <c r="M33" s="978">
        <f t="shared" si="18"/>
        <v>0</v>
      </c>
      <c r="N33" s="978">
        <f t="shared" ca="1" si="18"/>
        <v>0</v>
      </c>
      <c r="O33" s="978">
        <f t="shared" si="18"/>
        <v>0</v>
      </c>
      <c r="P33" s="978">
        <f t="shared" si="18"/>
        <v>0</v>
      </c>
      <c r="Q33" s="978">
        <f t="shared" ca="1" si="18"/>
        <v>112562.36464460604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12928.695511174514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4050</v>
      </c>
      <c r="D8" s="1055">
        <f>'SEAP template'!D76</f>
        <v>4764.7058823529414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962.47058823529426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12928.695511174514</v>
      </c>
      <c r="C10" s="1059">
        <f>SUM(C4:C9)</f>
        <v>4050</v>
      </c>
      <c r="D10" s="1059">
        <f t="shared" ref="D10:H10" si="0">SUM(D8:D9)</f>
        <v>4764.7058823529414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962.47058823529426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0.20101225086391961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5785.7142857142862</v>
      </c>
      <c r="D17" s="1056">
        <f>'SEAP template'!D87</f>
        <v>6806.722689075631</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1374.9579831932776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5785.7142857142862</v>
      </c>
      <c r="D20" s="1059">
        <f t="shared" ref="D20:H20" si="2">SUM(D17:D19)</f>
        <v>6806.722689075631</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1374.9579831932776</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0.20101225086391961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0.20101225086391961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0.20101225086391961</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8801</v>
      </c>
      <c r="C9" s="342">
        <v>9088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1302.6500000000001</v>
      </c>
    </row>
    <row r="15" spans="1:6">
      <c r="A15" s="348" t="s">
        <v>184</v>
      </c>
      <c r="B15" s="334">
        <v>4</v>
      </c>
    </row>
    <row r="16" spans="1:6">
      <c r="A16" s="348" t="s">
        <v>6</v>
      </c>
      <c r="B16" s="334">
        <v>243</v>
      </c>
    </row>
    <row r="17" spans="1:6">
      <c r="A17" s="348" t="s">
        <v>7</v>
      </c>
      <c r="B17" s="334">
        <v>122</v>
      </c>
    </row>
    <row r="18" spans="1:6">
      <c r="A18" s="348" t="s">
        <v>8</v>
      </c>
      <c r="B18" s="334">
        <v>496</v>
      </c>
    </row>
    <row r="19" spans="1:6">
      <c r="A19" s="348" t="s">
        <v>9</v>
      </c>
      <c r="B19" s="334">
        <v>499</v>
      </c>
    </row>
    <row r="20" spans="1:6">
      <c r="A20" s="348" t="s">
        <v>10</v>
      </c>
      <c r="B20" s="334">
        <v>265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226</v>
      </c>
    </row>
    <row r="27" spans="1:6">
      <c r="A27" s="348" t="s">
        <v>17</v>
      </c>
      <c r="B27" s="334">
        <v>5</v>
      </c>
    </row>
    <row r="28" spans="1:6" s="356" customFormat="1">
      <c r="A28" s="355" t="s">
        <v>18</v>
      </c>
      <c r="B28" s="355">
        <v>0</v>
      </c>
    </row>
    <row r="29" spans="1:6">
      <c r="A29" s="355" t="s">
        <v>884</v>
      </c>
      <c r="B29" s="355">
        <v>41</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1810736.9955</v>
      </c>
    </row>
    <row r="39" spans="1:6">
      <c r="A39" s="348" t="s">
        <v>30</v>
      </c>
      <c r="B39" s="348" t="s">
        <v>31</v>
      </c>
      <c r="C39" s="334">
        <v>6813</v>
      </c>
      <c r="D39" s="334">
        <v>102447907.56999999</v>
      </c>
      <c r="E39" s="334">
        <v>8801</v>
      </c>
      <c r="F39" s="334">
        <v>31815495.162999999</v>
      </c>
    </row>
    <row r="40" spans="1:6">
      <c r="A40" s="348" t="s">
        <v>30</v>
      </c>
      <c r="B40" s="348" t="s">
        <v>29</v>
      </c>
      <c r="C40" s="334">
        <v>0</v>
      </c>
      <c r="D40" s="334">
        <v>0</v>
      </c>
      <c r="E40" s="334">
        <v>0</v>
      </c>
      <c r="F40" s="334">
        <v>0</v>
      </c>
    </row>
    <row r="41" spans="1:6">
      <c r="A41" s="348" t="s">
        <v>32</v>
      </c>
      <c r="B41" s="348" t="s">
        <v>33</v>
      </c>
      <c r="C41" s="334">
        <v>92</v>
      </c>
      <c r="D41" s="334">
        <v>8358128.5723000001</v>
      </c>
      <c r="E41" s="334">
        <v>193</v>
      </c>
      <c r="F41" s="334">
        <v>27440461.157000002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204451.52439000001</v>
      </c>
      <c r="E44" s="334">
        <v>13</v>
      </c>
      <c r="F44" s="334">
        <v>234054.47505000001</v>
      </c>
    </row>
    <row r="45" spans="1:6">
      <c r="A45" s="348" t="s">
        <v>32</v>
      </c>
      <c r="B45" s="348" t="s">
        <v>37</v>
      </c>
      <c r="C45" s="334">
        <v>4</v>
      </c>
      <c r="D45" s="334">
        <v>222629.68586</v>
      </c>
      <c r="E45" s="334">
        <v>3</v>
      </c>
      <c r="F45" s="334">
        <v>1088798.899</v>
      </c>
    </row>
    <row r="46" spans="1:6">
      <c r="A46" s="348" t="s">
        <v>32</v>
      </c>
      <c r="B46" s="348" t="s">
        <v>38</v>
      </c>
      <c r="C46" s="334">
        <v>0</v>
      </c>
      <c r="D46" s="334">
        <v>0</v>
      </c>
      <c r="E46" s="334">
        <v>0</v>
      </c>
      <c r="F46" s="334">
        <v>0</v>
      </c>
    </row>
    <row r="47" spans="1:6">
      <c r="A47" s="348" t="s">
        <v>32</v>
      </c>
      <c r="B47" s="348" t="s">
        <v>39</v>
      </c>
      <c r="C47" s="334">
        <v>3</v>
      </c>
      <c r="D47" s="334">
        <v>461171.16084000003</v>
      </c>
      <c r="E47" s="334">
        <v>0</v>
      </c>
      <c r="F47" s="334">
        <v>0</v>
      </c>
    </row>
    <row r="48" spans="1:6">
      <c r="A48" s="348" t="s">
        <v>32</v>
      </c>
      <c r="B48" s="348" t="s">
        <v>29</v>
      </c>
      <c r="C48" s="334">
        <v>31</v>
      </c>
      <c r="D48" s="334">
        <v>75283194.472000003</v>
      </c>
      <c r="E48" s="334">
        <v>45</v>
      </c>
      <c r="F48" s="334">
        <v>33145795.848000001</v>
      </c>
    </row>
    <row r="49" spans="1:6">
      <c r="A49" s="348" t="s">
        <v>32</v>
      </c>
      <c r="B49" s="348" t="s">
        <v>40</v>
      </c>
      <c r="C49" s="334">
        <v>0</v>
      </c>
      <c r="D49" s="334">
        <v>0</v>
      </c>
      <c r="E49" s="334">
        <v>0</v>
      </c>
      <c r="F49" s="334">
        <v>0</v>
      </c>
    </row>
    <row r="50" spans="1:6">
      <c r="A50" s="348" t="s">
        <v>32</v>
      </c>
      <c r="B50" s="348" t="s">
        <v>41</v>
      </c>
      <c r="C50" s="334">
        <v>6</v>
      </c>
      <c r="D50" s="334">
        <v>1101015.6294</v>
      </c>
      <c r="E50" s="334">
        <v>14</v>
      </c>
      <c r="F50" s="334">
        <v>573989.85475000006</v>
      </c>
    </row>
    <row r="51" spans="1:6">
      <c r="A51" s="348" t="s">
        <v>42</v>
      </c>
      <c r="B51" s="348" t="s">
        <v>43</v>
      </c>
      <c r="C51" s="334">
        <v>4</v>
      </c>
      <c r="D51" s="334">
        <v>57591.047452999999</v>
      </c>
      <c r="E51" s="334">
        <v>34</v>
      </c>
      <c r="F51" s="334">
        <v>365439.7647</v>
      </c>
    </row>
    <row r="52" spans="1:6">
      <c r="A52" s="348" t="s">
        <v>42</v>
      </c>
      <c r="B52" s="348" t="s">
        <v>29</v>
      </c>
      <c r="C52" s="334">
        <v>9</v>
      </c>
      <c r="D52" s="334">
        <v>1212729.4753</v>
      </c>
      <c r="E52" s="334">
        <v>6</v>
      </c>
      <c r="F52" s="334">
        <v>264465.61086999997</v>
      </c>
    </row>
    <row r="53" spans="1:6">
      <c r="A53" s="348" t="s">
        <v>44</v>
      </c>
      <c r="B53" s="348" t="s">
        <v>45</v>
      </c>
      <c r="C53" s="334">
        <v>166</v>
      </c>
      <c r="D53" s="334">
        <v>5687244.8355</v>
      </c>
      <c r="E53" s="334">
        <v>308</v>
      </c>
      <c r="F53" s="334">
        <v>1887541.6021</v>
      </c>
    </row>
    <row r="54" spans="1:6">
      <c r="A54" s="348" t="s">
        <v>46</v>
      </c>
      <c r="B54" s="348" t="s">
        <v>47</v>
      </c>
      <c r="C54" s="334">
        <v>0</v>
      </c>
      <c r="D54" s="334">
        <v>0</v>
      </c>
      <c r="E54" s="334">
        <v>1</v>
      </c>
      <c r="F54" s="334">
        <v>1712671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5066351.1160000004</v>
      </c>
      <c r="E57" s="334">
        <v>97</v>
      </c>
      <c r="F57" s="334">
        <v>3283733.5490000001</v>
      </c>
    </row>
    <row r="58" spans="1:6">
      <c r="A58" s="348" t="s">
        <v>49</v>
      </c>
      <c r="B58" s="348" t="s">
        <v>51</v>
      </c>
      <c r="C58" s="334">
        <v>39</v>
      </c>
      <c r="D58" s="334">
        <v>3286840.3964</v>
      </c>
      <c r="E58" s="334">
        <v>57</v>
      </c>
      <c r="F58" s="334">
        <v>2182513.7612000001</v>
      </c>
    </row>
    <row r="59" spans="1:6">
      <c r="A59" s="348" t="s">
        <v>49</v>
      </c>
      <c r="B59" s="348" t="s">
        <v>52</v>
      </c>
      <c r="C59" s="334">
        <v>157</v>
      </c>
      <c r="D59" s="334">
        <v>8575066.2228999995</v>
      </c>
      <c r="E59" s="334">
        <v>258</v>
      </c>
      <c r="F59" s="334">
        <v>11553495.422</v>
      </c>
    </row>
    <row r="60" spans="1:6">
      <c r="A60" s="348" t="s">
        <v>49</v>
      </c>
      <c r="B60" s="348" t="s">
        <v>53</v>
      </c>
      <c r="C60" s="334">
        <v>66</v>
      </c>
      <c r="D60" s="334">
        <v>3228481.8379000002</v>
      </c>
      <c r="E60" s="334">
        <v>83</v>
      </c>
      <c r="F60" s="334">
        <v>2356765.2396999998</v>
      </c>
    </row>
    <row r="61" spans="1:6">
      <c r="A61" s="348" t="s">
        <v>49</v>
      </c>
      <c r="B61" s="348" t="s">
        <v>54</v>
      </c>
      <c r="C61" s="334">
        <v>196</v>
      </c>
      <c r="D61" s="334">
        <v>13934717.504000001</v>
      </c>
      <c r="E61" s="334">
        <v>464</v>
      </c>
      <c r="F61" s="334">
        <v>9362484.6715999991</v>
      </c>
    </row>
    <row r="62" spans="1:6">
      <c r="A62" s="348" t="s">
        <v>49</v>
      </c>
      <c r="B62" s="348" t="s">
        <v>55</v>
      </c>
      <c r="C62" s="334">
        <v>13</v>
      </c>
      <c r="D62" s="334">
        <v>1589679.0845000001</v>
      </c>
      <c r="E62" s="334">
        <v>20</v>
      </c>
      <c r="F62" s="334">
        <v>503997.56763000001</v>
      </c>
    </row>
    <row r="63" spans="1:6">
      <c r="A63" s="348" t="s">
        <v>49</v>
      </c>
      <c r="B63" s="348" t="s">
        <v>29</v>
      </c>
      <c r="C63" s="334">
        <v>97</v>
      </c>
      <c r="D63" s="334">
        <v>9696268.1938000005</v>
      </c>
      <c r="E63" s="334">
        <v>104</v>
      </c>
      <c r="F63" s="334">
        <v>3376492.8322999999</v>
      </c>
    </row>
    <row r="64" spans="1:6">
      <c r="A64" s="348" t="s">
        <v>56</v>
      </c>
      <c r="B64" s="348" t="s">
        <v>57</v>
      </c>
      <c r="C64" s="334">
        <v>0</v>
      </c>
      <c r="D64" s="334">
        <v>0</v>
      </c>
      <c r="E64" s="334">
        <v>0</v>
      </c>
      <c r="F64" s="334">
        <v>0</v>
      </c>
    </row>
    <row r="65" spans="1:6">
      <c r="A65" s="348" t="s">
        <v>56</v>
      </c>
      <c r="B65" s="348" t="s">
        <v>29</v>
      </c>
      <c r="C65" s="334">
        <v>3</v>
      </c>
      <c r="D65" s="334">
        <v>69426.314463000002</v>
      </c>
      <c r="E65" s="334">
        <v>2</v>
      </c>
      <c r="F65" s="334">
        <v>14455.641465000001</v>
      </c>
    </row>
    <row r="66" spans="1:6">
      <c r="A66" s="348" t="s">
        <v>56</v>
      </c>
      <c r="B66" s="348" t="s">
        <v>58</v>
      </c>
      <c r="C66" s="334">
        <v>0</v>
      </c>
      <c r="D66" s="334">
        <v>0</v>
      </c>
      <c r="E66" s="334">
        <v>6</v>
      </c>
      <c r="F66" s="334">
        <v>350768.27246000001</v>
      </c>
    </row>
    <row r="67" spans="1:6">
      <c r="A67" s="355" t="s">
        <v>56</v>
      </c>
      <c r="B67" s="355" t="s">
        <v>59</v>
      </c>
      <c r="C67" s="334">
        <v>0</v>
      </c>
      <c r="D67" s="334">
        <v>0</v>
      </c>
      <c r="E67" s="334">
        <v>0</v>
      </c>
      <c r="F67" s="334">
        <v>0</v>
      </c>
    </row>
    <row r="68" spans="1:6">
      <c r="A68" s="341" t="s">
        <v>56</v>
      </c>
      <c r="B68" s="341" t="s">
        <v>60</v>
      </c>
      <c r="C68" s="334">
        <v>7</v>
      </c>
      <c r="D68" s="334">
        <v>361960.25292</v>
      </c>
      <c r="E68" s="334">
        <v>11</v>
      </c>
      <c r="F68" s="334">
        <v>168082.19680999999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95942961</v>
      </c>
      <c r="E73" s="475">
        <v>97157085.383778051</v>
      </c>
    </row>
    <row r="74" spans="1:6">
      <c r="A74" s="348" t="s">
        <v>64</v>
      </c>
      <c r="B74" s="348" t="s">
        <v>667</v>
      </c>
      <c r="C74" s="1294" t="s">
        <v>669</v>
      </c>
      <c r="D74" s="475">
        <v>10433554.921713497</v>
      </c>
      <c r="E74" s="475">
        <v>10264612.331060009</v>
      </c>
    </row>
    <row r="75" spans="1:6">
      <c r="A75" s="348" t="s">
        <v>65</v>
      </c>
      <c r="B75" s="348" t="s">
        <v>666</v>
      </c>
      <c r="C75" s="1294" t="s">
        <v>670</v>
      </c>
      <c r="D75" s="475">
        <v>22301496</v>
      </c>
      <c r="E75" s="475">
        <v>22276507.802568998</v>
      </c>
    </row>
    <row r="76" spans="1:6">
      <c r="A76" s="348" t="s">
        <v>65</v>
      </c>
      <c r="B76" s="348" t="s">
        <v>667</v>
      </c>
      <c r="C76" s="1294" t="s">
        <v>671</v>
      </c>
      <c r="D76" s="475">
        <v>573568.92171349761</v>
      </c>
      <c r="E76" s="475">
        <v>590663.09117037524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174886.15657300476</v>
      </c>
      <c r="C83" s="475">
        <v>174886.15657300476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4350.6473929304066</v>
      </c>
    </row>
    <row r="92" spans="1:6">
      <c r="A92" s="341" t="s">
        <v>69</v>
      </c>
      <c r="B92" s="342">
        <v>8578.0481182441072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139576.5526543603</v>
      </c>
      <c r="C3" s="43" t="s">
        <v>170</v>
      </c>
      <c r="D3" s="43"/>
      <c r="E3" s="154"/>
      <c r="F3" s="43"/>
      <c r="G3" s="43"/>
      <c r="H3" s="43"/>
      <c r="I3" s="43"/>
      <c r="J3" s="43"/>
      <c r="K3" s="96"/>
    </row>
    <row r="4" spans="1:11">
      <c r="A4" s="383" t="s">
        <v>171</v>
      </c>
      <c r="B4" s="49">
        <f>IF(ISERROR('SEAP template'!B78+'SEAP template'!C78),0,'SEAP template'!B78+'SEAP template'!C78)</f>
        <v>16978.695511174512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962.47058823529426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0.20101225086391961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1374.9579831932776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5785.7142857142862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1712.671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1712.671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0.20101225086391961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344.26785269936005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31815.495163</v>
      </c>
      <c r="C5" s="17">
        <f>IF(ISERROR('Eigen informatie GS &amp; warmtenet'!B57),0,'Eigen informatie GS &amp; warmtenet'!B57)</f>
        <v>0</v>
      </c>
      <c r="D5" s="30">
        <f>(SUM(HH_hh_gas_kWh,HH_rest_gas_kWh)/1000)*0.902</f>
        <v>92408.012628140001</v>
      </c>
      <c r="E5" s="17">
        <f>B46*B57</f>
        <v>2952.209387925885</v>
      </c>
      <c r="F5" s="17">
        <f>B51*B62</f>
        <v>0</v>
      </c>
      <c r="G5" s="18"/>
      <c r="H5" s="17"/>
      <c r="I5" s="17"/>
      <c r="J5" s="17">
        <f>B50*B61+C50*C61</f>
        <v>0</v>
      </c>
      <c r="K5" s="17"/>
      <c r="L5" s="17"/>
      <c r="M5" s="17"/>
      <c r="N5" s="17">
        <f>B48*B59+C48*C59</f>
        <v>19070.557829345104</v>
      </c>
      <c r="O5" s="17">
        <f>B69*B70*B71</f>
        <v>262.64000000000004</v>
      </c>
      <c r="P5" s="17">
        <f>B77*B78*B79/1000-B77*B78*B79/1000/B80</f>
        <v>476.66666666666663</v>
      </c>
    </row>
    <row r="6" spans="1:16">
      <c r="A6" s="16" t="s">
        <v>624</v>
      </c>
      <c r="B6" s="788">
        <f>kWh_PV_kleiner_dan_10kW</f>
        <v>4350.6473929304066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36166.142555930404</v>
      </c>
      <c r="C8" s="21">
        <f>C5</f>
        <v>0</v>
      </c>
      <c r="D8" s="21">
        <f>D5</f>
        <v>92408.012628140001</v>
      </c>
      <c r="E8" s="21">
        <f>E5</f>
        <v>2952.209387925885</v>
      </c>
      <c r="F8" s="21">
        <f>F5</f>
        <v>0</v>
      </c>
      <c r="G8" s="21"/>
      <c r="H8" s="21"/>
      <c r="I8" s="21"/>
      <c r="J8" s="21">
        <f>J5</f>
        <v>0</v>
      </c>
      <c r="K8" s="21"/>
      <c r="L8" s="21">
        <f>L5</f>
        <v>0</v>
      </c>
      <c r="M8" s="21">
        <f>M5</f>
        <v>0</v>
      </c>
      <c r="N8" s="21">
        <f>N5</f>
        <v>19070.557829345104</v>
      </c>
      <c r="O8" s="21">
        <f>O5</f>
        <v>262.64000000000004</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0.20101225086391961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7269.8377202329611</v>
      </c>
      <c r="C12" s="23">
        <f ca="1">C10*C8</f>
        <v>0</v>
      </c>
      <c r="D12" s="23">
        <f>D8*D10</f>
        <v>18666.418550884282</v>
      </c>
      <c r="E12" s="23">
        <f>E10*E8</f>
        <v>670.15153105917591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8801</v>
      </c>
      <c r="C28" s="36"/>
      <c r="D28" s="228"/>
    </row>
    <row r="29" spans="1:7" s="15" customFormat="1">
      <c r="A29" s="230" t="s">
        <v>699</v>
      </c>
      <c r="B29" s="37">
        <f>SUM(HH_hh_gas_aantal,HH_rest_gas_aantal)</f>
        <v>6813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6813</v>
      </c>
      <c r="C32" s="167">
        <f>IF(ISERROR(B32/SUM($B$32,$B$34,$B$35,$B$36,$B$38,$B$39)*100),0,B32/SUM($B$32,$B$34,$B$35,$B$36,$B$38,$B$39)*100)</f>
        <v>77.632178669097542</v>
      </c>
      <c r="D32" s="233"/>
      <c r="G32" s="15"/>
    </row>
    <row r="33" spans="1:7">
      <c r="A33" s="171" t="s">
        <v>72</v>
      </c>
      <c r="B33" s="34" t="s">
        <v>111</v>
      </c>
      <c r="C33" s="167"/>
      <c r="D33" s="233"/>
      <c r="G33" s="15"/>
    </row>
    <row r="34" spans="1:7">
      <c r="A34" s="171" t="s">
        <v>73</v>
      </c>
      <c r="B34" s="33">
        <f>IF((($B$28-$B$32-$B$39-$B$77-$B$38)*C20/100)&lt;0,0,($B$28-$B$32-$B$39-$B$77-$B$38)*C20/100)</f>
        <v>130.52542372881356</v>
      </c>
      <c r="C34" s="167">
        <f>IF(ISERROR(B34/SUM($B$32,$B$34,$B$35,$B$36,$B$38,$B$39)*100),0,B34/SUM($B$32,$B$34,$B$35,$B$36,$B$38,$B$39)*100)</f>
        <v>1.4872997234367999</v>
      </c>
      <c r="D34" s="233"/>
      <c r="G34" s="15"/>
    </row>
    <row r="35" spans="1:7">
      <c r="A35" s="171" t="s">
        <v>74</v>
      </c>
      <c r="B35" s="33">
        <f>IF((($B$28-$B$32-$B$39-$B$77-$B$38)*C21/100)&lt;0,0,($B$28-$B$32-$B$39-$B$77-$B$38)*C21/100)</f>
        <v>1535.593220338983</v>
      </c>
      <c r="C35" s="167">
        <f>IF(ISERROR(B35/SUM($B$32,$B$34,$B$35,$B$36,$B$38,$B$39)*100),0,B35/SUM($B$32,$B$34,$B$35,$B$36,$B$38,$B$39)*100)</f>
        <v>17.497643805138821</v>
      </c>
      <c r="D35" s="233"/>
      <c r="G35" s="15"/>
    </row>
    <row r="36" spans="1:7">
      <c r="A36" s="171" t="s">
        <v>75</v>
      </c>
      <c r="B36" s="33">
        <f>IF((($B$28-$B$32-$B$39-$B$77-$B$38)*C22/100)&lt;0,0,($B$28-$B$32-$B$39-$B$77-$B$38)*C22/100)</f>
        <v>296.88135593220346</v>
      </c>
      <c r="C36" s="167">
        <f>IF(ISERROR(B36/SUM($B$32,$B$34,$B$35,$B$36,$B$38,$B$39)*100),0,B36/SUM($B$32,$B$34,$B$35,$B$36,$B$38,$B$39)*100)</f>
        <v>3.3828778023268398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6813</v>
      </c>
      <c r="C44" s="34" t="s">
        <v>111</v>
      </c>
      <c r="D44" s="174"/>
    </row>
    <row r="45" spans="1:7">
      <c r="A45" s="171" t="s">
        <v>72</v>
      </c>
      <c r="B45" s="33" t="str">
        <f t="shared" si="0"/>
        <v>-</v>
      </c>
      <c r="C45" s="34" t="s">
        <v>111</v>
      </c>
      <c r="D45" s="174"/>
    </row>
    <row r="46" spans="1:7">
      <c r="A46" s="171" t="s">
        <v>73</v>
      </c>
      <c r="B46" s="33">
        <f t="shared" si="0"/>
        <v>130.52542372881356</v>
      </c>
      <c r="C46" s="34" t="s">
        <v>111</v>
      </c>
      <c r="D46" s="174"/>
    </row>
    <row r="47" spans="1:7">
      <c r="A47" s="171" t="s">
        <v>74</v>
      </c>
      <c r="B47" s="33">
        <f t="shared" si="0"/>
        <v>1535.593220338983</v>
      </c>
      <c r="C47" s="34" t="s">
        <v>111</v>
      </c>
      <c r="D47" s="174"/>
    </row>
    <row r="48" spans="1:7">
      <c r="A48" s="171" t="s">
        <v>75</v>
      </c>
      <c r="B48" s="33">
        <f t="shared" si="0"/>
        <v>296.88135593220346</v>
      </c>
      <c r="C48" s="33">
        <f>B48*10</f>
        <v>2968.8135593220345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32619.483043429998</v>
      </c>
      <c r="C5" s="17">
        <f>IF(ISERROR('Eigen informatie GS &amp; warmtenet'!B58),0,'Eigen informatie GS &amp; warmtenet'!B58)</f>
        <v>0</v>
      </c>
      <c r="D5" s="30">
        <f>SUM(D6:D12)</f>
        <v>40930.418728661003</v>
      </c>
      <c r="E5" s="17">
        <f>SUM(E6:E12)</f>
        <v>630.76025054934576</v>
      </c>
      <c r="F5" s="17">
        <f>SUM(F6:F12)</f>
        <v>7948.8274889667828</v>
      </c>
      <c r="G5" s="18"/>
      <c r="H5" s="17"/>
      <c r="I5" s="17"/>
      <c r="J5" s="17">
        <f>SUM(J6:J12)</f>
        <v>0</v>
      </c>
      <c r="K5" s="17"/>
      <c r="L5" s="17"/>
      <c r="M5" s="17"/>
      <c r="N5" s="17">
        <f>SUM(N6:N12)</f>
        <v>2935.9980462363592</v>
      </c>
      <c r="O5" s="17">
        <f>B38*B39*B40</f>
        <v>4.6900000000000004</v>
      </c>
      <c r="P5" s="17">
        <f>B46*B47*B48/1000-B46*B47*B48/1000/B49</f>
        <v>57.2</v>
      </c>
      <c r="R5" s="32"/>
    </row>
    <row r="6" spans="1:18">
      <c r="A6" s="32" t="s">
        <v>54</v>
      </c>
      <c r="B6" s="37">
        <f>B26</f>
        <v>9362.4846715999993</v>
      </c>
      <c r="C6" s="33"/>
      <c r="D6" s="37">
        <f>IF(ISERROR(TER_kantoor_gas_kWh/1000),0,TER_kantoor_gas_kWh/1000)*0.902</f>
        <v>12569.115188608001</v>
      </c>
      <c r="E6" s="33">
        <f>$C$26*'E Balans VL '!I12/100/3.6*1000000</f>
        <v>122.56645726004119</v>
      </c>
      <c r="F6" s="33">
        <f>$C$26*('E Balans VL '!L12+'E Balans VL '!N12)/100/3.6*1000000</f>
        <v>2387.3368429554266</v>
      </c>
      <c r="G6" s="34"/>
      <c r="H6" s="33"/>
      <c r="I6" s="33"/>
      <c r="J6" s="33">
        <f>$C$26*('E Balans VL '!D12+'E Balans VL '!E12)/100/3.6*1000000</f>
        <v>0</v>
      </c>
      <c r="K6" s="33"/>
      <c r="L6" s="33"/>
      <c r="M6" s="33"/>
      <c r="N6" s="33">
        <f>$C$26*'E Balans VL '!Y12/100/3.6*1000000</f>
        <v>9.394012337250631</v>
      </c>
      <c r="O6" s="33"/>
      <c r="P6" s="33"/>
      <c r="R6" s="32"/>
    </row>
    <row r="7" spans="1:18">
      <c r="A7" s="32" t="s">
        <v>53</v>
      </c>
      <c r="B7" s="37">
        <f t="shared" ref="B7:B12" si="0">B27</f>
        <v>2356.7652396999997</v>
      </c>
      <c r="C7" s="33"/>
      <c r="D7" s="37">
        <f>IF(ISERROR(TER_horeca_gas_kWh/1000),0,TER_horeca_gas_kWh/1000)*0.902</f>
        <v>2912.0906177858005</v>
      </c>
      <c r="E7" s="33">
        <f>$C$27*'E Balans VL '!I9/100/3.6*1000000</f>
        <v>77.99459371202218</v>
      </c>
      <c r="F7" s="33">
        <f>$C$27*('E Balans VL '!L9+'E Balans VL '!N9)/100/3.6*1000000</f>
        <v>1013.4000208525446</v>
      </c>
      <c r="G7" s="34"/>
      <c r="H7" s="33"/>
      <c r="I7" s="33"/>
      <c r="J7" s="33">
        <f>$C$27*('E Balans VL '!D9+'E Balans VL '!E9)/100/3.6*1000000</f>
        <v>0</v>
      </c>
      <c r="K7" s="33"/>
      <c r="L7" s="33"/>
      <c r="M7" s="33"/>
      <c r="N7" s="33">
        <f>$C$27*'E Balans VL '!Y9/100/3.6*1000000</f>
        <v>0.56730761718284084</v>
      </c>
      <c r="O7" s="33"/>
      <c r="P7" s="33"/>
      <c r="R7" s="32"/>
    </row>
    <row r="8" spans="1:18">
      <c r="A8" s="6" t="s">
        <v>52</v>
      </c>
      <c r="B8" s="37">
        <f t="shared" si="0"/>
        <v>11553.495422</v>
      </c>
      <c r="C8" s="33"/>
      <c r="D8" s="37">
        <f>IF(ISERROR(TER_handel_gas_kWh/1000),0,TER_handel_gas_kWh/1000)*0.902</f>
        <v>7734.709733055799</v>
      </c>
      <c r="E8" s="33">
        <f>$C$28*'E Balans VL '!I13/100/3.6*1000000</f>
        <v>364.64596873384875</v>
      </c>
      <c r="F8" s="33">
        <f>$C$28*('E Balans VL '!L13+'E Balans VL '!N13)/100/3.6*1000000</f>
        <v>2265.8438966776312</v>
      </c>
      <c r="G8" s="34"/>
      <c r="H8" s="33"/>
      <c r="I8" s="33"/>
      <c r="J8" s="33">
        <f>$C$28*('E Balans VL '!D13+'E Balans VL '!E13)/100/3.6*1000000</f>
        <v>0</v>
      </c>
      <c r="K8" s="33"/>
      <c r="L8" s="33"/>
      <c r="M8" s="33"/>
      <c r="N8" s="33">
        <f>$C$28*'E Balans VL '!Y13/100/3.6*1000000</f>
        <v>13.711755982314955</v>
      </c>
      <c r="O8" s="33"/>
      <c r="P8" s="33"/>
      <c r="R8" s="32"/>
    </row>
    <row r="9" spans="1:18">
      <c r="A9" s="32" t="s">
        <v>51</v>
      </c>
      <c r="B9" s="37">
        <f t="shared" si="0"/>
        <v>2182.5137611999999</v>
      </c>
      <c r="C9" s="33"/>
      <c r="D9" s="37">
        <f>IF(ISERROR(TER_gezond_gas_kWh/1000),0,TER_gezond_gas_kWh/1000)*0.902</f>
        <v>2964.7300375527998</v>
      </c>
      <c r="E9" s="33">
        <f>$C$29*'E Balans VL '!I10/100/3.6*1000000</f>
        <v>0.27942560945701594</v>
      </c>
      <c r="F9" s="33">
        <f>$C$29*('E Balans VL '!L10+'E Balans VL '!N10)/100/3.6*1000000</f>
        <v>454.70909399300263</v>
      </c>
      <c r="G9" s="34"/>
      <c r="H9" s="33"/>
      <c r="I9" s="33"/>
      <c r="J9" s="33">
        <f>$C$29*('E Balans VL '!D10+'E Balans VL '!E10)/100/3.6*1000000</f>
        <v>0</v>
      </c>
      <c r="K9" s="33"/>
      <c r="L9" s="33"/>
      <c r="M9" s="33"/>
      <c r="N9" s="33">
        <f>$C$29*'E Balans VL '!Y10/100/3.6*1000000</f>
        <v>25.634655716916587</v>
      </c>
      <c r="O9" s="33"/>
      <c r="P9" s="33"/>
      <c r="R9" s="32"/>
    </row>
    <row r="10" spans="1:18">
      <c r="A10" s="32" t="s">
        <v>50</v>
      </c>
      <c r="B10" s="37">
        <f t="shared" si="0"/>
        <v>3283.733549</v>
      </c>
      <c r="C10" s="33"/>
      <c r="D10" s="37">
        <f>IF(ISERROR(TER_ander_gas_kWh/1000),0,TER_ander_gas_kWh/1000)*0.902</f>
        <v>4569.8487066320004</v>
      </c>
      <c r="E10" s="33">
        <f>$C$30*'E Balans VL '!I14/100/3.6*1000000</f>
        <v>4.9379630365653746</v>
      </c>
      <c r="F10" s="33">
        <f>$C$30*('E Balans VL '!L14+'E Balans VL '!N14)/100/3.6*1000000</f>
        <v>724.94251779163358</v>
      </c>
      <c r="G10" s="34"/>
      <c r="H10" s="33"/>
      <c r="I10" s="33"/>
      <c r="J10" s="33">
        <f>$C$30*('E Balans VL '!D14+'E Balans VL '!E14)/100/3.6*1000000</f>
        <v>0</v>
      </c>
      <c r="K10" s="33"/>
      <c r="L10" s="33"/>
      <c r="M10" s="33"/>
      <c r="N10" s="33">
        <f>$C$30*'E Balans VL '!Y14/100/3.6*1000000</f>
        <v>2587.8030235478109</v>
      </c>
      <c r="O10" s="33"/>
      <c r="P10" s="33"/>
      <c r="R10" s="32"/>
    </row>
    <row r="11" spans="1:18">
      <c r="A11" s="32" t="s">
        <v>55</v>
      </c>
      <c r="B11" s="37">
        <f t="shared" si="0"/>
        <v>503.99756762999999</v>
      </c>
      <c r="C11" s="33"/>
      <c r="D11" s="37">
        <f>IF(ISERROR(TER_onderwijs_gas_kWh/1000),0,TER_onderwijs_gas_kWh/1000)*0.902</f>
        <v>1433.8905342190001</v>
      </c>
      <c r="E11" s="33">
        <f>$C$31*'E Balans VL '!I11/100/3.6*1000000</f>
        <v>0.88758195144660701</v>
      </c>
      <c r="F11" s="33">
        <f>$C$31*('E Balans VL '!L11+'E Balans VL '!N11)/100/3.6*1000000</f>
        <v>232.70479679567381</v>
      </c>
      <c r="G11" s="34"/>
      <c r="H11" s="33"/>
      <c r="I11" s="33"/>
      <c r="J11" s="33">
        <f>$C$31*('E Balans VL '!D11+'E Balans VL '!E11)/100/3.6*1000000</f>
        <v>0</v>
      </c>
      <c r="K11" s="33"/>
      <c r="L11" s="33"/>
      <c r="M11" s="33"/>
      <c r="N11" s="33">
        <f>$C$31*'E Balans VL '!Y11/100/3.6*1000000</f>
        <v>0.9389544381655236</v>
      </c>
      <c r="O11" s="33"/>
      <c r="P11" s="33"/>
      <c r="R11" s="32"/>
    </row>
    <row r="12" spans="1:18">
      <c r="A12" s="32" t="s">
        <v>260</v>
      </c>
      <c r="B12" s="37">
        <f t="shared" si="0"/>
        <v>3376.4928322999999</v>
      </c>
      <c r="C12" s="33"/>
      <c r="D12" s="37">
        <f>IF(ISERROR(TER_rest_gas_kWh/1000),0,TER_rest_gas_kWh/1000)*0.902</f>
        <v>8746.0339108076005</v>
      </c>
      <c r="E12" s="33">
        <f>$C$32*'E Balans VL '!I8/100/3.6*1000000</f>
        <v>59.448260245964647</v>
      </c>
      <c r="F12" s="33">
        <f>$C$32*('E Balans VL '!L8+'E Balans VL '!N8)/100/3.6*1000000</f>
        <v>869.89031990087051</v>
      </c>
      <c r="G12" s="34"/>
      <c r="H12" s="33"/>
      <c r="I12" s="33"/>
      <c r="J12" s="33">
        <f>$C$32*('E Balans VL '!D8+'E Balans VL '!E8)/100/3.6*1000000</f>
        <v>0</v>
      </c>
      <c r="K12" s="33"/>
      <c r="L12" s="33"/>
      <c r="M12" s="33"/>
      <c r="N12" s="33">
        <f>$C$32*'E Balans VL '!Y8/100/3.6*1000000</f>
        <v>297.9483365967177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32619.483043429998</v>
      </c>
      <c r="C16" s="21">
        <f t="shared" ca="1" si="1"/>
        <v>0</v>
      </c>
      <c r="D16" s="21">
        <f t="shared" ca="1" si="1"/>
        <v>40930.418728661003</v>
      </c>
      <c r="E16" s="21">
        <f t="shared" si="1"/>
        <v>630.76025054934576</v>
      </c>
      <c r="F16" s="21">
        <f t="shared" ca="1" si="1"/>
        <v>7948.8274889667828</v>
      </c>
      <c r="G16" s="21">
        <f t="shared" si="1"/>
        <v>0</v>
      </c>
      <c r="H16" s="21">
        <f t="shared" si="1"/>
        <v>0</v>
      </c>
      <c r="I16" s="21">
        <f t="shared" si="1"/>
        <v>0</v>
      </c>
      <c r="J16" s="21">
        <f t="shared" si="1"/>
        <v>0</v>
      </c>
      <c r="K16" s="21">
        <f t="shared" si="1"/>
        <v>0</v>
      </c>
      <c r="L16" s="21">
        <f t="shared" ca="1" si="1"/>
        <v>0</v>
      </c>
      <c r="M16" s="21">
        <f t="shared" si="1"/>
        <v>0</v>
      </c>
      <c r="N16" s="21">
        <f t="shared" ca="1" si="1"/>
        <v>2935.9980462363592</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0.20101225086391961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6556.9157085773222</v>
      </c>
      <c r="C20" s="23">
        <f t="shared" ref="C20:P20" ca="1" si="2">C16*C18</f>
        <v>0</v>
      </c>
      <c r="D20" s="23">
        <f t="shared" ca="1" si="2"/>
        <v>8267.9445831895227</v>
      </c>
      <c r="E20" s="23">
        <f t="shared" si="2"/>
        <v>143.18257687470148</v>
      </c>
      <c r="F20" s="23">
        <f t="shared" ca="1" si="2"/>
        <v>2122.3369395541313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9362.4846715999993</v>
      </c>
      <c r="C26" s="39">
        <f>IF(ISERROR(B26*3.6/1000000/'E Balans VL '!Z12*100),0,B26*3.6/1000000/'E Balans VL '!Z12*100)</f>
        <v>0.20055169509678936</v>
      </c>
      <c r="D26" s="237" t="s">
        <v>660</v>
      </c>
      <c r="F26" s="6"/>
    </row>
    <row r="27" spans="1:18">
      <c r="A27" s="231" t="s">
        <v>53</v>
      </c>
      <c r="B27" s="33">
        <f>IF(ISERROR(TER_horeca_ele_kWh/1000),0,TER_horeca_ele_kWh/1000)</f>
        <v>2356.7652396999997</v>
      </c>
      <c r="C27" s="39">
        <f>IF(ISERROR(B27*3.6/1000000/'E Balans VL '!Z9*100),0,B27*3.6/1000000/'E Balans VL '!Z9*100)</f>
        <v>0.18912221845356919</v>
      </c>
      <c r="D27" s="237" t="s">
        <v>660</v>
      </c>
      <c r="F27" s="6"/>
    </row>
    <row r="28" spans="1:18">
      <c r="A28" s="171" t="s">
        <v>52</v>
      </c>
      <c r="B28" s="33">
        <f>IF(ISERROR(TER_handel_ele_kWh/1000),0,TER_handel_ele_kWh/1000)</f>
        <v>11553.495422</v>
      </c>
      <c r="C28" s="39">
        <f>IF(ISERROR(B28*3.6/1000000/'E Balans VL '!Z13*100),0,B28*3.6/1000000/'E Balans VL '!Z13*100)</f>
        <v>0.34076184674248339</v>
      </c>
      <c r="D28" s="237" t="s">
        <v>660</v>
      </c>
      <c r="F28" s="6"/>
    </row>
    <row r="29" spans="1:18">
      <c r="A29" s="231" t="s">
        <v>51</v>
      </c>
      <c r="B29" s="33">
        <f>IF(ISERROR(TER_gezond_ele_kWh/1000),0,TER_gezond_ele_kWh/1000)</f>
        <v>2182.5137611999999</v>
      </c>
      <c r="C29" s="39">
        <f>IF(ISERROR(B29*3.6/1000000/'E Balans VL '!Z10*100),0,B29*3.6/1000000/'E Balans VL '!Z10*100)</f>
        <v>0.23303395430791324</v>
      </c>
      <c r="D29" s="237" t="s">
        <v>660</v>
      </c>
      <c r="F29" s="6"/>
    </row>
    <row r="30" spans="1:18">
      <c r="A30" s="231" t="s">
        <v>50</v>
      </c>
      <c r="B30" s="33">
        <f>IF(ISERROR(TER_ander_ele_kWh/1000),0,TER_ander_ele_kWh/1000)</f>
        <v>3283.733549</v>
      </c>
      <c r="C30" s="39">
        <f>IF(ISERROR(B30*3.6/1000000/'E Balans VL '!Z14*100),0,B30*3.6/1000000/'E Balans VL '!Z14*100)</f>
        <v>0.24803328965748755</v>
      </c>
      <c r="D30" s="237" t="s">
        <v>660</v>
      </c>
      <c r="F30" s="6"/>
    </row>
    <row r="31" spans="1:18">
      <c r="A31" s="231" t="s">
        <v>55</v>
      </c>
      <c r="B31" s="33">
        <f>IF(ISERROR(TER_onderwijs_ele_kWh/1000),0,TER_onderwijs_ele_kWh/1000)</f>
        <v>503.99756762999999</v>
      </c>
      <c r="C31" s="39">
        <f>IF(ISERROR(B31*3.6/1000000/'E Balans VL '!Z11*100),0,B31*3.6/1000000/'E Balans VL '!Z11*100)</f>
        <v>0.10177393364308643</v>
      </c>
      <c r="D31" s="237" t="s">
        <v>660</v>
      </c>
    </row>
    <row r="32" spans="1:18">
      <c r="A32" s="231" t="s">
        <v>260</v>
      </c>
      <c r="B32" s="33">
        <f>IF(ISERROR(TER_rest_ele_kWh/1000),0,TER_rest_ele_kWh/1000)</f>
        <v>3376.4928322999999</v>
      </c>
      <c r="C32" s="39">
        <f>IF(ISERROR(B32*3.6/1000000/'E Balans VL '!Z8*100),0,B32*3.6/1000000/'E Balans VL '!Z8*100)</f>
        <v>2.7995827312117114E-2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62483.100233800011</v>
      </c>
      <c r="C5" s="17">
        <f>IF(ISERROR('Eigen informatie GS &amp; warmtenet'!B59),0,'Eigen informatie GS &amp; warmtenet'!B59)</f>
        <v>0</v>
      </c>
      <c r="D5" s="30">
        <f>SUM(D6:D15)</f>
        <v>77238.793122400588</v>
      </c>
      <c r="E5" s="17">
        <f>SUM(E6:E15)</f>
        <v>8847.2508064324738</v>
      </c>
      <c r="F5" s="17">
        <f>SUM(F6:F15)</f>
        <v>31258.161552873506</v>
      </c>
      <c r="G5" s="18"/>
      <c r="H5" s="17"/>
      <c r="I5" s="17"/>
      <c r="J5" s="17">
        <f>SUM(J6:J15)</f>
        <v>269.98534929599128</v>
      </c>
      <c r="K5" s="17"/>
      <c r="L5" s="17"/>
      <c r="M5" s="17"/>
      <c r="N5" s="17">
        <f>SUM(N6:N15)</f>
        <v>15483.056774709454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234.05447505000001</v>
      </c>
      <c r="C8" s="33"/>
      <c r="D8" s="37">
        <f>IF( ISERROR(IND_metaal_Gas_kWH/1000),0,IND_metaal_Gas_kWH/1000)*0.902</f>
        <v>184.41527499978</v>
      </c>
      <c r="E8" s="33">
        <f>C30*'E Balans VL '!I18/100/3.6*1000000</f>
        <v>8.4219880750841902</v>
      </c>
      <c r="F8" s="33">
        <f>C30*'E Balans VL '!L18/100/3.6*1000000+C30*'E Balans VL '!N18/100/3.6*1000000</f>
        <v>102.20400202456297</v>
      </c>
      <c r="G8" s="34"/>
      <c r="H8" s="33"/>
      <c r="I8" s="33"/>
      <c r="J8" s="40">
        <f>C30*'E Balans VL '!D18/100/3.6*1000000+C30*'E Balans VL '!E18/100/3.6*1000000</f>
        <v>0</v>
      </c>
      <c r="K8" s="33"/>
      <c r="L8" s="33"/>
      <c r="M8" s="33"/>
      <c r="N8" s="33">
        <f>C30*'E Balans VL '!Y18/100/3.6*1000000</f>
        <v>11.730651232636601</v>
      </c>
      <c r="O8" s="33"/>
      <c r="P8" s="33"/>
      <c r="R8" s="32"/>
    </row>
    <row r="9" spans="1:18">
      <c r="A9" s="6" t="s">
        <v>33</v>
      </c>
      <c r="B9" s="37">
        <f t="shared" si="0"/>
        <v>27440.461157000002</v>
      </c>
      <c r="C9" s="33"/>
      <c r="D9" s="37">
        <f>IF( ISERROR(IND_andere_gas_kWh/1000),0,IND_andere_gas_kWh/1000)*0.902</f>
        <v>7539.0319722146005</v>
      </c>
      <c r="E9" s="33">
        <f>C31*'E Balans VL '!I19/100/3.6*1000000</f>
        <v>7002.1848294431402</v>
      </c>
      <c r="F9" s="33">
        <f>C31*'E Balans VL '!L19/100/3.6*1000000+C31*'E Balans VL '!N19/100/3.6*1000000</f>
        <v>23624.174550933123</v>
      </c>
      <c r="G9" s="34"/>
      <c r="H9" s="33"/>
      <c r="I9" s="33"/>
      <c r="J9" s="40">
        <f>C31*'E Balans VL '!D19/100/3.6*1000000+C31*'E Balans VL '!E19/100/3.6*1000000</f>
        <v>0</v>
      </c>
      <c r="K9" s="33"/>
      <c r="L9" s="33"/>
      <c r="M9" s="33"/>
      <c r="N9" s="33">
        <f>C31*'E Balans VL '!Y19/100/3.6*1000000</f>
        <v>8581.5719414434734</v>
      </c>
      <c r="O9" s="33"/>
      <c r="P9" s="33"/>
      <c r="R9" s="32"/>
    </row>
    <row r="10" spans="1:18">
      <c r="A10" s="6" t="s">
        <v>41</v>
      </c>
      <c r="B10" s="37">
        <f t="shared" si="0"/>
        <v>573.98985475000006</v>
      </c>
      <c r="C10" s="33"/>
      <c r="D10" s="37">
        <f>IF( ISERROR(IND_voed_gas_kWh/1000),0,IND_voed_gas_kWh/1000)*0.902</f>
        <v>993.11609771880012</v>
      </c>
      <c r="E10" s="33">
        <f>C32*'E Balans VL '!I20/100/3.6*1000000</f>
        <v>14.591610260403353</v>
      </c>
      <c r="F10" s="33">
        <f>C32*'E Balans VL '!L20/100/3.6*1000000+C32*'E Balans VL '!N20/100/3.6*1000000</f>
        <v>129.88528779913236</v>
      </c>
      <c r="G10" s="34"/>
      <c r="H10" s="33"/>
      <c r="I10" s="33"/>
      <c r="J10" s="40">
        <f>C32*'E Balans VL '!D20/100/3.6*1000000+C32*'E Balans VL '!E20/100/3.6*1000000</f>
        <v>0</v>
      </c>
      <c r="K10" s="33"/>
      <c r="L10" s="33"/>
      <c r="M10" s="33"/>
      <c r="N10" s="33">
        <f>C32*'E Balans VL '!Y20/100/3.6*1000000</f>
        <v>215.26175413823992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1088.7988989999999</v>
      </c>
      <c r="C12" s="33"/>
      <c r="D12" s="37">
        <f>IF( ISERROR(IND_min_gas_kWh/1000),0,IND_min_gas_kWh/1000)*0.902</f>
        <v>200.81197664571999</v>
      </c>
      <c r="E12" s="33">
        <f>C34*'E Balans VL '!I22/100/3.6*1000000</f>
        <v>23.134247831761691</v>
      </c>
      <c r="F12" s="33">
        <f>C34*'E Balans VL '!L22/100/3.6*1000000+C34*'E Balans VL '!N22/100/3.6*1000000</f>
        <v>177.64681922343982</v>
      </c>
      <c r="G12" s="34"/>
      <c r="H12" s="33"/>
      <c r="I12" s="33"/>
      <c r="J12" s="40">
        <f>C34*'E Balans VL '!D22/100/3.6*1000000+C34*'E Balans VL '!E22/100/3.6*1000000</f>
        <v>1.2685523246056658</v>
      </c>
      <c r="K12" s="33"/>
      <c r="L12" s="33"/>
      <c r="M12" s="33"/>
      <c r="N12" s="33">
        <f>C34*'E Balans VL '!Y22/100/3.6*1000000</f>
        <v>0</v>
      </c>
      <c r="O12" s="33"/>
      <c r="P12" s="33"/>
      <c r="R12" s="32"/>
    </row>
    <row r="13" spans="1:18">
      <c r="A13" s="6" t="s">
        <v>39</v>
      </c>
      <c r="B13" s="37">
        <f t="shared" si="0"/>
        <v>0</v>
      </c>
      <c r="C13" s="33"/>
      <c r="D13" s="37">
        <f>IF( ISERROR(IND_papier_gas_kWh/1000),0,IND_papier_gas_kWh/1000)*0.902</f>
        <v>415.97638707768004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33145.795848000002</v>
      </c>
      <c r="C15" s="33"/>
      <c r="D15" s="37">
        <f>IF( ISERROR(IND_rest_gas_kWh/1000),0,IND_rest_gas_kWh/1000)*0.902</f>
        <v>67905.441413744004</v>
      </c>
      <c r="E15" s="33">
        <f>C37*'E Balans VL '!I15/100/3.6*1000000</f>
        <v>1798.9181308220841</v>
      </c>
      <c r="F15" s="33">
        <f>C37*'E Balans VL '!L15/100/3.6*1000000+C37*'E Balans VL '!N15/100/3.6*1000000</f>
        <v>7224.2508928932493</v>
      </c>
      <c r="G15" s="34"/>
      <c r="H15" s="33"/>
      <c r="I15" s="33"/>
      <c r="J15" s="40">
        <f>C37*'E Balans VL '!D15/100/3.6*1000000+C37*'E Balans VL '!E15/100/3.6*1000000</f>
        <v>268.71679697138563</v>
      </c>
      <c r="K15" s="33"/>
      <c r="L15" s="33"/>
      <c r="M15" s="33"/>
      <c r="N15" s="33">
        <f>C37*'E Balans VL '!Y15/100/3.6*1000000</f>
        <v>6674.492427895103</v>
      </c>
      <c r="O15" s="33"/>
      <c r="P15" s="33"/>
      <c r="R15" s="32"/>
    </row>
    <row r="16" spans="1:18">
      <c r="A16" s="16" t="s">
        <v>491</v>
      </c>
      <c r="B16" s="247">
        <f>'lokale energieproductie'!N90+'lokale energieproductie'!N59</f>
        <v>4050</v>
      </c>
      <c r="C16" s="247">
        <f>'lokale energieproductie'!O90+'lokale energieproductie'!O59</f>
        <v>5785.7142857142862</v>
      </c>
      <c r="D16" s="310">
        <f>('lokale energieproductie'!P59+'lokale energieproductie'!P90)*(-1)</f>
        <v>-11571.428571428572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66533.100233800011</v>
      </c>
      <c r="C18" s="21">
        <f>C5+C16</f>
        <v>5785.7142857142862</v>
      </c>
      <c r="D18" s="21">
        <f>MAX((D5+D16),0)</f>
        <v>65667.364550972008</v>
      </c>
      <c r="E18" s="21">
        <f>MAX((E5+E16),0)</f>
        <v>8847.2508064324738</v>
      </c>
      <c r="F18" s="21">
        <f>MAX((F5+F16),0)</f>
        <v>31258.161552873506</v>
      </c>
      <c r="G18" s="21"/>
      <c r="H18" s="21"/>
      <c r="I18" s="21"/>
      <c r="J18" s="21">
        <f>MAX((J5+J16),0)</f>
        <v>269.98534929599128</v>
      </c>
      <c r="K18" s="21"/>
      <c r="L18" s="21">
        <f>MAX((L5+L16),0)</f>
        <v>0</v>
      </c>
      <c r="M18" s="21"/>
      <c r="N18" s="21">
        <f>MAX((N5+N16),0)</f>
        <v>15483.056774709454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0.20101225086391961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13373.968234950917</v>
      </c>
      <c r="C22" s="23">
        <f ca="1">C18*C20</f>
        <v>1374.9579831932776</v>
      </c>
      <c r="D22" s="23">
        <f>D18*D20</f>
        <v>13264.807639296347</v>
      </c>
      <c r="E22" s="23">
        <f>E18*E20</f>
        <v>2008.3259330601716</v>
      </c>
      <c r="F22" s="23">
        <f>F18*F20</f>
        <v>8345.9291346172267</v>
      </c>
      <c r="G22" s="23"/>
      <c r="H22" s="23"/>
      <c r="I22" s="23"/>
      <c r="J22" s="23">
        <f>J18*J20</f>
        <v>95.574813650780911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234.05447505000001</v>
      </c>
      <c r="C30" s="39">
        <f>IF(ISERROR(B30*3.6/1000000/'E Balans VL '!Z18*100),0,B30*3.6/1000000/'E Balans VL '!Z18*100)</f>
        <v>4.9591125267401934E-2</v>
      </c>
      <c r="D30" s="237" t="s">
        <v>660</v>
      </c>
    </row>
    <row r="31" spans="1:18">
      <c r="A31" s="6" t="s">
        <v>33</v>
      </c>
      <c r="B31" s="37">
        <f>IF( ISERROR(IND_ander_ele_kWh/1000),0,IND_ander_ele_kWh/1000)</f>
        <v>27440.461157000002</v>
      </c>
      <c r="C31" s="39">
        <f>IF(ISERROR(B31*3.6/1000000/'E Balans VL '!Z19*100),0,B31*3.6/1000000/'E Balans VL '!Z19*100)</f>
        <v>1.1550313181966003</v>
      </c>
      <c r="D31" s="237" t="s">
        <v>660</v>
      </c>
    </row>
    <row r="32" spans="1:18">
      <c r="A32" s="171" t="s">
        <v>41</v>
      </c>
      <c r="B32" s="37">
        <f>IF( ISERROR(IND_voed_ele_kWh/1000),0,IND_voed_ele_kWh/1000)</f>
        <v>573.98985475000006</v>
      </c>
      <c r="C32" s="39">
        <f>IF(ISERROR(B32*3.6/1000000/'E Balans VL '!Z20*100),0,B32*3.6/1000000/'E Balans VL '!Z20*100)</f>
        <v>9.589149948454119E-2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1088.7988989999999</v>
      </c>
      <c r="C34" s="39">
        <f>IF(ISERROR(B34*3.6/1000000/'E Balans VL '!Z22*100),0,B34*3.6/1000000/'E Balans VL '!Z22*100)</f>
        <v>0.13801113232336995</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33145.795848000002</v>
      </c>
      <c r="C37" s="39">
        <f>IF(ISERROR(B37*3.6/1000000/'E Balans VL '!Z15*100),0,B37*3.6/1000000/'E Balans VL '!Z15*100)</f>
        <v>0.26759884452131599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629.90537556999993</v>
      </c>
      <c r="C5" s="17">
        <f>'Eigen informatie GS &amp; warmtenet'!B60</f>
        <v>0</v>
      </c>
      <c r="D5" s="30">
        <f>IF(ISERROR(SUM(LB_lb_gas_kWh,LB_rest_gas_kWh)/1000),0,SUM(LB_lb_gas_kWh,LB_rest_gas_kWh)/1000)*0.902</f>
        <v>1145.8291115232059</v>
      </c>
      <c r="E5" s="17">
        <f>B17*'E Balans VL '!I25/3.6*1000000/100</f>
        <v>16.24284107892899</v>
      </c>
      <c r="F5" s="17">
        <f>B17*('E Balans VL '!L25/3.6*1000000+'E Balans VL '!N25/3.6*1000000)/100</f>
        <v>2302.42410735983</v>
      </c>
      <c r="G5" s="18"/>
      <c r="H5" s="17"/>
      <c r="I5" s="17"/>
      <c r="J5" s="17">
        <f>('E Balans VL '!D25+'E Balans VL '!E25)/3.6*1000000*landbouw!B17/100</f>
        <v>90.683201969039771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629.90537556999993</v>
      </c>
      <c r="C8" s="21">
        <f>C5+C6</f>
        <v>0</v>
      </c>
      <c r="D8" s="21">
        <f>MAX((D5+D6),0)</f>
        <v>1145.8291115232059</v>
      </c>
      <c r="E8" s="21">
        <f>MAX((E5+E6),0)</f>
        <v>16.24284107892899</v>
      </c>
      <c r="F8" s="21">
        <f>MAX((F5+F6),0)</f>
        <v>2302.42410735983</v>
      </c>
      <c r="G8" s="21"/>
      <c r="H8" s="21"/>
      <c r="I8" s="21"/>
      <c r="J8" s="21">
        <f>MAX((J5+J6),0)</f>
        <v>90.683201969039771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0.20101225086391961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126.61869737460832</v>
      </c>
      <c r="C12" s="23">
        <f ca="1">C8*C10</f>
        <v>0</v>
      </c>
      <c r="D12" s="23">
        <f>D8*D10</f>
        <v>231.45748052768761</v>
      </c>
      <c r="E12" s="23">
        <f>E8*E10</f>
        <v>3.6871249249168807</v>
      </c>
      <c r="F12" s="23">
        <f>F8*F10</f>
        <v>614.74723666507464</v>
      </c>
      <c r="G12" s="23"/>
      <c r="H12" s="23"/>
      <c r="I12" s="23"/>
      <c r="J12" s="23">
        <f>J8*J10</f>
        <v>32.101853497040075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8.8820830355020586E-2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103.12425893921844</v>
      </c>
      <c r="C26" s="247">
        <f>B26*'GWP N2O_CH4'!B5</f>
        <v>2165.6094377235872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13.631760580002748</v>
      </c>
      <c r="C27" s="247">
        <f>B27*'GWP N2O_CH4'!B5</f>
        <v>286.26697218005768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1.4748353417356923</v>
      </c>
      <c r="C28" s="247">
        <f>B28*'GWP N2O_CH4'!B4</f>
        <v>457.19895593806461</v>
      </c>
      <c r="D28" s="50"/>
    </row>
    <row r="29" spans="1:4">
      <c r="A29" s="41" t="s">
        <v>277</v>
      </c>
      <c r="B29" s="247">
        <f>B34*'ha_N2O bodem landbouw'!B4</f>
        <v>8.5936870642614185</v>
      </c>
      <c r="C29" s="247">
        <f>B29*'GWP N2O_CH4'!B4</f>
        <v>2664.0429899210399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1.9340465839984798E-3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9.9751836707540778E-5</v>
      </c>
      <c r="C5" s="463" t="s">
        <v>211</v>
      </c>
      <c r="D5" s="448">
        <f>SUM(D6:D11)</f>
        <v>2.2701741243603632E-4</v>
      </c>
      <c r="E5" s="448">
        <f>SUM(E6:E11)</f>
        <v>8.738122119921071E-4</v>
      </c>
      <c r="F5" s="461" t="s">
        <v>211</v>
      </c>
      <c r="G5" s="448">
        <f>SUM(G6:G11)</f>
        <v>0.31096284167437044</v>
      </c>
      <c r="H5" s="448">
        <f>SUM(H6:H11)</f>
        <v>6.0951087339381975E-2</v>
      </c>
      <c r="I5" s="463" t="s">
        <v>211</v>
      </c>
      <c r="J5" s="463" t="s">
        <v>211</v>
      </c>
      <c r="K5" s="463" t="s">
        <v>211</v>
      </c>
      <c r="L5" s="463" t="s">
        <v>211</v>
      </c>
      <c r="M5" s="448">
        <f>SUM(M6:M11)</f>
        <v>1.1623070117351029E-2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8.0938141387126104E-5</v>
      </c>
      <c r="C6" s="449"/>
      <c r="D6" s="892">
        <f>vkm_2011_GW_PW*SUMIFS(TableVerdeelsleutelVkm[CNG],TableVerdeelsleutelVkm[Voertuigtype],"Lichte voertuigen")*SUMIFS(TableECFTransport[EnergieConsumptieFactor (PJ per km)],TableECFTransport[Index],CONCATENATE($A6,"_CNG_CNG"))</f>
        <v>1.6082550469196242E-4</v>
      </c>
      <c r="E6" s="892">
        <f>vkm_2011_GW_PW*SUMIFS(TableVerdeelsleutelVkm[LPG],TableVerdeelsleutelVkm[Voertuigtype],"Lichte voertuigen")*SUMIFS(TableECFTransport[EnergieConsumptieFactor (PJ per km)],TableECFTransport[Index],CONCATENATE($A6,"_LPG_LPG"))</f>
        <v>6.3290601258448101E-4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0.15048333352098522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4.3540302448457635E-2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6.045955660852872E-3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9.9976385813141277E-2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3.2296642959778128E-5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3.1501029454969985E-3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1.881369532041467E-5</v>
      </c>
      <c r="C8" s="449"/>
      <c r="D8" s="451">
        <f>vkm_2011_NGW_PW*SUMIFS(TableVerdeelsleutelVkm[CNG],TableVerdeelsleutelVkm[Voertuigtype],"Lichte voertuigen")*SUMIFS(TableECFTransport[EnergieConsumptieFactor (PJ per km)],TableECFTransport[Index],CONCATENATE($A8,"_CNG_CNG"))</f>
        <v>6.6191907744073909E-5</v>
      </c>
      <c r="E8" s="451">
        <f>vkm_2011_NGW_PW*SUMIFS(TableVerdeelsleutelVkm[LPG],TableVerdeelsleutelVkm[Voertuigtype],"Lichte voertuigen")*SUMIFS(TableECFTransport[EnergieConsumptieFactor (PJ per km)],TableECFTransport[Index],CONCATENATE($A8,"_LPG_LPG"))</f>
        <v>2.4090619940762614E-4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5.3487948388315991E-2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1.7376345052839848E-2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2.2059778028635305E-3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7.0151739519279492E-3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2.1431951247129897E-6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2.2103370813762881E-4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27.708843529872436</v>
      </c>
      <c r="C14" s="21"/>
      <c r="D14" s="21">
        <f t="shared" ref="D14:M14" si="0">((D5)*10^9/3600)+D12</f>
        <v>63.060392343343416</v>
      </c>
      <c r="E14" s="21">
        <f t="shared" si="0"/>
        <v>242.72561444225198</v>
      </c>
      <c r="F14" s="21"/>
      <c r="G14" s="21">
        <f t="shared" si="0"/>
        <v>86378.567131769581</v>
      </c>
      <c r="H14" s="21">
        <f t="shared" si="0"/>
        <v>16930.857594272773</v>
      </c>
      <c r="I14" s="21"/>
      <c r="J14" s="21"/>
      <c r="K14" s="21"/>
      <c r="L14" s="21"/>
      <c r="M14" s="21">
        <f t="shared" si="0"/>
        <v>3228.6305881530639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0.20101225086391961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5.5698170067758133</v>
      </c>
      <c r="C18" s="23"/>
      <c r="D18" s="23">
        <f t="shared" ref="D18:M18" si="1">D14*D16</f>
        <v>12.73819925335537</v>
      </c>
      <c r="E18" s="23">
        <f t="shared" si="1"/>
        <v>55.098714478391202</v>
      </c>
      <c r="F18" s="23"/>
      <c r="G18" s="23">
        <f t="shared" si="1"/>
        <v>23063.07742418248</v>
      </c>
      <c r="H18" s="23">
        <f t="shared" si="1"/>
        <v>4215.78354097392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2.2735673403129655E-3</v>
      </c>
      <c r="H50" s="321">
        <f t="shared" si="2"/>
        <v>0</v>
      </c>
      <c r="I50" s="321">
        <f t="shared" si="2"/>
        <v>0</v>
      </c>
      <c r="J50" s="321">
        <f t="shared" si="2"/>
        <v>0</v>
      </c>
      <c r="K50" s="321">
        <f t="shared" si="2"/>
        <v>0</v>
      </c>
      <c r="L50" s="321">
        <f t="shared" si="2"/>
        <v>0</v>
      </c>
      <c r="M50" s="321">
        <f t="shared" si="2"/>
        <v>7.0520972512378268E-5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2.2735673403129655E-3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7.0520972512378268E-5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631.54648342026826</v>
      </c>
      <c r="H54" s="21">
        <f t="shared" si="3"/>
        <v>0</v>
      </c>
      <c r="I54" s="21">
        <f t="shared" si="3"/>
        <v>0</v>
      </c>
      <c r="J54" s="21">
        <f t="shared" si="3"/>
        <v>0</v>
      </c>
      <c r="K54" s="21">
        <f t="shared" si="3"/>
        <v>0</v>
      </c>
      <c r="L54" s="21">
        <f t="shared" si="3"/>
        <v>0</v>
      </c>
      <c r="M54" s="21">
        <f t="shared" si="3"/>
        <v>19.589159031216187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0.20101225086391961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168.62291107321164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12928.695511174514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4050</v>
      </c>
      <c r="C8" s="570">
        <f>B101</f>
        <v>4764.7058823529414</v>
      </c>
      <c r="D8" s="1043"/>
      <c r="E8" s="1043">
        <f>E101</f>
        <v>0</v>
      </c>
      <c r="F8" s="1044"/>
      <c r="G8" s="571"/>
      <c r="H8" s="1043">
        <f>I101</f>
        <v>0</v>
      </c>
      <c r="I8" s="1043">
        <f>G101+F101</f>
        <v>0</v>
      </c>
      <c r="J8" s="1043">
        <f>H101+D101+C101</f>
        <v>0</v>
      </c>
      <c r="K8" s="1043"/>
      <c r="L8" s="1043"/>
      <c r="M8" s="1043"/>
      <c r="N8" s="572"/>
      <c r="O8" s="573">
        <f>C8*$C$12+D8*$D$12+E8*$E$12+F8*$F$12+G8*$G$12+H8*$H$12+I8*$I$12+J8*$J$12</f>
        <v>962.47058823529426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16978.695511174512</v>
      </c>
      <c r="C10" s="583">
        <f t="shared" ref="C10:L10" si="0">SUM(C8:C9)</f>
        <v>4764.7058823529414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962.47058823529426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5785.7142857142862</v>
      </c>
      <c r="C17" s="595">
        <f>B102</f>
        <v>6806.722689075631</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1374.9579831932776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5785.7142857142862</v>
      </c>
      <c r="C20" s="582">
        <f>SUM(C17:C19)</f>
        <v>6806.722689075631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1374.9579831932776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12007</v>
      </c>
      <c r="C28" s="796">
        <v>2880</v>
      </c>
      <c r="D28" s="653" t="s">
        <v>890</v>
      </c>
      <c r="E28" s="652" t="s">
        <v>891</v>
      </c>
      <c r="F28" s="652" t="s">
        <v>892</v>
      </c>
      <c r="G28" s="652" t="s">
        <v>893</v>
      </c>
      <c r="H28" s="652" t="s">
        <v>894</v>
      </c>
      <c r="I28" s="652" t="s">
        <v>895</v>
      </c>
      <c r="J28" s="795">
        <v>42050</v>
      </c>
      <c r="K28" s="795">
        <v>42079</v>
      </c>
      <c r="L28" s="652" t="s">
        <v>896</v>
      </c>
      <c r="M28" s="652">
        <v>1200</v>
      </c>
      <c r="N28" s="652">
        <v>4050</v>
      </c>
      <c r="O28" s="652">
        <v>5785.7142857142862</v>
      </c>
      <c r="P28" s="652">
        <v>11571.428571428572</v>
      </c>
      <c r="Q28" s="652">
        <v>0</v>
      </c>
      <c r="R28" s="652">
        <v>0</v>
      </c>
      <c r="S28" s="652">
        <v>0</v>
      </c>
      <c r="T28" s="652">
        <v>0</v>
      </c>
      <c r="U28" s="652">
        <v>0</v>
      </c>
      <c r="V28" s="652">
        <v>0</v>
      </c>
      <c r="W28" s="652">
        <v>0</v>
      </c>
      <c r="X28" s="652">
        <v>500</v>
      </c>
      <c r="Y28" s="652" t="s">
        <v>41</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1200</v>
      </c>
      <c r="N58" s="610">
        <f>SUM(N28:N57)</f>
        <v>4050</v>
      </c>
      <c r="O58" s="610">
        <f t="shared" ref="O58:W58" si="2">SUM(O28:O57)</f>
        <v>5785.7142857142862</v>
      </c>
      <c r="P58" s="610">
        <f t="shared" si="2"/>
        <v>11571.428571428572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1200</v>
      </c>
      <c r="N59" s="610">
        <f t="shared" si="3"/>
        <v>4050</v>
      </c>
      <c r="O59" s="610">
        <f t="shared" si="3"/>
        <v>5785.7142857142862</v>
      </c>
      <c r="P59" s="610">
        <f t="shared" si="3"/>
        <v>11571.428571428572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4764.7058823529414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6806.722689075631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2019-08-12T08:22:32Z</dcterms:modified>
</cp:coreProperties>
</file>