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29"/>
  <c r="K25"/>
  <c r="K31"/>
  <c r="K26"/>
  <c r="K30"/>
  <c r="K24"/>
  <c r="K22"/>
  <c r="C24" i="14"/>
  <c r="C26" s="1"/>
  <c r="B7" i="48"/>
  <c r="J27"/>
  <c r="J32"/>
  <c r="J31"/>
  <c r="J29"/>
  <c r="J28"/>
  <c r="J30"/>
  <c r="J24"/>
  <c r="P4"/>
  <c r="Q11" i="14"/>
  <c r="O4" i="48"/>
  <c r="P11" i="14"/>
  <c r="I32" i="48"/>
  <c r="I31"/>
  <c r="I25"/>
  <c r="I29"/>
  <c r="I26"/>
  <c r="I30"/>
  <c r="I27"/>
  <c r="I24"/>
  <c r="I22"/>
  <c r="I28"/>
  <c r="D4"/>
  <c r="D22" s="1"/>
  <c r="E11" i="14"/>
  <c r="H32" i="48"/>
  <c r="H25"/>
  <c r="H29"/>
  <c r="H26"/>
  <c r="H28"/>
  <c r="H24"/>
  <c r="H22"/>
  <c r="H30"/>
  <c r="H23"/>
  <c r="C4"/>
  <c r="D11" i="14"/>
  <c r="G32" i="48"/>
  <c r="G25"/>
  <c r="G26"/>
  <c r="G22"/>
  <c r="G30"/>
  <c r="G29"/>
  <c r="G24"/>
  <c r="G23"/>
  <c r="B4"/>
  <c r="C11" i="14"/>
  <c r="F28" i="48"/>
  <c r="F32"/>
  <c r="F27"/>
  <c r="F31"/>
  <c r="F29"/>
  <c r="F30"/>
  <c r="F24"/>
  <c r="N28"/>
  <c r="N32"/>
  <c r="N27"/>
  <c r="N29"/>
  <c r="N30"/>
  <c r="N24"/>
  <c r="N31"/>
  <c r="C19" i="14"/>
  <c r="B10" i="48"/>
  <c r="E28"/>
  <c r="E32"/>
  <c r="E31"/>
  <c r="E30"/>
  <c r="E29"/>
  <c r="E24"/>
  <c r="M32"/>
  <c r="M25"/>
  <c r="M26"/>
  <c r="M22"/>
  <c r="M29"/>
  <c r="M24"/>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K23" i="48"/>
  <c r="K15"/>
  <c r="M12" i="22"/>
  <c r="M13" i="48"/>
  <c r="M31" s="1"/>
  <c r="N18" i="14"/>
  <c r="H18"/>
  <c r="G13" i="48"/>
  <c r="I18" i="14"/>
  <c r="H13" i="48"/>
  <c r="H31" s="1"/>
  <c r="P8"/>
  <c r="P26" s="1"/>
  <c r="Q13" i="14"/>
  <c r="P15" i="48"/>
  <c r="P22"/>
  <c r="P33" s="1"/>
  <c r="F20" i="14"/>
  <c r="F22" s="1"/>
  <c r="E9" i="48"/>
  <c r="E27" s="1"/>
  <c r="E20" i="14"/>
  <c r="E22" s="1"/>
  <c r="D9" i="48"/>
  <c r="D27" s="1"/>
  <c r="O5"/>
  <c r="O23" s="1"/>
  <c r="P10" i="14"/>
  <c r="J7" i="48"/>
  <c r="J25" s="1"/>
  <c r="K24" i="14"/>
  <c r="K26" s="1"/>
  <c r="O22" i="48"/>
  <c r="B9"/>
  <c r="C20" i="14"/>
  <c r="J46"/>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9"/>
  <c r="I20" i="14"/>
  <c r="M10" i="48"/>
  <c r="M28" s="1"/>
  <c r="N19" i="14"/>
  <c r="G10" i="48"/>
  <c r="H19" i="14"/>
  <c r="R19" s="1"/>
  <c r="R18"/>
  <c r="E12" i="13"/>
  <c r="F41" i="14" s="1"/>
  <c r="E4" i="48"/>
  <c r="F11" i="14"/>
  <c r="G31" i="48"/>
  <c r="Q13"/>
  <c r="I23"/>
  <c r="I33" s="1"/>
  <c r="I15"/>
  <c r="J4"/>
  <c r="K11" i="14"/>
  <c r="F24"/>
  <c r="F26" s="1"/>
  <c r="E7" i="48"/>
  <c r="E25" s="1"/>
  <c r="N20" i="14"/>
  <c r="M9" i="48"/>
  <c r="O22" i="16"/>
  <c r="P43" i="14" s="1"/>
  <c r="P46" s="1"/>
  <c r="P61" s="1"/>
  <c r="P63" s="1"/>
  <c r="P13"/>
  <c r="O8" i="48"/>
  <c r="N22" i="14"/>
  <c r="N27" s="1"/>
  <c r="I22"/>
  <c r="I27" s="1"/>
  <c r="J63"/>
  <c r="G14" i="22"/>
  <c r="C22" i="14"/>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O26" i="48"/>
  <c r="O33" s="1"/>
  <c r="O15"/>
  <c r="J22"/>
  <c r="H27"/>
  <c r="H33" s="1"/>
  <c r="H15"/>
  <c r="E22"/>
  <c r="Q4"/>
  <c r="H20" i="14"/>
  <c r="R20" s="1"/>
  <c r="G9" i="48"/>
  <c r="M27"/>
  <c r="M33" s="1"/>
  <c r="M15"/>
  <c r="G28"/>
  <c r="Q10"/>
  <c r="H22" i="14"/>
  <c r="H27" s="1"/>
  <c r="R22"/>
  <c r="R24"/>
  <c r="R26" s="1"/>
  <c r="R11"/>
  <c r="J20" i="15"/>
  <c r="K40" i="14" s="1"/>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K63" s="1"/>
  <c r="J8" i="48"/>
  <c r="J26" s="1"/>
  <c r="K13" i="14"/>
  <c r="K16" s="1"/>
  <c r="K27" s="1"/>
  <c r="E8" i="48"/>
  <c r="E26" s="1"/>
  <c r="E33" s="1"/>
  <c r="F13" i="14"/>
  <c r="G27" i="48"/>
  <c r="G33" s="1"/>
  <c r="G15"/>
  <c r="Q9"/>
  <c r="J33"/>
  <c r="F16" i="14"/>
  <c r="F27" s="1"/>
  <c r="F46"/>
  <c r="F61"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<sst xmlns="http://schemas.openxmlformats.org/spreadsheetml/2006/main" count="2419" uniqueCount="902">
  <si>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</si>
  <si>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</si>
  <si>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</si>
  <si>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</si>
  <si>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</si>
  <si>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</si>
  <si>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</si>
  <si>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</si>
  <si>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</si>
  <si>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</si>
  <si>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</si>
  <si>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</si>
  <si>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</si>
  <si>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</si>
  <si>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</si>
  <si>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</si>
  <si>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</si>
  <si>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</si>
  <si>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</si>
  <si>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</si>
  <si>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</si>
  <si>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</si>
  <si>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</si>
  <si>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</si>
  <si>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</si>
  <si>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</si>
  <si>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</si>
  <si>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</si>
  <si>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</si>
  <si>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</si>
  <si>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</si>
  <si>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</si>
  <si>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</si>
  <si>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</si>
  <si>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</si>
  <si>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</si>
  <si>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</si>
  <si>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</si>
  <si>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</si>
  <si>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</si>
  <si>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</si>
  <si>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</si>
  <si>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</si>
  <si>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</si>
  <si>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</si>
  <si>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</si>
  <si>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</si>
  <si>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</si>
  <si>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</si>
  <si>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</si>
  <si>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</si>
  <si>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</si>
  <si>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</si>
  <si>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</si>
  <si>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</si>
  <si>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</si>
  <si>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</si>
  <si>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</si>
  <si>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</si>
  <si>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</si>
  <si>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</si>
  <si>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</si>
  <si>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</si>
  <si>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</si>
  <si>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</si>
  <si>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</si>
  <si>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</si>
  <si>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</si>
  <si>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</si>
  <si>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</si>
  <si>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</si>
  <si>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</si>
  <si>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</si>
  <si>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</si>
  <si>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</si>
  <si>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</si>
  <si>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</si>
  <si>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</si>
  <si>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</si>
  <si>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</si>
  <si>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</si>
  <si>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</si>
  <si>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</si>
  <si>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</si>
  <si>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</si>
  <si>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</si>
  <si>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</si>
  <si>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</si>
  <si>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</si>
  <si>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</si>
  <si>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</si>
  <si>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</si>
  <si>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</si>
  <si>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</si>
  <si>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</si>
  <si>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</si>
  <si>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</si>
  <si>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</si>
  <si>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</si>
  <si>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</si>
  <si>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</si>
  <si>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</si>
  <si>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</si>
  <si>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</si>
  <si>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</si>
  <si>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</si>
  <si>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</si>
  <si>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</si>
  <si>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</si>
  <si>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</si>
  <si>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</si>
  <si>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</si>
  <si>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</si>
  <si>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</si>
  <si>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</si>
  <si>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</si>
  <si>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</si>
  <si>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</si>
  <si>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</si>
  <si>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</si>
  <si>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</si>
  <si>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</si>
  <si>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</si>
  <si>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</si>
  <si>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</si>
  <si>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</si>
  <si>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</si>
  <si>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</si>
  <si>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</si>
  <si>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</si>
  <si>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</si>
  <si>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</si>
  <si>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</si>
  <si>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</si>
  <si>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</si>
  <si>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</si>
  <si>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</si>
  <si>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</si>
  <si>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</si>
  <si>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</si>
  <si>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</si>
  <si>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</si>
  <si>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</si>
  <si>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</si>
  <si>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</si>
  <si>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</si>
  <si>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</si>
  <si>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</si>
  <si>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</si>
  <si>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</si>
  <si>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</si>
  <si>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</si>
  <si>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</si>
  <si>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</si>
  <si>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</si>
  <si>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</si>
  <si>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</si>
  <si>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</si>
  <si>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</si>
  <si>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</si>
  <si>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</si>
  <si>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</si>
  <si>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</si>
  <si>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</si>
  <si>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</si>
  <si>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</si>
  <si>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</si>
  <si>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</si>
  <si>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</si>
  <si>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</si>
  <si>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</si>
  <si>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</si>
  <si>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</si>
  <si>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</si>
  <si>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</si>
  <si>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</si>
  <si>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</si>
  <si>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</si>
  <si>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</si>
  <si>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</si>
  <si>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</si>
  <si>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</si>
  <si>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</si>
  <si>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</si>
  <si>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</si>
  <si>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</si>
  <si>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</si>
  <si>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</si>
  <si>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</si>
  <si>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</si>
  <si>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</si>
  <si>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</si>
  <si>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</si>
  <si>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</si>
  <si>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</si>
  <si>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</si>
  <si>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</si>
  <si>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</si>
  <si>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</si>
  <si>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</si>
  <si>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</si>
  <si>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</si>
  <si>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</si>
  <si>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</si>
  <si>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</si>
  <si>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</si>
  <si>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</si>
  <si>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</si>
  <si>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</si>
  <si>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</si>
  <si>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</si>
  <si>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</si>
  <si>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</si>
  <si>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</si>
  <si>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</si>
  <si>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</si>
  <si>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</si>
  <si>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</si>
  <si>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</si>
  <si>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</si>
  <si>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</si>
  <si>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</si>
  <si>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</si>
  <si>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</si>
  <si>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</si>
  <si>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</si>
  <si>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</si>
  <si>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</si>
  <si>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</si>
  <si>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</si>
  <si>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</si>
  <si>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</si>
  <si>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</si>
  <si>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</si>
  <si>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</si>
  <si>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</si>
  <si>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</si>
  <si>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</si>
  <si>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</si>
  <si>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</si>
  <si>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</si>
  <si>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</si>
  <si>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</si>
  <si>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</si>
  <si>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</si>
  <si>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</si>
  <si>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</si>
  <si>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</si>
  <si>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</si>
  <si>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</si>
  <si>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</si>
  <si>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</si>
  <si>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</si>
  <si>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</si>
  <si>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</si>
  <si>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</si>
  <si>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</si>
  <si>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</si>
  <si>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</si>
  <si>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</si>
  <si>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</si>
  <si>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</si>
  <si>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</si>
  <si>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</si>
  <si>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</si>
  <si>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</si>
  <si>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</si>
  <si>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</si>
  <si>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</si>
  <si>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</si>
  <si>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</si>
  <si>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</si>
  <si>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</si>
  <si>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</si>
  <si>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</si>
  <si>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</si>
  <si>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</si>
  <si>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</si>
  <si>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</si>
  <si>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</si>
  <si>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</si>
  <si>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</si>
  <si>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</si>
  <si>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</si>
  <si>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</si>
  <si>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</si>
  <si>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</si>
  <si>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</si>
  <si>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</si>
  <si>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</si>
  <si>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</si>
  <si>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</si>
  <si>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</si>
  <si>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</si>
  <si>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</si>
  <si>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</si>
  <si>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</si>
  <si>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</si>
  <si>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</si>
  <si>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</si>
  <si>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</si>
  <si>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</si>
  <si>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</si>
  <si>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</si>
  <si>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</si>
  <si>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</si>
  <si>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</si>
  <si>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</si>
  <si>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</si>
  <si>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</si>
  <si>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</si>
  <si>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</si>
  <si>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</si>
  <si>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</si>
  <si>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</si>
  <si>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</si>
  <si>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</si>
  <si>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</si>
  <si>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</si>
  <si>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</si>
  <si>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</si>
  <si>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</si>
  <si>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</si>
  <si>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</si>
  <si>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</si>
  <si>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</si>
  <si>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</si>
  <si>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</si>
  <si>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</si>
  <si>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</si>
  <si>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</si>
  <si>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</si>
  <si>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</si>
  <si>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</si>
  <si>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</si>
  <si>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</si>
  <si>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</si>
  <si>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</si>
  <si>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</si>
  <si>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</si>
  <si>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</si>
  <si>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</si>
  <si>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</si>
  <si>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</si>
  <si>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</si>
  <si>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</si>
  <si>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</si>
  <si>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</si>
  <si>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</si>
  <si>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</si>
  <si>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</si>
  <si>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</si>
  <si>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</si>
  <si>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</si>
  <si>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</si>
  <si>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</si>
  <si>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</si>
  <si>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</si>
  <si>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</si>
  <si>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</si>
  <si>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</si>
  <si>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</si>
  <si>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</si>
  <si>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</si>
  <si>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</si>
  <si>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</si>
  <si>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</si>
  <si>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</si>
  <si>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</si>
  <si>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</si>
  <si>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</si>
  <si>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</si>
  <si>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</si>
  <si>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</si>
  <si>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</si>
  <si>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</si>
  <si>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</si>
  <si>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</si>
  <si>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</si>
  <si>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</si>
  <si>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</si>
  <si>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</si>
  <si>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</si>
  <si>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</si>
  <si>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</si>
  <si>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</si>
  <si>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</si>
  <si>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</si>
  <si>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</si>
  <si>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</si>
  <si>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</si>
  <si>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</si>
  <si>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</si>
  <si>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</si>
  <si>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</si>
  <si>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</si>
  <si>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</si>
  <si>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</si>
  <si>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</si>
  <si>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</si>
  <si>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</si>
  <si>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</si>
  <si>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</si>
  <si>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</si>
  <si>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</si>
  <si>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</si>
  <si>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</si>
  <si>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</si>
  <si>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</si>
  <si>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</si>
  <si>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</si>
  <si>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</si>
  <si>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</si>
  <si>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</si>
  <si>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</si>
  <si>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</si>
  <si>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</si>
  <si>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</si>
  <si>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</si>
  <si>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</si>
  <si>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</si>
  <si>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</si>
  <si>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</si>
  <si>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</si>
  <si>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</si>
  <si>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</si>
  <si>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</si>
  <si>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</si>
  <si>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</si>
  <si>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</si>
  <si>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</si>
  <si>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</si>
  <si>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</si>
  <si>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</si>
  <si>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</si>
  <si>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</si>
  <si>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</si>
  <si>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</si>
  <si>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</si>
  <si>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</si>
  <si>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</si>
  <si>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</si>
  <si>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</si>
  <si>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</si>
  <si>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</si>
  <si>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</si>
  <si>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</si>
  <si>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</si>
  <si>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</si>
  <si>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</si>
  <si>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</si>
  <si>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</si>
  <si>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</si>
  <si>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</si>
  <si>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</si>
  <si>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</si>
  <si>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</si>
  <si>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</si>
  <si>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</si>
  <si>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</si>
  <si>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</si>
  <si>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</si>
  <si>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</si>
  <si>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</si>
  <si>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</si>
  <si>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</si>
  <si>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</si>
  <si>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</si>
  <si>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</si>
  <si>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</si>
  <si>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</si>
  <si>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</si>
  <si>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</si>
  <si>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</si>
  <si>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</si>
  <si>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</si>
  <si>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</si>
  <si>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</si>
  <si>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</si>
  <si>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</si>
  <si>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</si>
  <si>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</si>
  <si>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</si>
  <si>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</si>
  <si>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</si>
  <si>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</si>
  <si>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</si>
  <si>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</si>
  <si>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</si>
  <si>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</si>
  <si>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</si>
  <si>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</si>
  <si>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</si>
  <si>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</si>
  <si>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</si>
  <si>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</si>
  <si>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</si>
  <si>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</si>
  <si>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</si>
  <si>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</si>
  <si>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</si>
  <si>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</si>
  <si>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</si>
  <si>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</si>
  <si>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</si>
  <si>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</si>
  <si>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</si>
  <si>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</si>
  <si>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</si>
  <si>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</si>
  <si>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</si>
  <si>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</si>
  <si>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</si>
  <si>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</si>
  <si>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</si>
  <si>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</si>
  <si>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</si>
  <si>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</si>
  <si>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</si>
  <si>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</si>
  <si>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</si>
  <si>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</si>
  <si>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</si>
  <si>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</si>
  <si>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</si>
  <si>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</si>
  <si>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</si>
  <si>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</si>
  <si>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</si>
  <si>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</si>
  <si>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</si>
  <si>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</si>
  <si>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</si>
  <si>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</si>
  <si>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</si>
  <si>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</si>
  <si>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</si>
  <si>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</si>
  <si>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</si>
  <si>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</si>
  <si>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</si>
  <si>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</si>
  <si>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</si>
  <si>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</si>
  <si>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</si>
  <si>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</si>
  <si>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</si>
  <si>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</si>
  <si>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</si>
  <si>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</si>
  <si>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</si>
  <si>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</si>
  <si>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</si>
  <si>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</si>
  <si>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</si>
  <si>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</si>
  <si>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</si>
  <si>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</si>
  <si>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</si>
  <si>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</si>
  <si>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</si>
  <si>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</si>
  <si>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</si>
  <si>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</si>
  <si>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</si>
  <si>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</si>
  <si>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</si>
  <si>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</si>
  <si>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</si>
  <si>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</si>
  <si>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</si>
  <si>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</si>
  <si>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</si>
  <si>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</si>
  <si>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</si>
  <si>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</si>
  <si>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</si>
  <si>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</si>
  <si>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</si>
  <si>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</si>
  <si>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</si>
  <si>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</si>
  <si>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</si>
  <si>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</si>
  <si>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</si>
  <si>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</si>
  <si>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</si>
  <si>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</si>
  <si>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</si>
  <si>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</si>
  <si>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</si>
  <si>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</si>
  <si>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</si>
  <si>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</si>
  <si>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</si>
  <si>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</si>
  <si>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</si>
  <si>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</si>
  <si>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</si>
  <si>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</si>
  <si>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</si>
  <si>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</si>
  <si>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</si>
  <si>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</si>
  <si>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</si>
  <si>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</si>
  <si>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</si>
  <si>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</si>
  <si>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</si>
  <si>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</si>
  <si>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</si>
  <si>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</si>
  <si>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</si>
  <si>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</si>
  <si>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</si>
  <si>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</si>
  <si>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</si>
  <si>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</si>
  <si>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</si>
  <si>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</si>
  <si>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</si>
  <si>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</si>
  <si>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</si>
  <si>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</si>
  <si>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</si>
  <si>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</si>
  <si>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</si>
  <si>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</si>
  <si>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</si>
  <si>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</si>
  <si>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</si>
  <si>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</si>
  <si>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</si>
  <si>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</si>
  <si>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</si>
  <si>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</si>
  <si>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</si>
  <si>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</si>
  <si>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</si>
  <si>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</si>
  <si>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</si>
  <si>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</si>
  <si>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</si>
  <si>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</si>
  <si>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</si>
  <si>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</si>
  <si>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</si>
  <si>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</si>
  <si>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</si>
  <si>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</si>
  <si>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</si>
  <si>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</si>
  <si>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</si>
  <si>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</si>
  <si>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</si>
  <si>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</si>
  <si>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</si>
  <si>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</si>
  <si>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</si>
  <si>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</si>
  <si>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</si>
  <si>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</si>
  <si>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</si>
  <si>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</si>
  <si>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</si>
  <si>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</si>
  <si>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</si>
  <si>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</si>
  <si>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</si>
  <si>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</si>
  <si>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</si>
  <si>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</si>
  <si>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</si>
  <si>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</si>
  <si>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</si>
  <si>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</si>
  <si>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</si>
  <si>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</si>
  <si>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</si>
  <si>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</si>
  <si>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</si>
  <si>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</si>
  <si>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</si>
  <si>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</si>
  <si>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</si>
  <si>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</si>
  <si>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</si>
  <si>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</si>
  <si>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</si>
  <si>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</si>
  <si>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</si>
  <si>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</si>
  <si>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</si>
  <si>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</si>
  <si>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</si>
  <si>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</si>
  <si>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</si>
  <si>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</si>
  <si>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</si>
  <si>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</si>
  <si>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</si>
  <si>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</si>
  <si>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</si>
  <si>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</si>
  <si>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</si>
  <si>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</si>
  <si>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</si>
  <si>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</si>
  <si>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</si>
  <si>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</si>
  <si>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</si>
  <si>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</si>
  <si>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</si>
  <si>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</si>
  <si>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</si>
  <si>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</si>
  <si>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</si>
  <si>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</si>
  <si>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</si>
  <si>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</si>
  <si>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</si>
  <si>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</si>
  <si>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</si>
  <si>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</si>
  <si>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</si>
  <si>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</si>
  <si>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</si>
  <si>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</si>
  <si>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</si>
  <si>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</si>
  <si>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</si>
  <si>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</si>
  <si>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</si>
  <si>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</si>
  <si>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</si>
  <si>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</si>
  <si>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</si>
  <si>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</si>
  <si>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</si>
  <si>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</si>
  <si>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</si>
  <si>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</si>
  <si>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</si>
  <si>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</si>
  <si>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</si>
  <si>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</si>
  <si>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</si>
  <si>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</si>
  <si>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</si>
  <si>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</si>
  <si>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</si>
  <si>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</si>
  <si>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</si>
  <si>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</si>
  <si>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</si>
  <si>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</si>
  <si>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</si>
  <si>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</si>
  <si>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</si>
  <si>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</si>
  <si>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</si>
  <si>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</si>
  <si>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</si>
  <si>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</si>
  <si>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</si>
  <si>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</si>
  <si>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</si>
  <si>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</si>
  <si>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</si>
  <si>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</si>
  <si>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</si>
  <si>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</si>
  <si>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</si>
  <si>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</si>
  <si>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</si>
  <si>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</si>
  <si>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</si>
  <si>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</si>
  <si>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</si>
  <si>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</si>
  <si>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</si>
  <si>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</si>
  <si>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</si>
  <si>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</si>
  <si>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</si>
  <si>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</si>
  <si>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</si>
  <si>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</si>
  <si>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</si>
  <si>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</si>
  <si>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</si>
  <si>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</si>
  <si>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</si>
  <si>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</si>
  <si>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</si>
  <si>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</si>
  <si>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</si>
  <si>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</si>
  <si>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</si>
  <si>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</si>
  <si>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</si>
  <si>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</si>
  <si>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</si>
  <si>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</si>
  <si>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</si>
  <si>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</si>
  <si>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</si>
  <si>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</si>
  <si>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</si>
  <si>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</si>
  <si>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</si>
  <si>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</si>
  <si>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</si>
  <si>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</si>
  <si>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</si>
  <si>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</si>
  <si>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</si>
  <si>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</si>
  <si>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</si>
  <si>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</si>
  <si>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</si>
  <si>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</si>
  <si>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</si>
  <si>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</si>
  <si>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</si>
  <si>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</si>
  <si>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</si>
  <si>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</si>
  <si>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</si>
  <si>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</si>
  <si>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</si>
  <si>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</si>
  <si>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</si>
  <si>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</si>
  <si>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</si>
  <si>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</si>
  <si>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</si>
  <si>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</si>
  <si>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</si>
  <si>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</si>
  <si>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</si>
  <si>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</si>
  <si>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</si>
  <si>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</si>
  <si>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</si>
  <si>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</si>
  <si>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</si>
  <si>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</si>
  <si>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</si>
  <si>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</si>
  <si>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</si>
  <si>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</si>
  <si>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</si>
  <si>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</si>
  <si>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</si>
  <si>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</si>
  <si>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</si>
  <si>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</si>
  <si>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</si>
  <si>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</si>
  <si>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</si>
  <si>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</si>
  <si>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</si>
  <si>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</si>
  <si>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</si>
  <si>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</si>
  <si>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</si>
  <si>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</si>
  <si>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</si>
  <si>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</si>
  <si>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</si>
  <si>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</si>
  <si>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</si>
  <si>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</si>
  <si>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</si>
  <si>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</si>
  <si>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</si>
  <si>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</si>
  <si>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</si>
  <si>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</si>
  <si>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</si>
  <si>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</si>
  <si>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12002</t>
  </si>
  <si>
    <t>BERLAAR</t>
  </si>
  <si>
    <t>Paarden&amp;pony's 200 - 600 kg</t>
  </si>
  <si>
    <t>Paarden&amp;pony's &lt; 200 kg</t>
  </si>
  <si>
    <t>referentietaak LNE (2017); Jaarverslag De Lijn (2015)</t>
  </si>
  <si>
    <t>op basis van VEA (maart 2018) en Inventaris Hernieuwbare Energiebronnen (juni 2018)</t>
  </si>
  <si>
    <t>VEA (januari 2017)</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</si>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</sst>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91690.002552344144</c:v>
                </c:pt>
                <c:pt idx="1">
                  <c:v>24600.307364644028</c:v>
                </c:pt>
                <c:pt idx="2">
                  <c:v>622.88800000000003</c:v>
                </c:pt>
                <c:pt idx="3">
                  <c:v>39072.405960651187</c:v>
                </c:pt>
                <c:pt idx="4">
                  <c:v>5810.6429352863961</c:v>
                </c:pt>
                <c:pt idx="5">
                  <c:v>40124.134155201376</c:v>
                </c:pt>
                <c:pt idx="6">
                  <c:v>500.23937176091169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91690.002552344144</c:v>
                </c:pt>
                <c:pt idx="1">
                  <c:v>24600.307364644028</c:v>
                </c:pt>
                <c:pt idx="2">
                  <c:v>622.88800000000003</c:v>
                </c:pt>
                <c:pt idx="3">
                  <c:v>39072.405960651187</c:v>
                </c:pt>
                <c:pt idx="4">
                  <c:v>5810.6429352863961</c:v>
                </c:pt>
                <c:pt idx="5">
                  <c:v>40124.134155201376</c:v>
                </c:pt>
                <c:pt idx="6">
                  <c:v>500.23937176091169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17347.482799975791</c:v>
                </c:pt>
                <c:pt idx="2">
                  <c:v>4990.7285641209137</c:v>
                </c:pt>
                <c:pt idx="3">
                  <c:v>134.64633824232388</c:v>
                </c:pt>
                <c:pt idx="4">
                  <c:v>9303.4287853346377</c:v>
                </c:pt>
                <c:pt idx="5">
                  <c:v>1172.6559524479358</c:v>
                </c:pt>
                <c:pt idx="6">
                  <c:v>10259.567108026704</c:v>
                </c:pt>
                <c:pt idx="7">
                  <c:v>129.545694630047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84800"/>
        <c:axId val="183988992"/>
      </c:barChart>
      <c:catAx>
        <c:axId val="18388480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84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17347.482799975791</c:v>
                </c:pt>
                <c:pt idx="2">
                  <c:v>4990.7285641209137</c:v>
                </c:pt>
                <c:pt idx="3">
                  <c:v>134.64633824232388</c:v>
                </c:pt>
                <c:pt idx="4">
                  <c:v>9303.4287853346377</c:v>
                </c:pt>
                <c:pt idx="5">
                  <c:v>1172.6559524479358</c:v>
                </c:pt>
                <c:pt idx="6">
                  <c:v>10259.567108026704</c:v>
                </c:pt>
                <c:pt idx="7">
                  <c:v>129.545694630047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12002</v>
      </c>
      <c r="B6" s="415"/>
      <c r="C6" s="416"/>
    </row>
    <row r="7" spans="1:7" s="413" customFormat="1" ht="15.75" customHeight="1">
      <c r="A7" s="417" t="str">
        <f>txtMunicipality</f>
        <v>BERLAAR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0.21616460461964893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0.21616460461964893</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4605</v>
      </c>
      <c r="C9" s="342">
        <v>4809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1291.81</v>
      </c>
    </row>
    <row r="15" spans="1:6">
      <c r="A15" s="348" t="s">
        <v>184</v>
      </c>
      <c r="B15" s="334">
        <v>14</v>
      </c>
    </row>
    <row r="16" spans="1:6">
      <c r="A16" s="348" t="s">
        <v>6</v>
      </c>
      <c r="B16" s="334">
        <v>619</v>
      </c>
    </row>
    <row r="17" spans="1:6">
      <c r="A17" s="348" t="s">
        <v>7</v>
      </c>
      <c r="B17" s="334">
        <v>73</v>
      </c>
    </row>
    <row r="18" spans="1:6">
      <c r="A18" s="348" t="s">
        <v>8</v>
      </c>
      <c r="B18" s="334">
        <v>436</v>
      </c>
    </row>
    <row r="19" spans="1:6">
      <c r="A19" s="348" t="s">
        <v>9</v>
      </c>
      <c r="B19" s="334">
        <v>364</v>
      </c>
    </row>
    <row r="20" spans="1:6">
      <c r="A20" s="348" t="s">
        <v>10</v>
      </c>
      <c r="B20" s="334">
        <v>230</v>
      </c>
    </row>
    <row r="21" spans="1:6">
      <c r="A21" s="348" t="s">
        <v>11</v>
      </c>
      <c r="B21" s="334">
        <v>621</v>
      </c>
    </row>
    <row r="22" spans="1:6">
      <c r="A22" s="348" t="s">
        <v>12</v>
      </c>
      <c r="B22" s="334">
        <v>2239</v>
      </c>
    </row>
    <row r="23" spans="1:6">
      <c r="A23" s="348" t="s">
        <v>13</v>
      </c>
      <c r="B23" s="334">
        <v>0</v>
      </c>
    </row>
    <row r="24" spans="1:6">
      <c r="A24" s="348" t="s">
        <v>14</v>
      </c>
      <c r="B24" s="334">
        <v>0</v>
      </c>
    </row>
    <row r="25" spans="1:6">
      <c r="A25" s="348" t="s">
        <v>15</v>
      </c>
      <c r="B25" s="334">
        <v>0</v>
      </c>
    </row>
    <row r="26" spans="1:6">
      <c r="A26" s="348" t="s">
        <v>16</v>
      </c>
      <c r="B26" s="334">
        <v>461</v>
      </c>
    </row>
    <row r="27" spans="1:6">
      <c r="A27" s="348" t="s">
        <v>17</v>
      </c>
      <c r="B27" s="334">
        <v>5</v>
      </c>
    </row>
    <row r="28" spans="1:6" s="356" customFormat="1">
      <c r="A28" s="355" t="s">
        <v>18</v>
      </c>
      <c r="B28" s="355">
        <v>0</v>
      </c>
    </row>
    <row r="29" spans="1:6">
      <c r="A29" s="355" t="s">
        <v>884</v>
      </c>
      <c r="B29" s="355">
        <v>139</v>
      </c>
      <c r="C29" s="356"/>
      <c r="D29" s="356"/>
      <c r="E29" s="356"/>
      <c r="F29" s="356"/>
    </row>
    <row r="30" spans="1:6">
      <c r="A30" s="355" t="s">
        <v>885</v>
      </c>
      <c r="B30" s="341">
        <v>39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3151</v>
      </c>
      <c r="D39" s="334">
        <v>52727444.351999998</v>
      </c>
      <c r="E39" s="334">
        <v>4511</v>
      </c>
      <c r="F39" s="334">
        <v>16299570.529999999</v>
      </c>
    </row>
    <row r="40" spans="1:6">
      <c r="A40" s="348" t="s">
        <v>30</v>
      </c>
      <c r="B40" s="348" t="s">
        <v>29</v>
      </c>
      <c r="C40" s="334">
        <v>0</v>
      </c>
      <c r="D40" s="334">
        <v>0</v>
      </c>
      <c r="E40" s="334">
        <v>0</v>
      </c>
      <c r="F40" s="334">
        <v>0</v>
      </c>
    </row>
    <row r="41" spans="1:6">
      <c r="A41" s="348" t="s">
        <v>32</v>
      </c>
      <c r="B41" s="348" t="s">
        <v>33</v>
      </c>
      <c r="C41" s="334">
        <v>29</v>
      </c>
      <c r="D41" s="334">
        <v>880519.58791999996</v>
      </c>
      <c r="E41" s="334">
        <v>90</v>
      </c>
      <c r="F41" s="334">
        <v>1146914.5112999999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37626.024777999999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544439.77953000006</v>
      </c>
      <c r="E48" s="334">
        <v>29</v>
      </c>
      <c r="F48" s="334">
        <v>476085.28924999997</v>
      </c>
    </row>
    <row r="49" spans="1:6">
      <c r="A49" s="348" t="s">
        <v>32</v>
      </c>
      <c r="B49" s="348" t="s">
        <v>40</v>
      </c>
      <c r="C49" s="334">
        <v>0</v>
      </c>
      <c r="D49" s="334">
        <v>0</v>
      </c>
      <c r="E49" s="334">
        <v>0</v>
      </c>
      <c r="F49" s="334">
        <v>0</v>
      </c>
    </row>
    <row r="50" spans="1:6">
      <c r="A50" s="348" t="s">
        <v>32</v>
      </c>
      <c r="B50" s="348" t="s">
        <v>41</v>
      </c>
      <c r="C50" s="334">
        <v>4</v>
      </c>
      <c r="D50" s="334">
        <v>576379.55808999995</v>
      </c>
      <c r="E50" s="334">
        <v>10</v>
      </c>
      <c r="F50" s="334">
        <v>280965.14098999999</v>
      </c>
    </row>
    <row r="51" spans="1:6">
      <c r="A51" s="348" t="s">
        <v>42</v>
      </c>
      <c r="B51" s="348" t="s">
        <v>43</v>
      </c>
      <c r="C51" s="334">
        <v>5</v>
      </c>
      <c r="D51" s="334">
        <v>74727777.270999998</v>
      </c>
      <c r="E51" s="334">
        <v>41</v>
      </c>
      <c r="F51" s="334">
        <v>870656.44177000003</v>
      </c>
    </row>
    <row r="52" spans="1:6">
      <c r="A52" s="348" t="s">
        <v>42</v>
      </c>
      <c r="B52" s="348" t="s">
        <v>29</v>
      </c>
      <c r="C52" s="334">
        <v>4</v>
      </c>
      <c r="D52" s="334">
        <v>77032.258117999998</v>
      </c>
      <c r="E52" s="334">
        <v>5</v>
      </c>
      <c r="F52" s="334">
        <v>22005.303145999998</v>
      </c>
    </row>
    <row r="53" spans="1:6">
      <c r="A53" s="348" t="s">
        <v>44</v>
      </c>
      <c r="B53" s="348" t="s">
        <v>45</v>
      </c>
      <c r="C53" s="334">
        <v>62</v>
      </c>
      <c r="D53" s="334">
        <v>1961910.0284</v>
      </c>
      <c r="E53" s="334">
        <v>195</v>
      </c>
      <c r="F53" s="334">
        <v>797416.41203000001</v>
      </c>
    </row>
    <row r="54" spans="1:6">
      <c r="A54" s="348" t="s">
        <v>46</v>
      </c>
      <c r="B54" s="348" t="s">
        <v>47</v>
      </c>
      <c r="C54" s="334">
        <v>0</v>
      </c>
      <c r="D54" s="334">
        <v>0</v>
      </c>
      <c r="E54" s="334">
        <v>1</v>
      </c>
      <c r="F54" s="334">
        <v>622888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543191.13101999997</v>
      </c>
      <c r="E57" s="334">
        <v>51</v>
      </c>
      <c r="F57" s="334">
        <v>1481130.2032999999</v>
      </c>
    </row>
    <row r="58" spans="1:6">
      <c r="A58" s="348" t="s">
        <v>49</v>
      </c>
      <c r="B58" s="348" t="s">
        <v>51</v>
      </c>
      <c r="C58" s="334">
        <v>6</v>
      </c>
      <c r="D58" s="334">
        <v>139070.14319999999</v>
      </c>
      <c r="E58" s="334">
        <v>8</v>
      </c>
      <c r="F58" s="334">
        <v>79190.055819000001</v>
      </c>
    </row>
    <row r="59" spans="1:6">
      <c r="A59" s="348" t="s">
        <v>49</v>
      </c>
      <c r="B59" s="348" t="s">
        <v>52</v>
      </c>
      <c r="C59" s="334">
        <v>50</v>
      </c>
      <c r="D59" s="334">
        <v>1782477.7487000001</v>
      </c>
      <c r="E59" s="334">
        <v>100</v>
      </c>
      <c r="F59" s="334">
        <v>3126671.4837000002</v>
      </c>
    </row>
    <row r="60" spans="1:6">
      <c r="A60" s="348" t="s">
        <v>49</v>
      </c>
      <c r="B60" s="348" t="s">
        <v>53</v>
      </c>
      <c r="C60" s="334">
        <v>36</v>
      </c>
      <c r="D60" s="334">
        <v>1222183.9367</v>
      </c>
      <c r="E60" s="334">
        <v>48</v>
      </c>
      <c r="F60" s="334">
        <v>893566.17663</v>
      </c>
    </row>
    <row r="61" spans="1:6">
      <c r="A61" s="348" t="s">
        <v>49</v>
      </c>
      <c r="B61" s="348" t="s">
        <v>54</v>
      </c>
      <c r="C61" s="334">
        <v>104</v>
      </c>
      <c r="D61" s="334">
        <v>3374815.6982999998</v>
      </c>
      <c r="E61" s="334">
        <v>155</v>
      </c>
      <c r="F61" s="334">
        <v>1628319.6539</v>
      </c>
    </row>
    <row r="62" spans="1:6">
      <c r="A62" s="348" t="s">
        <v>49</v>
      </c>
      <c r="B62" s="348" t="s">
        <v>55</v>
      </c>
      <c r="C62" s="334">
        <v>4</v>
      </c>
      <c r="D62" s="334">
        <v>143968.95610000001</v>
      </c>
      <c r="E62" s="334">
        <v>0</v>
      </c>
      <c r="F62" s="334">
        <v>0</v>
      </c>
    </row>
    <row r="63" spans="1:6">
      <c r="A63" s="348" t="s">
        <v>49</v>
      </c>
      <c r="B63" s="348" t="s">
        <v>29</v>
      </c>
      <c r="C63" s="334">
        <v>70</v>
      </c>
      <c r="D63" s="334">
        <v>4355663.7836999996</v>
      </c>
      <c r="E63" s="334">
        <v>91</v>
      </c>
      <c r="F63" s="334">
        <v>2846708.8690999998</v>
      </c>
    </row>
    <row r="64" spans="1:6">
      <c r="A64" s="348" t="s">
        <v>56</v>
      </c>
      <c r="B64" s="348" t="s">
        <v>57</v>
      </c>
      <c r="C64" s="334">
        <v>0</v>
      </c>
      <c r="D64" s="334">
        <v>0</v>
      </c>
      <c r="E64" s="334">
        <v>0</v>
      </c>
      <c r="F64" s="334">
        <v>0</v>
      </c>
    </row>
    <row r="65" spans="1:6">
      <c r="A65" s="348" t="s">
        <v>56</v>
      </c>
      <c r="B65" s="348" t="s">
        <v>29</v>
      </c>
      <c r="C65" s="334">
        <v>2</v>
      </c>
      <c r="D65" s="334">
        <v>22891.440850999999</v>
      </c>
      <c r="E65" s="334">
        <v>2</v>
      </c>
      <c r="F65" s="334">
        <v>46024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42494.261448999998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44014405</v>
      </c>
      <c r="E73" s="475">
        <v>39271175.270700134</v>
      </c>
    </row>
    <row r="74" spans="1:6">
      <c r="A74" s="348" t="s">
        <v>64</v>
      </c>
      <c r="B74" s="348" t="s">
        <v>667</v>
      </c>
      <c r="C74" s="1294" t="s">
        <v>669</v>
      </c>
      <c r="D74" s="475">
        <v>3190906.2622761787</v>
      </c>
      <c r="E74" s="475">
        <v>3589761.4591423152</v>
      </c>
    </row>
    <row r="75" spans="1:6">
      <c r="A75" s="348" t="s">
        <v>65</v>
      </c>
      <c r="B75" s="348" t="s">
        <v>666</v>
      </c>
      <c r="C75" s="1294" t="s">
        <v>670</v>
      </c>
      <c r="D75" s="475">
        <v>6180388</v>
      </c>
      <c r="E75" s="475">
        <v>5533174.9406044483</v>
      </c>
    </row>
    <row r="76" spans="1:6">
      <c r="A76" s="348" t="s">
        <v>65</v>
      </c>
      <c r="B76" s="348" t="s">
        <v>667</v>
      </c>
      <c r="C76" s="1294" t="s">
        <v>671</v>
      </c>
      <c r="D76" s="475">
        <v>29567.262276178662</v>
      </c>
      <c r="E76" s="475">
        <v>42375.521010337092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134357.47544764268</v>
      </c>
      <c r="C83" s="475">
        <v>134357.47544764268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1942.3691515472367</v>
      </c>
    </row>
    <row r="92" spans="1:6">
      <c r="A92" s="341" t="s">
        <v>69</v>
      </c>
      <c r="B92" s="342">
        <v>494.78074744044176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2012</v>
      </c>
    </row>
    <row r="98" spans="1:6">
      <c r="A98" s="348" t="s">
        <v>72</v>
      </c>
      <c r="B98" s="334">
        <v>4</v>
      </c>
    </row>
    <row r="99" spans="1:6">
      <c r="A99" s="348" t="s">
        <v>73</v>
      </c>
      <c r="B99" s="334">
        <v>39</v>
      </c>
    </row>
    <row r="100" spans="1:6">
      <c r="A100" s="348" t="s">
        <v>74</v>
      </c>
      <c r="B100" s="334">
        <v>182</v>
      </c>
    </row>
    <row r="101" spans="1:6">
      <c r="A101" s="348" t="s">
        <v>75</v>
      </c>
      <c r="B101" s="334">
        <v>46</v>
      </c>
    </row>
    <row r="102" spans="1:6">
      <c r="A102" s="348" t="s">
        <v>76</v>
      </c>
      <c r="B102" s="334">
        <v>34</v>
      </c>
    </row>
    <row r="103" spans="1:6">
      <c r="A103" s="348" t="s">
        <v>77</v>
      </c>
      <c r="B103" s="334">
        <v>111</v>
      </c>
    </row>
    <row r="104" spans="1:6">
      <c r="A104" s="348" t="s">
        <v>78</v>
      </c>
      <c r="B104" s="334">
        <v>1499</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32563.845656260524</v>
      </c>
      <c r="C3" s="43" t="s">
        <v>170</v>
      </c>
      <c r="D3" s="43"/>
      <c r="E3" s="154"/>
      <c r="F3" s="43"/>
      <c r="G3" s="43"/>
      <c r="H3" s="43"/>
      <c r="I3" s="43"/>
      <c r="J3" s="43"/>
      <c r="K3" s="96"/>
    </row>
    <row r="4" spans="1:11">
      <c r="A4" s="383" t="s">
        <v>171</v>
      </c>
      <c r="B4" s="49">
        <f>IF(ISERROR('SEAP template'!B78+'SEAP template'!C78),0,'SEAP template'!B78+'SEAP template'!C78)</f>
        <v>25333.149898987678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5441.1670588235302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0.21616460461964893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7773.0957983193293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32708.571428571431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622.88800000000003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622.88800000000003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0.21616460461964893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134.64633824232388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16299.570529999999</v>
      </c>
      <c r="C5" s="17">
        <f>IF(ISERROR('Eigen informatie GS &amp; warmtenet'!B57),0,'Eigen informatie GS &amp; warmtenet'!B57)</f>
        <v>0</v>
      </c>
      <c r="D5" s="30">
        <f>(SUM(HH_hh_gas_kWh,HH_rest_gas_kWh)/1000)*0.902</f>
        <v>47560.154805503997</v>
      </c>
      <c r="E5" s="17">
        <f>B46*B57</f>
        <v>3158.7023902856408</v>
      </c>
      <c r="F5" s="17">
        <f>B51*B62</f>
        <v>11535.746846112366</v>
      </c>
      <c r="G5" s="18"/>
      <c r="H5" s="17"/>
      <c r="I5" s="17"/>
      <c r="J5" s="17">
        <f>B50*B61+C50*C61</f>
        <v>0</v>
      </c>
      <c r="K5" s="17"/>
      <c r="L5" s="17"/>
      <c r="M5" s="17"/>
      <c r="N5" s="17">
        <f>B48*B59+C48*C59</f>
        <v>10581.088828894892</v>
      </c>
      <c r="O5" s="17">
        <f>B69*B70*B71</f>
        <v>154.77000000000001</v>
      </c>
      <c r="P5" s="17">
        <f>B77*B78*B79/1000-B77*B78*B79/1000/B80</f>
        <v>457.6</v>
      </c>
    </row>
    <row r="6" spans="1:16">
      <c r="A6" s="16" t="s">
        <v>624</v>
      </c>
      <c r="B6" s="788">
        <f>kWh_PV_kleiner_dan_10kW</f>
        <v>1942.3691515472367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18241.939681547236</v>
      </c>
      <c r="C8" s="21">
        <f>C5</f>
        <v>0</v>
      </c>
      <c r="D8" s="21">
        <f>D5</f>
        <v>47560.154805503997</v>
      </c>
      <c r="E8" s="21">
        <f>E5</f>
        <v>3158.7023902856408</v>
      </c>
      <c r="F8" s="21">
        <f>F5</f>
        <v>11535.746846112366</v>
      </c>
      <c r="G8" s="21"/>
      <c r="H8" s="21"/>
      <c r="I8" s="21"/>
      <c r="J8" s="21">
        <f>J5</f>
        <v>0</v>
      </c>
      <c r="K8" s="21"/>
      <c r="L8" s="21">
        <f>L5</f>
        <v>0</v>
      </c>
      <c r="M8" s="21">
        <f>M5</f>
        <v>0</v>
      </c>
      <c r="N8" s="21">
        <f>N5</f>
        <v>10581.088828894892</v>
      </c>
      <c r="O8" s="21">
        <f>O5</f>
        <v>154.77000000000001</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0.21616460461964893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3943.2616787571428</v>
      </c>
      <c r="C12" s="23">
        <f ca="1">C10*C8</f>
        <v>0</v>
      </c>
      <c r="D12" s="23">
        <f>D8*D10</f>
        <v>9607.1512707118072</v>
      </c>
      <c r="E12" s="23">
        <f>E10*E8</f>
        <v>717.02544259484046</v>
      </c>
      <c r="F12" s="23">
        <f>F10*F8</f>
        <v>3080.044407912002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2012</v>
      </c>
      <c r="C18" s="166" t="s">
        <v>111</v>
      </c>
      <c r="D18" s="228"/>
      <c r="E18" s="15"/>
    </row>
    <row r="19" spans="1:7">
      <c r="A19" s="171" t="s">
        <v>72</v>
      </c>
      <c r="B19" s="37">
        <f>aantalw2001_ander</f>
        <v>4</v>
      </c>
      <c r="C19" s="166" t="s">
        <v>111</v>
      </c>
      <c r="D19" s="229"/>
      <c r="E19" s="15"/>
    </row>
    <row r="20" spans="1:7">
      <c r="A20" s="171" t="s">
        <v>73</v>
      </c>
      <c r="B20" s="37">
        <f>aantalw2001_propaan</f>
        <v>39</v>
      </c>
      <c r="C20" s="167">
        <f>IF(ISERROR(B20/SUM($B$20,$B$21,$B$22)*100),0,B20/SUM($B$20,$B$21,$B$22)*100)</f>
        <v>14.606741573033707</v>
      </c>
      <c r="D20" s="229"/>
      <c r="E20" s="15"/>
    </row>
    <row r="21" spans="1:7">
      <c r="A21" s="171" t="s">
        <v>74</v>
      </c>
      <c r="B21" s="37">
        <f>aantalw2001_elektriciteit</f>
        <v>182</v>
      </c>
      <c r="C21" s="167">
        <f>IF(ISERROR(B21/SUM($B$20,$B$21,$B$22)*100),0,B21/SUM($B$20,$B$21,$B$22)*100)</f>
        <v>68.164794007490642</v>
      </c>
      <c r="D21" s="229"/>
      <c r="E21" s="15"/>
    </row>
    <row r="22" spans="1:7">
      <c r="A22" s="171" t="s">
        <v>75</v>
      </c>
      <c r="B22" s="37">
        <f>aantalw2001_hout</f>
        <v>46</v>
      </c>
      <c r="C22" s="167">
        <f>IF(ISERROR(B22/SUM($B$20,$B$21,$B$22)*100),0,B22/SUM($B$20,$B$21,$B$22)*100)</f>
        <v>17.228464419475657</v>
      </c>
      <c r="D22" s="229"/>
      <c r="E22" s="15"/>
    </row>
    <row r="23" spans="1:7">
      <c r="A23" s="171" t="s">
        <v>76</v>
      </c>
      <c r="B23" s="37">
        <f>aantalw2001_niet_gespec</f>
        <v>34</v>
      </c>
      <c r="C23" s="166" t="s">
        <v>111</v>
      </c>
      <c r="D23" s="228"/>
      <c r="E23" s="15"/>
    </row>
    <row r="24" spans="1:7">
      <c r="A24" s="171" t="s">
        <v>77</v>
      </c>
      <c r="B24" s="37">
        <f>aantalw2001_steenkool</f>
        <v>111</v>
      </c>
      <c r="C24" s="166" t="s">
        <v>111</v>
      </c>
      <c r="D24" s="229"/>
      <c r="E24" s="15"/>
    </row>
    <row r="25" spans="1:7">
      <c r="A25" s="171" t="s">
        <v>78</v>
      </c>
      <c r="B25" s="37">
        <f>aantalw2001_stookolie</f>
        <v>1499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4605</v>
      </c>
      <c r="C28" s="36"/>
      <c r="D28" s="228"/>
    </row>
    <row r="29" spans="1:7" s="15" customFormat="1">
      <c r="A29" s="230" t="s">
        <v>699</v>
      </c>
      <c r="B29" s="37">
        <f>SUM(HH_hh_gas_aantal,HH_rest_gas_aantal)</f>
        <v>3151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3151</v>
      </c>
      <c r="C32" s="167">
        <f>IF(ISERROR(B32/SUM($B$32,$B$34,$B$35,$B$36,$B$38,$B$39)*100),0,B32/SUM($B$32,$B$34,$B$35,$B$36,$B$38,$B$39)*100)</f>
        <v>68.784108273302763</v>
      </c>
      <c r="D32" s="233"/>
      <c r="G32" s="15"/>
    </row>
    <row r="33" spans="1:7">
      <c r="A33" s="171" t="s">
        <v>72</v>
      </c>
      <c r="B33" s="34" t="s">
        <v>111</v>
      </c>
      <c r="C33" s="167"/>
      <c r="D33" s="233"/>
      <c r="G33" s="15"/>
    </row>
    <row r="34" spans="1:7">
      <c r="A34" s="171" t="s">
        <v>73</v>
      </c>
      <c r="B34" s="33">
        <f>IF((($B$28-$B$32-$B$39-$B$77-$B$38)*C20/100)&lt;0,0,($B$28-$B$32-$B$39-$B$77-$B$38)*C20/100)</f>
        <v>139.6550561797753</v>
      </c>
      <c r="C34" s="167">
        <f>IF(ISERROR(B34/SUM($B$32,$B$34,$B$35,$B$36,$B$38,$B$39)*100),0,B34/SUM($B$32,$B$34,$B$35,$B$36,$B$38,$B$39)*100)</f>
        <v>3.0485714075480308</v>
      </c>
      <c r="D34" s="233"/>
      <c r="G34" s="15"/>
    </row>
    <row r="35" spans="1:7">
      <c r="A35" s="171" t="s">
        <v>74</v>
      </c>
      <c r="B35" s="33">
        <f>IF((($B$28-$B$32-$B$39-$B$77-$B$38)*C21/100)&lt;0,0,($B$28-$B$32-$B$39-$B$77-$B$38)*C21/100)</f>
        <v>651.72359550561816</v>
      </c>
      <c r="C35" s="167">
        <f>IF(ISERROR(B35/SUM($B$32,$B$34,$B$35,$B$36,$B$38,$B$39)*100),0,B35/SUM($B$32,$B$34,$B$35,$B$36,$B$38,$B$39)*100)</f>
        <v>14.22666656855748</v>
      </c>
      <c r="D35" s="233"/>
      <c r="G35" s="15"/>
    </row>
    <row r="36" spans="1:7">
      <c r="A36" s="171" t="s">
        <v>75</v>
      </c>
      <c r="B36" s="33">
        <f>IF((($B$28-$B$32-$B$39-$B$77-$B$38)*C22/100)&lt;0,0,($B$28-$B$32-$B$39-$B$77-$B$38)*C22/100)</f>
        <v>164.72134831460676</v>
      </c>
      <c r="C36" s="167">
        <f>IF(ISERROR(B36/SUM($B$32,$B$34,$B$35,$B$36,$B$38,$B$39)*100),0,B36/SUM($B$32,$B$34,$B$35,$B$36,$B$38,$B$39)*100)</f>
        <v>3.5957508909540881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473.89999999999986</v>
      </c>
      <c r="C39" s="167">
        <f>IF(ISERROR(B39/SUM($B$32,$B$34,$B$35,$B$36,$B$38,$B$39)*100),0,B39/SUM($B$32,$B$34,$B$35,$B$36,$B$38,$B$39)*100)</f>
        <v>10.344902859637632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3151</v>
      </c>
      <c r="C44" s="34" t="s">
        <v>111</v>
      </c>
      <c r="D44" s="174"/>
    </row>
    <row r="45" spans="1:7">
      <c r="A45" s="171" t="s">
        <v>72</v>
      </c>
      <c r="B45" s="33" t="str">
        <f t="shared" si="0"/>
        <v>-</v>
      </c>
      <c r="C45" s="34" t="s">
        <v>111</v>
      </c>
      <c r="D45" s="174"/>
    </row>
    <row r="46" spans="1:7">
      <c r="A46" s="171" t="s">
        <v>73</v>
      </c>
      <c r="B46" s="33">
        <f t="shared" si="0"/>
        <v>139.6550561797753</v>
      </c>
      <c r="C46" s="34" t="s">
        <v>111</v>
      </c>
      <c r="D46" s="174"/>
    </row>
    <row r="47" spans="1:7">
      <c r="A47" s="171" t="s">
        <v>74</v>
      </c>
      <c r="B47" s="33">
        <f t="shared" si="0"/>
        <v>651.72359550561816</v>
      </c>
      <c r="C47" s="34" t="s">
        <v>111</v>
      </c>
      <c r="D47" s="174"/>
    </row>
    <row r="48" spans="1:7">
      <c r="A48" s="171" t="s">
        <v>75</v>
      </c>
      <c r="B48" s="33">
        <f t="shared" si="0"/>
        <v>164.72134831460676</v>
      </c>
      <c r="C48" s="33">
        <f>B48*10</f>
        <v>1647.2134831460676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473.89999999999986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10055.586442448999</v>
      </c>
      <c r="C5" s="17">
        <f>IF(ISERROR('Eigen informatie GS &amp; warmtenet'!B58),0,'Eigen informatie GS &amp; warmtenet'!B58)</f>
        <v>0</v>
      </c>
      <c r="D5" s="30">
        <f>SUM(D6:D12)</f>
        <v>10428.357000743439</v>
      </c>
      <c r="E5" s="17">
        <f>SUM(E6:E12)</f>
        <v>201.92886747854118</v>
      </c>
      <c r="F5" s="17">
        <f>SUM(F6:F12)</f>
        <v>2489.5158408330308</v>
      </c>
      <c r="G5" s="18"/>
      <c r="H5" s="17"/>
      <c r="I5" s="17"/>
      <c r="J5" s="17">
        <f>SUM(J6:J12)</f>
        <v>0</v>
      </c>
      <c r="K5" s="17"/>
      <c r="L5" s="17"/>
      <c r="M5" s="17"/>
      <c r="N5" s="17">
        <f>SUM(N6:N12)</f>
        <v>1424.9192131400152</v>
      </c>
      <c r="O5" s="17">
        <f>B38*B39*B40</f>
        <v>0</v>
      </c>
      <c r="P5" s="17">
        <f>B46*B47*B48/1000-B46*B47*B48/1000/B49</f>
        <v>0</v>
      </c>
      <c r="R5" s="32"/>
    </row>
    <row r="6" spans="1:18">
      <c r="A6" s="32" t="s">
        <v>54</v>
      </c>
      <c r="B6" s="37">
        <f>B26</f>
        <v>1628.3196539</v>
      </c>
      <c r="C6" s="33"/>
      <c r="D6" s="37">
        <f>IF(ISERROR(TER_kantoor_gas_kWh/1000),0,TER_kantoor_gas_kWh/1000)*0.902</f>
        <v>3044.0837598665998</v>
      </c>
      <c r="E6" s="33">
        <f>$C$26*'E Balans VL '!I12/100/3.6*1000000</f>
        <v>21.316710068515683</v>
      </c>
      <c r="F6" s="33">
        <f>$C$26*('E Balans VL '!L12+'E Balans VL '!N12)/100/3.6*1000000</f>
        <v>415.20468531774611</v>
      </c>
      <c r="G6" s="34"/>
      <c r="H6" s="33"/>
      <c r="I6" s="33"/>
      <c r="J6" s="33">
        <f>$C$26*('E Balans VL '!D12+'E Balans VL '!E12)/100/3.6*1000000</f>
        <v>0</v>
      </c>
      <c r="K6" s="33"/>
      <c r="L6" s="33"/>
      <c r="M6" s="33"/>
      <c r="N6" s="33">
        <f>$C$26*'E Balans VL '!Y12/100/3.6*1000000</f>
        <v>1.6338029331171329</v>
      </c>
      <c r="O6" s="33"/>
      <c r="P6" s="33"/>
      <c r="R6" s="32"/>
    </row>
    <row r="7" spans="1:18">
      <c r="A7" s="32" t="s">
        <v>53</v>
      </c>
      <c r="B7" s="37">
        <f t="shared" ref="B7:B12" si="0">B27</f>
        <v>893.56617662999997</v>
      </c>
      <c r="C7" s="33"/>
      <c r="D7" s="37">
        <f>IF(ISERROR(TER_horeca_gas_kWh/1000),0,TER_horeca_gas_kWh/1000)*0.902</f>
        <v>1102.4099109034</v>
      </c>
      <c r="E7" s="33">
        <f>$C$27*'E Balans VL '!I9/100/3.6*1000000</f>
        <v>29.571605065735515</v>
      </c>
      <c r="F7" s="33">
        <f>$C$27*('E Balans VL '!L9+'E Balans VL '!N9)/100/3.6*1000000</f>
        <v>384.23003139050013</v>
      </c>
      <c r="G7" s="34"/>
      <c r="H7" s="33"/>
      <c r="I7" s="33"/>
      <c r="J7" s="33">
        <f>$C$27*('E Balans VL '!D9+'E Balans VL '!E9)/100/3.6*1000000</f>
        <v>0</v>
      </c>
      <c r="K7" s="33"/>
      <c r="L7" s="33"/>
      <c r="M7" s="33"/>
      <c r="N7" s="33">
        <f>$C$27*'E Balans VL '!Y9/100/3.6*1000000</f>
        <v>0.21509435471972385</v>
      </c>
      <c r="O7" s="33"/>
      <c r="P7" s="33"/>
      <c r="R7" s="32"/>
    </row>
    <row r="8" spans="1:18">
      <c r="A8" s="6" t="s">
        <v>52</v>
      </c>
      <c r="B8" s="37">
        <f t="shared" si="0"/>
        <v>3126.6714837000004</v>
      </c>
      <c r="C8" s="33"/>
      <c r="D8" s="37">
        <f>IF(ISERROR(TER_handel_gas_kWh/1000),0,TER_handel_gas_kWh/1000)*0.902</f>
        <v>1607.7949293274</v>
      </c>
      <c r="E8" s="33">
        <f>$C$28*'E Balans VL '!I13/100/3.6*1000000</f>
        <v>98.68252943739185</v>
      </c>
      <c r="F8" s="33">
        <f>$C$28*('E Balans VL '!L13+'E Balans VL '!N13)/100/3.6*1000000</f>
        <v>613.19533522013978</v>
      </c>
      <c r="G8" s="34"/>
      <c r="H8" s="33"/>
      <c r="I8" s="33"/>
      <c r="J8" s="33">
        <f>$C$28*('E Balans VL '!D13+'E Balans VL '!E13)/100/3.6*1000000</f>
        <v>0</v>
      </c>
      <c r="K8" s="33"/>
      <c r="L8" s="33"/>
      <c r="M8" s="33"/>
      <c r="N8" s="33">
        <f>$C$28*'E Balans VL '!Y13/100/3.6*1000000</f>
        <v>3.7107520153355944</v>
      </c>
      <c r="O8" s="33"/>
      <c r="P8" s="33"/>
      <c r="R8" s="32"/>
    </row>
    <row r="9" spans="1:18">
      <c r="A9" s="32" t="s">
        <v>51</v>
      </c>
      <c r="B9" s="37">
        <f t="shared" si="0"/>
        <v>79.190055818999994</v>
      </c>
      <c r="C9" s="33"/>
      <c r="D9" s="37">
        <f>IF(ISERROR(TER_gezond_gas_kWh/1000),0,TER_gezond_gas_kWh/1000)*0.902</f>
        <v>125.44126916639999</v>
      </c>
      <c r="E9" s="33">
        <f>$C$29*'E Balans VL '!I10/100/3.6*1000000</f>
        <v>1.0138643798512783E-2</v>
      </c>
      <c r="F9" s="33">
        <f>$C$29*('E Balans VL '!L10+'E Balans VL '!N10)/100/3.6*1000000</f>
        <v>16.498607786516072</v>
      </c>
      <c r="G9" s="34"/>
      <c r="H9" s="33"/>
      <c r="I9" s="33"/>
      <c r="J9" s="33">
        <f>$C$29*('E Balans VL '!D10+'E Balans VL '!E10)/100/3.6*1000000</f>
        <v>0</v>
      </c>
      <c r="K9" s="33"/>
      <c r="L9" s="33"/>
      <c r="M9" s="33"/>
      <c r="N9" s="33">
        <f>$C$29*'E Balans VL '!Y10/100/3.6*1000000</f>
        <v>0.93012463573531956</v>
      </c>
      <c r="O9" s="33"/>
      <c r="P9" s="33"/>
      <c r="R9" s="32"/>
    </row>
    <row r="10" spans="1:18">
      <c r="A10" s="32" t="s">
        <v>50</v>
      </c>
      <c r="B10" s="37">
        <f t="shared" si="0"/>
        <v>1481.1302032999999</v>
      </c>
      <c r="C10" s="33"/>
      <c r="D10" s="37">
        <f>IF(ISERROR(TER_ander_gas_kWh/1000),0,TER_ander_gas_kWh/1000)*0.902</f>
        <v>489.95840018003997</v>
      </c>
      <c r="E10" s="33">
        <f>$C$30*'E Balans VL '!I14/100/3.6*1000000</f>
        <v>2.2272715149081534</v>
      </c>
      <c r="F10" s="33">
        <f>$C$30*('E Balans VL '!L14+'E Balans VL '!N14)/100/3.6*1000000</f>
        <v>326.98580525345051</v>
      </c>
      <c r="G10" s="34"/>
      <c r="H10" s="33"/>
      <c r="I10" s="33"/>
      <c r="J10" s="33">
        <f>$C$30*('E Balans VL '!D14+'E Balans VL '!E14)/100/3.6*1000000</f>
        <v>0</v>
      </c>
      <c r="K10" s="33"/>
      <c r="L10" s="33"/>
      <c r="M10" s="33"/>
      <c r="N10" s="33">
        <f>$C$30*'E Balans VL '!Y14/100/3.6*1000000</f>
        <v>1167.2302765049112</v>
      </c>
      <c r="O10" s="33"/>
      <c r="P10" s="33"/>
      <c r="R10" s="32"/>
    </row>
    <row r="11" spans="1:18">
      <c r="A11" s="32" t="s">
        <v>55</v>
      </c>
      <c r="B11" s="37">
        <f t="shared" si="0"/>
        <v>0</v>
      </c>
      <c r="C11" s="33"/>
      <c r="D11" s="37">
        <f>IF(ISERROR(TER_onderwijs_gas_kWh/1000),0,TER_onderwijs_gas_kWh/1000)*0.902</f>
        <v>129.85999840220001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2846.7088690999999</v>
      </c>
      <c r="C12" s="33"/>
      <c r="D12" s="37">
        <f>IF(ISERROR(TER_rest_gas_kWh/1000),0,TER_rest_gas_kWh/1000)*0.902</f>
        <v>3928.8087328973998</v>
      </c>
      <c r="E12" s="33">
        <f>$C$32*'E Balans VL '!I8/100/3.6*1000000</f>
        <v>50.120612748191469</v>
      </c>
      <c r="F12" s="33">
        <f>$C$32*('E Balans VL '!L8+'E Balans VL '!N8)/100/3.6*1000000</f>
        <v>733.40137586467836</v>
      </c>
      <c r="G12" s="34"/>
      <c r="H12" s="33"/>
      <c r="I12" s="33"/>
      <c r="J12" s="33">
        <f>$C$32*('E Balans VL '!D8+'E Balans VL '!E8)/100/3.6*1000000</f>
        <v>0</v>
      </c>
      <c r="K12" s="33"/>
      <c r="L12" s="33"/>
      <c r="M12" s="33"/>
      <c r="N12" s="33">
        <f>$C$32*'E Balans VL '!Y8/100/3.6*1000000</f>
        <v>251.19916269619628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10055.586442448999</v>
      </c>
      <c r="C16" s="21">
        <f t="shared" ca="1" si="1"/>
        <v>0</v>
      </c>
      <c r="D16" s="21">
        <f t="shared" ca="1" si="1"/>
        <v>10428.357000743439</v>
      </c>
      <c r="E16" s="21">
        <f t="shared" si="1"/>
        <v>201.92886747854118</v>
      </c>
      <c r="F16" s="21">
        <f t="shared" ca="1" si="1"/>
        <v>2489.5158408330308</v>
      </c>
      <c r="G16" s="21">
        <f t="shared" si="1"/>
        <v>0</v>
      </c>
      <c r="H16" s="21">
        <f t="shared" si="1"/>
        <v>0</v>
      </c>
      <c r="I16" s="21">
        <f t="shared" si="1"/>
        <v>0</v>
      </c>
      <c r="J16" s="21">
        <f t="shared" si="1"/>
        <v>0</v>
      </c>
      <c r="K16" s="21">
        <f t="shared" si="1"/>
        <v>0</v>
      </c>
      <c r="L16" s="21">
        <f t="shared" ca="1" si="1"/>
        <v>0</v>
      </c>
      <c r="M16" s="21">
        <f t="shared" si="1"/>
        <v>0</v>
      </c>
      <c r="N16" s="21">
        <f t="shared" ca="1" si="1"/>
        <v>1424.9192131400152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0.21616460461964893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2173.6618675506902</v>
      </c>
      <c r="C20" s="23">
        <f t="shared" ref="C20:P20" ca="1" si="2">C16*C18</f>
        <v>0</v>
      </c>
      <c r="D20" s="23">
        <f t="shared" ca="1" si="2"/>
        <v>2106.528114150175</v>
      </c>
      <c r="E20" s="23">
        <f t="shared" si="2"/>
        <v>45.837852917628851</v>
      </c>
      <c r="F20" s="23">
        <f t="shared" ca="1" si="2"/>
        <v>664.70072950241922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1628.3196539</v>
      </c>
      <c r="C26" s="39">
        <f>IF(ISERROR(B26*3.6/1000000/'E Balans VL '!Z12*100),0,B26*3.6/1000000/'E Balans VL '!Z12*100)</f>
        <v>3.4879871978818908E-2</v>
      </c>
      <c r="D26" s="237" t="s">
        <v>660</v>
      </c>
      <c r="F26" s="6"/>
    </row>
    <row r="27" spans="1:18">
      <c r="A27" s="231" t="s">
        <v>53</v>
      </c>
      <c r="B27" s="33">
        <f>IF(ISERROR(TER_horeca_ele_kWh/1000),0,TER_horeca_ele_kWh/1000)</f>
        <v>893.56617662999997</v>
      </c>
      <c r="C27" s="39">
        <f>IF(ISERROR(B27*3.6/1000000/'E Balans VL '!Z9*100),0,B27*3.6/1000000/'E Balans VL '!Z9*100)</f>
        <v>7.1705579670231029E-2</v>
      </c>
      <c r="D27" s="237" t="s">
        <v>660</v>
      </c>
      <c r="F27" s="6"/>
    </row>
    <row r="28" spans="1:18">
      <c r="A28" s="171" t="s">
        <v>52</v>
      </c>
      <c r="B28" s="33">
        <f>IF(ISERROR(TER_handel_ele_kWh/1000),0,TER_handel_ele_kWh/1000)</f>
        <v>3126.6714837000004</v>
      </c>
      <c r="C28" s="39">
        <f>IF(ISERROR(B28*3.6/1000000/'E Balans VL '!Z13*100),0,B28*3.6/1000000/'E Balans VL '!Z13*100)</f>
        <v>9.221887489684355E-2</v>
      </c>
      <c r="D28" s="237" t="s">
        <v>660</v>
      </c>
      <c r="F28" s="6"/>
    </row>
    <row r="29" spans="1:18">
      <c r="A29" s="231" t="s">
        <v>51</v>
      </c>
      <c r="B29" s="33">
        <f>IF(ISERROR(TER_gezond_ele_kWh/1000),0,TER_gezond_ele_kWh/1000)</f>
        <v>79.190055818999994</v>
      </c>
      <c r="C29" s="39">
        <f>IF(ISERROR(B29*3.6/1000000/'E Balans VL '!Z10*100),0,B29*3.6/1000000/'E Balans VL '!Z10*100)</f>
        <v>8.4553747964546608E-3</v>
      </c>
      <c r="D29" s="237" t="s">
        <v>660</v>
      </c>
      <c r="F29" s="6"/>
    </row>
    <row r="30" spans="1:18">
      <c r="A30" s="231" t="s">
        <v>50</v>
      </c>
      <c r="B30" s="33">
        <f>IF(ISERROR(TER_ander_ele_kWh/1000),0,TER_ander_ele_kWh/1000)</f>
        <v>1481.1302032999999</v>
      </c>
      <c r="C30" s="39">
        <f>IF(ISERROR(B30*3.6/1000000/'E Balans VL '!Z14*100),0,B30*3.6/1000000/'E Balans VL '!Z14*100)</f>
        <v>0.11187558041895265</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2846.7088690999999</v>
      </c>
      <c r="C32" s="39">
        <f>IF(ISERROR(B32*3.6/1000000/'E Balans VL '!Z8*100),0,B32*3.6/1000000/'E Balans VL '!Z8*100)</f>
        <v>2.3603180538342351E-2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1941.590966318</v>
      </c>
      <c r="C5" s="17">
        <f>IF(ISERROR('Eigen informatie GS &amp; warmtenet'!B59),0,'Eigen informatie GS &amp; warmtenet'!B59)</f>
        <v>0</v>
      </c>
      <c r="D5" s="30">
        <f>SUM(D6:D15)</f>
        <v>1805.20771083708</v>
      </c>
      <c r="E5" s="17">
        <f>SUM(E6:E15)</f>
        <v>327.00157601165546</v>
      </c>
      <c r="F5" s="17">
        <f>SUM(F6:F15)</f>
        <v>1171.1800275840505</v>
      </c>
      <c r="G5" s="18"/>
      <c r="H5" s="17"/>
      <c r="I5" s="17"/>
      <c r="J5" s="17">
        <f>SUM(J6:J15)</f>
        <v>3.8596784521067704</v>
      </c>
      <c r="K5" s="17"/>
      <c r="L5" s="17"/>
      <c r="M5" s="17"/>
      <c r="N5" s="17">
        <f>SUM(N6:N15)</f>
        <v>561.80297608350361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37.626024778000001</v>
      </c>
      <c r="C8" s="33"/>
      <c r="D8" s="37">
        <f>IF( ISERROR(IND_metaal_Gas_kWH/1000),0,IND_metaal_Gas_kWH/1000)*0.902</f>
        <v>0</v>
      </c>
      <c r="E8" s="33">
        <f>C30*'E Balans VL '!I18/100/3.6*1000000</f>
        <v>1.3538981979534608</v>
      </c>
      <c r="F8" s="33">
        <f>C30*'E Balans VL '!L18/100/3.6*1000000+C30*'E Balans VL '!N18/100/3.6*1000000</f>
        <v>16.430065316057142</v>
      </c>
      <c r="G8" s="34"/>
      <c r="H8" s="33"/>
      <c r="I8" s="33"/>
      <c r="J8" s="40">
        <f>C30*'E Balans VL '!D18/100/3.6*1000000+C30*'E Balans VL '!E18/100/3.6*1000000</f>
        <v>0</v>
      </c>
      <c r="K8" s="33"/>
      <c r="L8" s="33"/>
      <c r="M8" s="33"/>
      <c r="N8" s="33">
        <f>C30*'E Balans VL '!Y18/100/3.6*1000000</f>
        <v>1.8857907922801793</v>
      </c>
      <c r="O8" s="33"/>
      <c r="P8" s="33"/>
      <c r="R8" s="32"/>
    </row>
    <row r="9" spans="1:18">
      <c r="A9" s="6" t="s">
        <v>33</v>
      </c>
      <c r="B9" s="37">
        <f t="shared" si="0"/>
        <v>1146.9145113</v>
      </c>
      <c r="C9" s="33"/>
      <c r="D9" s="37">
        <f>IF( ISERROR(IND_andere_gas_kWh/1000),0,IND_andere_gas_kWh/1000)*0.902</f>
        <v>794.22866830383998</v>
      </c>
      <c r="E9" s="33">
        <f>C31*'E Balans VL '!I19/100/3.6*1000000</f>
        <v>292.6666336161187</v>
      </c>
      <c r="F9" s="33">
        <f>C31*'E Balans VL '!L19/100/3.6*1000000+C31*'E Balans VL '!N19/100/3.6*1000000</f>
        <v>987.40718878325094</v>
      </c>
      <c r="G9" s="34"/>
      <c r="H9" s="33"/>
      <c r="I9" s="33"/>
      <c r="J9" s="40">
        <f>C31*'E Balans VL '!D19/100/3.6*1000000+C31*'E Balans VL '!E19/100/3.6*1000000</f>
        <v>0</v>
      </c>
      <c r="K9" s="33"/>
      <c r="L9" s="33"/>
      <c r="M9" s="33"/>
      <c r="N9" s="33">
        <f>C31*'E Balans VL '!Y19/100/3.6*1000000</f>
        <v>358.679445403405</v>
      </c>
      <c r="O9" s="33"/>
      <c r="P9" s="33"/>
      <c r="R9" s="32"/>
    </row>
    <row r="10" spans="1:18">
      <c r="A10" s="6" t="s">
        <v>41</v>
      </c>
      <c r="B10" s="37">
        <f t="shared" si="0"/>
        <v>280.96514099000001</v>
      </c>
      <c r="C10" s="33"/>
      <c r="D10" s="37">
        <f>IF( ISERROR(IND_voed_gas_kWh/1000),0,IND_voed_gas_kWh/1000)*0.902</f>
        <v>519.89436139717998</v>
      </c>
      <c r="E10" s="33">
        <f>C32*'E Balans VL '!I20/100/3.6*1000000</f>
        <v>7.1425196807197713</v>
      </c>
      <c r="F10" s="33">
        <f>C32*'E Balans VL '!L20/100/3.6*1000000+C32*'E Balans VL '!N20/100/3.6*1000000</f>
        <v>63.578193755540333</v>
      </c>
      <c r="G10" s="34"/>
      <c r="H10" s="33"/>
      <c r="I10" s="33"/>
      <c r="J10" s="40">
        <f>C32*'E Balans VL '!D20/100/3.6*1000000+C32*'E Balans VL '!E20/100/3.6*1000000</f>
        <v>0</v>
      </c>
      <c r="K10" s="33"/>
      <c r="L10" s="33"/>
      <c r="M10" s="33"/>
      <c r="N10" s="33">
        <f>C32*'E Balans VL '!Y20/100/3.6*1000000</f>
        <v>105.36954373095618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476.08528924999996</v>
      </c>
      <c r="C15" s="33"/>
      <c r="D15" s="37">
        <f>IF( ISERROR(IND_rest_gas_kWh/1000),0,IND_rest_gas_kWh/1000)*0.902</f>
        <v>491.08468113606</v>
      </c>
      <c r="E15" s="33">
        <f>C37*'E Balans VL '!I15/100/3.6*1000000</f>
        <v>25.838524516863526</v>
      </c>
      <c r="F15" s="33">
        <f>C37*'E Balans VL '!L15/100/3.6*1000000+C37*'E Balans VL '!N15/100/3.6*1000000</f>
        <v>103.76457972920215</v>
      </c>
      <c r="G15" s="34"/>
      <c r="H15" s="33"/>
      <c r="I15" s="33"/>
      <c r="J15" s="40">
        <f>C37*'E Balans VL '!D15/100/3.6*1000000+C37*'E Balans VL '!E15/100/3.6*1000000</f>
        <v>3.8596784521067704</v>
      </c>
      <c r="K15" s="33"/>
      <c r="L15" s="33"/>
      <c r="M15" s="33"/>
      <c r="N15" s="33">
        <f>C37*'E Balans VL '!Y15/100/3.6*1000000</f>
        <v>95.868196156862254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1941.590966318</v>
      </c>
      <c r="C18" s="21">
        <f>C5+C16</f>
        <v>0</v>
      </c>
      <c r="D18" s="21">
        <f>MAX((D5+D16),0)</f>
        <v>1805.20771083708</v>
      </c>
      <c r="E18" s="21">
        <f>MAX((E5+E16),0)</f>
        <v>327.00157601165546</v>
      </c>
      <c r="F18" s="21">
        <f>MAX((F5+F16),0)</f>
        <v>1171.1800275840505</v>
      </c>
      <c r="G18" s="21"/>
      <c r="H18" s="21"/>
      <c r="I18" s="21"/>
      <c r="J18" s="21">
        <f>MAX((J5+J16),0)</f>
        <v>3.8596784521067704</v>
      </c>
      <c r="K18" s="21"/>
      <c r="L18" s="21">
        <f>MAX((L5+L16),0)</f>
        <v>0</v>
      </c>
      <c r="M18" s="21"/>
      <c r="N18" s="21">
        <f>MAX((N5+N16),0)</f>
        <v>561.80297608350361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0.21616460461964893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419.70324356721255</v>
      </c>
      <c r="C22" s="23">
        <f ca="1">C18*C20</f>
        <v>0</v>
      </c>
      <c r="D22" s="23">
        <f>D18*D20</f>
        <v>364.65195758909016</v>
      </c>
      <c r="E22" s="23">
        <f>E18*E20</f>
        <v>74.22935775464579</v>
      </c>
      <c r="F22" s="23">
        <f>F18*F20</f>
        <v>312.7050673649415</v>
      </c>
      <c r="G22" s="23"/>
      <c r="H22" s="23"/>
      <c r="I22" s="23"/>
      <c r="J22" s="23">
        <f>J18*J20</f>
        <v>1.3663261720457966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37.626024778000001</v>
      </c>
      <c r="C30" s="39">
        <f>IF(ISERROR(B30*3.6/1000000/'E Balans VL '!Z18*100),0,B30*3.6/1000000/'E Balans VL '!Z18*100)</f>
        <v>7.972147969747467E-3</v>
      </c>
      <c r="D30" s="237" t="s">
        <v>660</v>
      </c>
    </row>
    <row r="31" spans="1:18">
      <c r="A31" s="6" t="s">
        <v>33</v>
      </c>
      <c r="B31" s="37">
        <f>IF( ISERROR(IND_ander_ele_kWh/1000),0,IND_ander_ele_kWh/1000)</f>
        <v>1146.9145113</v>
      </c>
      <c r="C31" s="39">
        <f>IF(ISERROR(B31*3.6/1000000/'E Balans VL '!Z19*100),0,B31*3.6/1000000/'E Balans VL '!Z19*100)</f>
        <v>4.8276236039412015E-2</v>
      </c>
      <c r="D31" s="237" t="s">
        <v>660</v>
      </c>
    </row>
    <row r="32" spans="1:18">
      <c r="A32" s="171" t="s">
        <v>41</v>
      </c>
      <c r="B32" s="37">
        <f>IF( ISERROR(IND_voed_ele_kWh/1000),0,IND_voed_ele_kWh/1000)</f>
        <v>280.96514099000001</v>
      </c>
      <c r="C32" s="39">
        <f>IF(ISERROR(B32*3.6/1000000/'E Balans VL '!Z20*100),0,B32*3.6/1000000/'E Balans VL '!Z20*100)</f>
        <v>4.6938405704315504E-2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476.08528924999996</v>
      </c>
      <c r="C37" s="39">
        <f>IF(ISERROR(B37*3.6/1000000/'E Balans VL '!Z15*100),0,B37*3.6/1000000/'E Balans VL '!Z15*100)</f>
        <v>3.8436208887886376E-3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892.66174491600009</v>
      </c>
      <c r="C5" s="17">
        <f>'Eigen informatie GS &amp; warmtenet'!B60</f>
        <v>0</v>
      </c>
      <c r="D5" s="30">
        <f>IF(ISERROR(SUM(LB_lb_gas_kWh,LB_rest_gas_kWh)/1000),0,SUM(LB_lb_gas_kWh,LB_rest_gas_kWh)/1000)*0.902</f>
        <v>67473.938195264447</v>
      </c>
      <c r="E5" s="17">
        <f>B17*'E Balans VL '!I25/3.6*1000000/100</f>
        <v>23.018318976544055</v>
      </c>
      <c r="F5" s="17">
        <f>B17*('E Balans VL '!L25/3.6*1000000+'E Balans VL '!N25/3.6*1000000)/100</f>
        <v>3262.8486768392258</v>
      </c>
      <c r="G5" s="18"/>
      <c r="H5" s="17"/>
      <c r="I5" s="17"/>
      <c r="J5" s="17">
        <f>('E Balans VL '!D25+'E Balans VL '!E25)/3.6*1000000*landbouw!B17/100</f>
        <v>128.51045322641062</v>
      </c>
      <c r="K5" s="17"/>
      <c r="L5" s="17">
        <f>L6*(-1)</f>
        <v>0</v>
      </c>
      <c r="M5" s="17"/>
      <c r="N5" s="17">
        <f>N6*(-1)</f>
        <v>0</v>
      </c>
      <c r="O5" s="17"/>
      <c r="P5" s="17"/>
      <c r="R5" s="32"/>
    </row>
    <row r="6" spans="1:18">
      <c r="A6" s="16" t="s">
        <v>491</v>
      </c>
      <c r="B6" s="17" t="s">
        <v>211</v>
      </c>
      <c r="C6" s="17">
        <f>'lokale energieproductie'!O92+'lokale energieproductie'!O61</f>
        <v>32708.571428571431</v>
      </c>
      <c r="D6" s="310">
        <f>('lokale energieproductie'!P61+'lokale energieproductie'!P92)*(-1)</f>
        <v>-65417.14285714287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892.66174491600009</v>
      </c>
      <c r="C8" s="21">
        <f>C5+C6</f>
        <v>32708.571428571431</v>
      </c>
      <c r="D8" s="21">
        <f>MAX((D5+D6),0)</f>
        <v>2056.7953381215775</v>
      </c>
      <c r="E8" s="21">
        <f>MAX((E5+E6),0)</f>
        <v>23.018318976544055</v>
      </c>
      <c r="F8" s="21">
        <f>MAX((F5+F6),0)</f>
        <v>3262.8486768392258</v>
      </c>
      <c r="G8" s="21"/>
      <c r="H8" s="21"/>
      <c r="I8" s="21"/>
      <c r="J8" s="21">
        <f>MAX((J5+J6),0)</f>
        <v>128.51045322641062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0.21616460461964893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192.96187314885307</v>
      </c>
      <c r="C12" s="23">
        <f ca="1">C8*C10</f>
        <v>7773.0957983193293</v>
      </c>
      <c r="D12" s="23">
        <f>D8*D10</f>
        <v>415.47265830055869</v>
      </c>
      <c r="E12" s="23">
        <f>E8*E10</f>
        <v>5.2251584076755009</v>
      </c>
      <c r="F12" s="23">
        <f>F8*F10</f>
        <v>871.1805967160733</v>
      </c>
      <c r="G12" s="23"/>
      <c r="H12" s="23"/>
      <c r="I12" s="23"/>
      <c r="J12" s="23">
        <f>J8*J10</f>
        <v>45.492700442149356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0.12587121889197106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152.45612786668281</v>
      </c>
      <c r="C26" s="247">
        <f>B26*'GWP N2O_CH4'!B5</f>
        <v>3201.5786852003389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38.548362608550576</v>
      </c>
      <c r="C27" s="247">
        <f>B27*'GWP N2O_CH4'!B5</f>
        <v>809.51561477956216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1.6797172867192824</v>
      </c>
      <c r="C28" s="247">
        <f>B28*'GWP N2O_CH4'!B4</f>
        <v>520.71235888297758</v>
      </c>
      <c r="D28" s="50"/>
    </row>
    <row r="29" spans="1:4">
      <c r="A29" s="41" t="s">
        <v>277</v>
      </c>
      <c r="B29" s="247">
        <f>B34*'ha_N2O bodem landbouw'!B4</f>
        <v>8.5221747103854</v>
      </c>
      <c r="C29" s="247">
        <f>B29*'GWP N2O_CH4'!B4</f>
        <v>2641.8741602194741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1.917952418282022E-3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4.2344672401048028E-5</v>
      </c>
      <c r="C5" s="463" t="s">
        <v>211</v>
      </c>
      <c r="D5" s="448">
        <f>SUM(D6:D11)</f>
        <v>9.2123345948951911E-5</v>
      </c>
      <c r="E5" s="448">
        <f>SUM(E6:E11)</f>
        <v>3.5711146286393112E-4</v>
      </c>
      <c r="F5" s="461" t="s">
        <v>211</v>
      </c>
      <c r="G5" s="448">
        <f>SUM(G6:G11)</f>
        <v>0.11479570380118759</v>
      </c>
      <c r="H5" s="448">
        <f>SUM(H6:H11)</f>
        <v>2.4799847536786841E-2</v>
      </c>
      <c r="I5" s="463" t="s">
        <v>211</v>
      </c>
      <c r="J5" s="463" t="s">
        <v>211</v>
      </c>
      <c r="K5" s="463" t="s">
        <v>211</v>
      </c>
      <c r="L5" s="463" t="s">
        <v>211</v>
      </c>
      <c r="M5" s="448">
        <f>SUM(M6:M11)</f>
        <v>4.3597521395365955E-3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3.7130854601831913E-5</v>
      </c>
      <c r="C6" s="449"/>
      <c r="D6" s="892">
        <f>vkm_2011_GW_PW*SUMIFS(TableVerdeelsleutelVkm[CNG],TableVerdeelsleutelVkm[Voertuigtype],"Lichte voertuigen")*SUMIFS(TableECFTransport[EnergieConsumptieFactor (PJ per km)],TableECFTransport[Index],CONCATENATE($A6,"_CNG_CNG"))</f>
        <v>7.3779658497734232E-5</v>
      </c>
      <c r="E6" s="892">
        <f>vkm_2011_GW_PW*SUMIFS(TableVerdeelsleutelVkm[LPG],TableVerdeelsleutelVkm[Voertuigtype],"Lichte voertuigen")*SUMIFS(TableECFTransport[EnergieConsumptieFactor (PJ per km)],TableECFTransport[Index],CONCATENATE($A6,"_LPG_LPG"))</f>
        <v>2.9034940421349354E-4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6.903512585298173E-2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1.9974373167291615E-2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2.7736181820448604E-3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3.0575894598204697E-2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9.8773199589319963E-6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9.633996553449133E-4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5.2138177992161152E-6</v>
      </c>
      <c r="C8" s="449"/>
      <c r="D8" s="451">
        <f>vkm_2011_NGW_PW*SUMIFS(TableVerdeelsleutelVkm[CNG],TableVerdeelsleutelVkm[Voertuigtype],"Lichte voertuigen")*SUMIFS(TableECFTransport[EnergieConsumptieFactor (PJ per km)],TableECFTransport[Index],CONCATENATE($A8,"_CNG_CNG"))</f>
        <v>1.8343687451217683E-5</v>
      </c>
      <c r="E8" s="451">
        <f>vkm_2011_NGW_PW*SUMIFS(TableVerdeelsleutelVkm[LPG],TableVerdeelsleutelVkm[Voertuigtype],"Lichte voertuigen")*SUMIFS(TableECFTransport[EnergieConsumptieFactor (PJ per km)],TableECFTransport[Index],CONCATENATE($A8,"_LPG_LPG"))</f>
        <v>6.6762058650437611E-5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1.4823053770194047E-2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4.815486568633366E-3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6.1134009759184437E-4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3.6162957980711197E-4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1.1048090292637832E-7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1.1394204554977726E-5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11.762409000291118</v>
      </c>
      <c r="C14" s="21"/>
      <c r="D14" s="21">
        <f t="shared" ref="D14:M14" si="0">((D5)*10^9/3600)+D12</f>
        <v>25.589818319153309</v>
      </c>
      <c r="E14" s="21">
        <f t="shared" si="0"/>
        <v>99.197628573314205</v>
      </c>
      <c r="F14" s="21"/>
      <c r="G14" s="21">
        <f t="shared" si="0"/>
        <v>31887.695500329886</v>
      </c>
      <c r="H14" s="21">
        <f t="shared" si="0"/>
        <v>6888.8465379963445</v>
      </c>
      <c r="I14" s="21"/>
      <c r="J14" s="21"/>
      <c r="K14" s="21"/>
      <c r="L14" s="21"/>
      <c r="M14" s="21">
        <f t="shared" si="0"/>
        <v>1211.0422609823877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0.21616460461964893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2.5426164909225295</v>
      </c>
      <c r="C18" s="23"/>
      <c r="D18" s="23">
        <f t="shared" ref="D18:M18" si="1">D14*D16</f>
        <v>5.1691433004689689</v>
      </c>
      <c r="E18" s="23">
        <f t="shared" si="1"/>
        <v>22.517861686142325</v>
      </c>
      <c r="F18" s="23"/>
      <c r="G18" s="23">
        <f t="shared" si="1"/>
        <v>8514.0146985880801</v>
      </c>
      <c r="H18" s="23">
        <f t="shared" si="1"/>
        <v>1715.3227879610897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1.7466835231017572E-3</v>
      </c>
      <c r="H50" s="321">
        <f t="shared" si="2"/>
        <v>0</v>
      </c>
      <c r="I50" s="321">
        <f t="shared" si="2"/>
        <v>0</v>
      </c>
      <c r="J50" s="321">
        <f t="shared" si="2"/>
        <v>0</v>
      </c>
      <c r="K50" s="321">
        <f t="shared" si="2"/>
        <v>0</v>
      </c>
      <c r="L50" s="321">
        <f t="shared" si="2"/>
        <v>0</v>
      </c>
      <c r="M50" s="321">
        <f t="shared" si="2"/>
        <v>5.4178215237524989E-5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1.7466835231017572E-3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5.4178215237524989E-5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485.18986752826589</v>
      </c>
      <c r="H54" s="21">
        <f t="shared" si="3"/>
        <v>0</v>
      </c>
      <c r="I54" s="21">
        <f t="shared" si="3"/>
        <v>0</v>
      </c>
      <c r="J54" s="21">
        <f t="shared" si="3"/>
        <v>0</v>
      </c>
      <c r="K54" s="21">
        <f t="shared" si="3"/>
        <v>0</v>
      </c>
      <c r="L54" s="21">
        <f t="shared" si="3"/>
        <v>0</v>
      </c>
      <c r="M54" s="21">
        <f t="shared" si="3"/>
        <v>15.04950423264583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0.21616460461964893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129.545694630047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10678.474442449</v>
      </c>
      <c r="D10" s="1012">
        <f ca="1">tertiair!C16</f>
        <v>0</v>
      </c>
      <c r="E10" s="1012">
        <f ca="1">tertiair!D16</f>
        <v>10428.357000743439</v>
      </c>
      <c r="F10" s="1012">
        <f>tertiair!E16</f>
        <v>201.92886747854118</v>
      </c>
      <c r="G10" s="1012">
        <f ca="1">tertiair!F16</f>
        <v>2489.5158408330308</v>
      </c>
      <c r="H10" s="1012">
        <f>tertiair!G16</f>
        <v>0</v>
      </c>
      <c r="I10" s="1012">
        <f>tertiair!H16</f>
        <v>0</v>
      </c>
      <c r="J10" s="1012">
        <f>tertiair!I16</f>
        <v>0</v>
      </c>
      <c r="K10" s="1012">
        <f>tertiair!J16</f>
        <v>0</v>
      </c>
      <c r="L10" s="1012">
        <f>tertiair!K16</f>
        <v>0</v>
      </c>
      <c r="M10" s="1012">
        <f ca="1">tertiair!L16</f>
        <v>0</v>
      </c>
      <c r="N10" s="1012">
        <f>tertiair!M16</f>
        <v>0</v>
      </c>
      <c r="O10" s="1012">
        <f ca="1">tertiair!N16</f>
        <v>1424.9192131400152</v>
      </c>
      <c r="P10" s="1012">
        <f>tertiair!O16</f>
        <v>0</v>
      </c>
      <c r="Q10" s="1013">
        <f>tertiair!P16</f>
        <v>0</v>
      </c>
      <c r="R10" s="700">
        <f ca="1">SUM(C10:Q10)</f>
        <v>25223.195364644027</v>
      </c>
      <c r="S10" s="67"/>
    </row>
    <row r="11" spans="1:19" s="473" customFormat="1">
      <c r="A11" s="809" t="s">
        <v>225</v>
      </c>
      <c r="B11" s="814"/>
      <c r="C11" s="1012">
        <f>huishoudens!B8</f>
        <v>18241.939681547236</v>
      </c>
      <c r="D11" s="1012">
        <f>huishoudens!C8</f>
        <v>0</v>
      </c>
      <c r="E11" s="1012">
        <f>huishoudens!D8</f>
        <v>47560.154805503997</v>
      </c>
      <c r="F11" s="1012">
        <f>huishoudens!E8</f>
        <v>3158.7023902856408</v>
      </c>
      <c r="G11" s="1012">
        <f>huishoudens!F8</f>
        <v>11535.746846112366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10581.088828894892</v>
      </c>
      <c r="P11" s="1012">
        <f>huishoudens!O8</f>
        <v>154.77000000000001</v>
      </c>
      <c r="Q11" s="1013">
        <f>huishoudens!P8</f>
        <v>457.6</v>
      </c>
      <c r="R11" s="700">
        <f>SUM(C11:Q11)</f>
        <v>91690.002552344144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1941.590966318</v>
      </c>
      <c r="D13" s="1012">
        <f>industrie!C18</f>
        <v>0</v>
      </c>
      <c r="E13" s="1012">
        <f>industrie!D18</f>
        <v>1805.20771083708</v>
      </c>
      <c r="F13" s="1012">
        <f>industrie!E18</f>
        <v>327.00157601165546</v>
      </c>
      <c r="G13" s="1012">
        <f>industrie!F18</f>
        <v>1171.1800275840505</v>
      </c>
      <c r="H13" s="1012">
        <f>industrie!G18</f>
        <v>0</v>
      </c>
      <c r="I13" s="1012">
        <f>industrie!H18</f>
        <v>0</v>
      </c>
      <c r="J13" s="1012">
        <f>industrie!I18</f>
        <v>0</v>
      </c>
      <c r="K13" s="1012">
        <f>industrie!J18</f>
        <v>3.8596784521067704</v>
      </c>
      <c r="L13" s="1012">
        <f>industrie!K18</f>
        <v>0</v>
      </c>
      <c r="M13" s="1012">
        <f>industrie!L18</f>
        <v>0</v>
      </c>
      <c r="N13" s="1012">
        <f>industrie!M18</f>
        <v>0</v>
      </c>
      <c r="O13" s="1012">
        <f>industrie!N18</f>
        <v>561.80297608350361</v>
      </c>
      <c r="P13" s="1012">
        <f>industrie!O18</f>
        <v>0</v>
      </c>
      <c r="Q13" s="1013">
        <f>industrie!P18</f>
        <v>0</v>
      </c>
      <c r="R13" s="700">
        <f>SUM(C13:Q13)</f>
        <v>5810.6429352863961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30862.005090314233</v>
      </c>
      <c r="D16" s="732">
        <f t="shared" ref="D16:R16" ca="1" si="0">SUM(D9:D15)</f>
        <v>0</v>
      </c>
      <c r="E16" s="732">
        <f t="shared" ca="1" si="0"/>
        <v>59793.719517084515</v>
      </c>
      <c r="F16" s="732">
        <f t="shared" si="0"/>
        <v>3687.6328337758373</v>
      </c>
      <c r="G16" s="732">
        <f t="shared" ca="1" si="0"/>
        <v>15196.442714529447</v>
      </c>
      <c r="H16" s="732">
        <f t="shared" si="0"/>
        <v>0</v>
      </c>
      <c r="I16" s="732">
        <f t="shared" si="0"/>
        <v>0</v>
      </c>
      <c r="J16" s="732">
        <f t="shared" si="0"/>
        <v>0</v>
      </c>
      <c r="K16" s="732">
        <f t="shared" si="0"/>
        <v>3.8596784521067704</v>
      </c>
      <c r="L16" s="732">
        <f t="shared" si="0"/>
        <v>0</v>
      </c>
      <c r="M16" s="732">
        <f t="shared" ca="1" si="0"/>
        <v>0</v>
      </c>
      <c r="N16" s="732">
        <f t="shared" si="0"/>
        <v>0</v>
      </c>
      <c r="O16" s="732">
        <f t="shared" ca="1" si="0"/>
        <v>12567.811018118411</v>
      </c>
      <c r="P16" s="732">
        <f t="shared" si="0"/>
        <v>154.77000000000001</v>
      </c>
      <c r="Q16" s="732">
        <f t="shared" si="0"/>
        <v>457.6</v>
      </c>
      <c r="R16" s="732">
        <f t="shared" ca="1" si="0"/>
        <v>122723.84085227456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485.18986752826589</v>
      </c>
      <c r="I19" s="1012">
        <f>transport!H54</f>
        <v>0</v>
      </c>
      <c r="J19" s="1012">
        <f>transport!I54</f>
        <v>0</v>
      </c>
      <c r="K19" s="1012">
        <f>transport!J54</f>
        <v>0</v>
      </c>
      <c r="L19" s="1012">
        <f>transport!K54</f>
        <v>0</v>
      </c>
      <c r="M19" s="1012">
        <f>transport!L54</f>
        <v>0</v>
      </c>
      <c r="N19" s="1012">
        <f>transport!M54</f>
        <v>15.04950423264583</v>
      </c>
      <c r="O19" s="1012">
        <f>transport!N54</f>
        <v>0</v>
      </c>
      <c r="P19" s="1012">
        <f>transport!O54</f>
        <v>0</v>
      </c>
      <c r="Q19" s="1013">
        <f>transport!P54</f>
        <v>0</v>
      </c>
      <c r="R19" s="700">
        <f>SUM(C19:Q19)</f>
        <v>500.23937176091169</v>
      </c>
      <c r="S19" s="67"/>
    </row>
    <row r="20" spans="1:19" s="473" customFormat="1">
      <c r="A20" s="809" t="s">
        <v>307</v>
      </c>
      <c r="B20" s="814"/>
      <c r="C20" s="1012">
        <f>transport!B14</f>
        <v>11.762409000291118</v>
      </c>
      <c r="D20" s="1012">
        <f>transport!C14</f>
        <v>0</v>
      </c>
      <c r="E20" s="1012">
        <f>transport!D14</f>
        <v>25.589818319153309</v>
      </c>
      <c r="F20" s="1012">
        <f>transport!E14</f>
        <v>99.197628573314205</v>
      </c>
      <c r="G20" s="1012">
        <f>transport!F14</f>
        <v>0</v>
      </c>
      <c r="H20" s="1012">
        <f>transport!G14</f>
        <v>31887.695500329886</v>
      </c>
      <c r="I20" s="1012">
        <f>transport!H14</f>
        <v>6888.8465379963445</v>
      </c>
      <c r="J20" s="1012">
        <f>transport!I14</f>
        <v>0</v>
      </c>
      <c r="K20" s="1012">
        <f>transport!J14</f>
        <v>0</v>
      </c>
      <c r="L20" s="1012">
        <f>transport!K14</f>
        <v>0</v>
      </c>
      <c r="M20" s="1012">
        <f>transport!L14</f>
        <v>0</v>
      </c>
      <c r="N20" s="1012">
        <f>transport!M14</f>
        <v>1211.0422609823877</v>
      </c>
      <c r="O20" s="1012">
        <f>transport!N14</f>
        <v>0</v>
      </c>
      <c r="P20" s="1012">
        <f>transport!O14</f>
        <v>0</v>
      </c>
      <c r="Q20" s="1013">
        <f>transport!P14</f>
        <v>0</v>
      </c>
      <c r="R20" s="700">
        <f>SUM(C20:Q20)</f>
        <v>40124.134155201376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11.762409000291118</v>
      </c>
      <c r="D22" s="812">
        <f t="shared" ref="D22:R22" si="1">SUM(D18:D21)</f>
        <v>0</v>
      </c>
      <c r="E22" s="812">
        <f t="shared" si="1"/>
        <v>25.589818319153309</v>
      </c>
      <c r="F22" s="812">
        <f t="shared" si="1"/>
        <v>99.197628573314205</v>
      </c>
      <c r="G22" s="812">
        <f t="shared" si="1"/>
        <v>0</v>
      </c>
      <c r="H22" s="812">
        <f t="shared" si="1"/>
        <v>32372.885367858151</v>
      </c>
      <c r="I22" s="812">
        <f t="shared" si="1"/>
        <v>6888.8465379963445</v>
      </c>
      <c r="J22" s="812">
        <f t="shared" si="1"/>
        <v>0</v>
      </c>
      <c r="K22" s="812">
        <f t="shared" si="1"/>
        <v>0</v>
      </c>
      <c r="L22" s="812">
        <f t="shared" si="1"/>
        <v>0</v>
      </c>
      <c r="M22" s="812">
        <f t="shared" si="1"/>
        <v>0</v>
      </c>
      <c r="N22" s="812">
        <f t="shared" si="1"/>
        <v>1226.0917652150335</v>
      </c>
      <c r="O22" s="812">
        <f t="shared" si="1"/>
        <v>0</v>
      </c>
      <c r="P22" s="812">
        <f t="shared" si="1"/>
        <v>0</v>
      </c>
      <c r="Q22" s="812">
        <f t="shared" si="1"/>
        <v>0</v>
      </c>
      <c r="R22" s="812">
        <f t="shared" si="1"/>
        <v>40624.373526962285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892.66174491600009</v>
      </c>
      <c r="D24" s="1012">
        <f>+landbouw!C8</f>
        <v>32708.571428571431</v>
      </c>
      <c r="E24" s="1012">
        <f>+landbouw!D8</f>
        <v>2056.7953381215775</v>
      </c>
      <c r="F24" s="1012">
        <f>+landbouw!E8</f>
        <v>23.018318976544055</v>
      </c>
      <c r="G24" s="1012">
        <f>+landbouw!F8</f>
        <v>3262.8486768392258</v>
      </c>
      <c r="H24" s="1012">
        <f>+landbouw!G8</f>
        <v>0</v>
      </c>
      <c r="I24" s="1012">
        <f>+landbouw!H8</f>
        <v>0</v>
      </c>
      <c r="J24" s="1012">
        <f>+landbouw!I8</f>
        <v>0</v>
      </c>
      <c r="K24" s="1012">
        <f>+landbouw!J8</f>
        <v>128.51045322641062</v>
      </c>
      <c r="L24" s="1012">
        <f>+landbouw!K8</f>
        <v>0</v>
      </c>
      <c r="M24" s="1012">
        <f>+landbouw!L8</f>
        <v>0</v>
      </c>
      <c r="N24" s="1012">
        <f>+landbouw!M8</f>
        <v>0</v>
      </c>
      <c r="O24" s="1012">
        <f>+landbouw!N8</f>
        <v>0</v>
      </c>
      <c r="P24" s="1012">
        <f>+landbouw!O8</f>
        <v>0</v>
      </c>
      <c r="Q24" s="1013">
        <f>+landbouw!P8</f>
        <v>0</v>
      </c>
      <c r="R24" s="700">
        <f>SUM(C24:Q24)</f>
        <v>39072.405960651187</v>
      </c>
      <c r="S24" s="67"/>
    </row>
    <row r="25" spans="1:19" s="473" customFormat="1" ht="15" thickBot="1">
      <c r="A25" s="831" t="s">
        <v>848</v>
      </c>
      <c r="B25" s="1015"/>
      <c r="C25" s="1016">
        <f>IF(Onbekend_ele_kWh="---",0,Onbekend_ele_kWh)/1000+IF(REST_rest_ele_kWh="---",0,REST_rest_ele_kWh)/1000</f>
        <v>797.41641203000006</v>
      </c>
      <c r="D25" s="1016"/>
      <c r="E25" s="1016">
        <f>IF(onbekend_gas_kWh="---",0,onbekend_gas_kWh)/1000+IF(REST_rest_gas_kWh="---",0,REST_rest_gas_kWh)/1000</f>
        <v>1961.9100283999999</v>
      </c>
      <c r="F25" s="1016"/>
      <c r="G25" s="1016"/>
      <c r="H25" s="1016"/>
      <c r="I25" s="1016"/>
      <c r="J25" s="1016"/>
      <c r="K25" s="1016"/>
      <c r="L25" s="1016"/>
      <c r="M25" s="1016"/>
      <c r="N25" s="1016"/>
      <c r="O25" s="1016"/>
      <c r="P25" s="1016"/>
      <c r="Q25" s="1017"/>
      <c r="R25" s="700">
        <f>SUM(C25:Q25)</f>
        <v>2759.3264404299998</v>
      </c>
      <c r="S25" s="67"/>
    </row>
    <row r="26" spans="1:19" s="473" customFormat="1" ht="15.75" thickBot="1">
      <c r="A26" s="705" t="s">
        <v>849</v>
      </c>
      <c r="B26" s="817"/>
      <c r="C26" s="812">
        <f>SUM(C24:C25)</f>
        <v>1690.078156946</v>
      </c>
      <c r="D26" s="812">
        <f t="shared" ref="D26:R26" si="2">SUM(D24:D25)</f>
        <v>32708.571428571431</v>
      </c>
      <c r="E26" s="812">
        <f t="shared" si="2"/>
        <v>4018.7053665215772</v>
      </c>
      <c r="F26" s="812">
        <f t="shared" si="2"/>
        <v>23.018318976544055</v>
      </c>
      <c r="G26" s="812">
        <f t="shared" si="2"/>
        <v>3262.8486768392258</v>
      </c>
      <c r="H26" s="812">
        <f t="shared" si="2"/>
        <v>0</v>
      </c>
      <c r="I26" s="812">
        <f t="shared" si="2"/>
        <v>0</v>
      </c>
      <c r="J26" s="812">
        <f t="shared" si="2"/>
        <v>0</v>
      </c>
      <c r="K26" s="812">
        <f t="shared" si="2"/>
        <v>128.51045322641062</v>
      </c>
      <c r="L26" s="812">
        <f t="shared" si="2"/>
        <v>0</v>
      </c>
      <c r="M26" s="812">
        <f t="shared" si="2"/>
        <v>0</v>
      </c>
      <c r="N26" s="812">
        <f t="shared" si="2"/>
        <v>0</v>
      </c>
      <c r="O26" s="812">
        <f t="shared" si="2"/>
        <v>0</v>
      </c>
      <c r="P26" s="812">
        <f t="shared" si="2"/>
        <v>0</v>
      </c>
      <c r="Q26" s="812">
        <f t="shared" si="2"/>
        <v>0</v>
      </c>
      <c r="R26" s="812">
        <f t="shared" si="2"/>
        <v>41831.732401081186</v>
      </c>
      <c r="S26" s="67"/>
    </row>
    <row r="27" spans="1:19" s="473" customFormat="1" ht="17.25" thickTop="1" thickBot="1">
      <c r="A27" s="706" t="s">
        <v>116</v>
      </c>
      <c r="B27" s="805"/>
      <c r="C27" s="707">
        <f ca="1">C22+C16+C26</f>
        <v>32563.845656260524</v>
      </c>
      <c r="D27" s="707">
        <f t="shared" ref="D27:R27" ca="1" si="3">D22+D16+D26</f>
        <v>32708.571428571431</v>
      </c>
      <c r="E27" s="707">
        <f t="shared" ca="1" si="3"/>
        <v>63838.014701925247</v>
      </c>
      <c r="F27" s="707">
        <f t="shared" si="3"/>
        <v>3809.8487813256952</v>
      </c>
      <c r="G27" s="707">
        <f t="shared" ca="1" si="3"/>
        <v>18459.291391368672</v>
      </c>
      <c r="H27" s="707">
        <f t="shared" si="3"/>
        <v>32372.885367858151</v>
      </c>
      <c r="I27" s="707">
        <f t="shared" si="3"/>
        <v>6888.8465379963445</v>
      </c>
      <c r="J27" s="707">
        <f t="shared" si="3"/>
        <v>0</v>
      </c>
      <c r="K27" s="707">
        <f t="shared" si="3"/>
        <v>132.3701316785174</v>
      </c>
      <c r="L27" s="707">
        <f t="shared" si="3"/>
        <v>0</v>
      </c>
      <c r="M27" s="707">
        <f t="shared" ca="1" si="3"/>
        <v>0</v>
      </c>
      <c r="N27" s="707">
        <f t="shared" si="3"/>
        <v>1226.0917652150335</v>
      </c>
      <c r="O27" s="707">
        <f t="shared" ca="1" si="3"/>
        <v>12567.811018118411</v>
      </c>
      <c r="P27" s="707">
        <f t="shared" si="3"/>
        <v>154.77000000000001</v>
      </c>
      <c r="Q27" s="707">
        <f t="shared" si="3"/>
        <v>457.6</v>
      </c>
      <c r="R27" s="707">
        <f t="shared" ca="1" si="3"/>
        <v>205179.94678031805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2308.3082057930142</v>
      </c>
      <c r="D40" s="1012">
        <f ca="1">tertiair!C20</f>
        <v>0</v>
      </c>
      <c r="E40" s="1012">
        <f ca="1">tertiair!D20</f>
        <v>2106.528114150175</v>
      </c>
      <c r="F40" s="1012">
        <f>tertiair!E20</f>
        <v>45.837852917628851</v>
      </c>
      <c r="G40" s="1012">
        <f ca="1">tertiair!F20</f>
        <v>664.70072950241922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5125.3749023632381</v>
      </c>
    </row>
    <row r="41" spans="1:18">
      <c r="A41" s="822" t="s">
        <v>225</v>
      </c>
      <c r="B41" s="829"/>
      <c r="C41" s="1012">
        <f ca="1">huishoudens!B12</f>
        <v>3943.2616787571428</v>
      </c>
      <c r="D41" s="1012">
        <f ca="1">huishoudens!C12</f>
        <v>0</v>
      </c>
      <c r="E41" s="1012">
        <f>huishoudens!D12</f>
        <v>9607.1512707118072</v>
      </c>
      <c r="F41" s="1012">
        <f>huishoudens!E12</f>
        <v>717.02544259484046</v>
      </c>
      <c r="G41" s="1012">
        <f>huishoudens!F12</f>
        <v>3080.044407912002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17347.482799975791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419.70324356721255</v>
      </c>
      <c r="D43" s="1012">
        <f ca="1">industrie!C22</f>
        <v>0</v>
      </c>
      <c r="E43" s="1012">
        <f>industrie!D22</f>
        <v>364.65195758909016</v>
      </c>
      <c r="F43" s="1012">
        <f>industrie!E22</f>
        <v>74.22935775464579</v>
      </c>
      <c r="G43" s="1012">
        <f>industrie!F22</f>
        <v>312.7050673649415</v>
      </c>
      <c r="H43" s="1012">
        <f>industrie!G22</f>
        <v>0</v>
      </c>
      <c r="I43" s="1012">
        <f>industrie!H22</f>
        <v>0</v>
      </c>
      <c r="J43" s="1012">
        <f>industrie!I22</f>
        <v>0</v>
      </c>
      <c r="K43" s="1012">
        <f>industrie!J22</f>
        <v>1.3663261720457966</v>
      </c>
      <c r="L43" s="1012">
        <f>industrie!K22</f>
        <v>0</v>
      </c>
      <c r="M43" s="1012">
        <f>industrie!L22</f>
        <v>0</v>
      </c>
      <c r="N43" s="1012">
        <f>industrie!M22</f>
        <v>0</v>
      </c>
      <c r="O43" s="1012">
        <f>industrie!N22</f>
        <v>0</v>
      </c>
      <c r="P43" s="1012">
        <f>industrie!O22</f>
        <v>0</v>
      </c>
      <c r="Q43" s="774">
        <f>industrie!P22</f>
        <v>0</v>
      </c>
      <c r="R43" s="849">
        <f t="shared" ca="1" si="4"/>
        <v>1172.6559524479358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6671.2731281173701</v>
      </c>
      <c r="D46" s="732">
        <f t="shared" ref="D46:Q46" ca="1" si="5">SUM(D39:D45)</f>
        <v>0</v>
      </c>
      <c r="E46" s="732">
        <f t="shared" ca="1" si="5"/>
        <v>12078.331342451072</v>
      </c>
      <c r="F46" s="732">
        <f t="shared" si="5"/>
        <v>837.09265326711511</v>
      </c>
      <c r="G46" s="732">
        <f t="shared" ca="1" si="5"/>
        <v>4057.4502047793626</v>
      </c>
      <c r="H46" s="732">
        <f t="shared" si="5"/>
        <v>0</v>
      </c>
      <c r="I46" s="732">
        <f t="shared" si="5"/>
        <v>0</v>
      </c>
      <c r="J46" s="732">
        <f t="shared" si="5"/>
        <v>0</v>
      </c>
      <c r="K46" s="732">
        <f t="shared" si="5"/>
        <v>1.3663261720457966</v>
      </c>
      <c r="L46" s="732">
        <f t="shared" si="5"/>
        <v>0</v>
      </c>
      <c r="M46" s="732">
        <f t="shared" ca="1" si="5"/>
        <v>0</v>
      </c>
      <c r="N46" s="732">
        <f t="shared" si="5"/>
        <v>0</v>
      </c>
      <c r="O46" s="732">
        <f t="shared" ca="1" si="5"/>
        <v>0</v>
      </c>
      <c r="P46" s="732">
        <f t="shared" si="5"/>
        <v>0</v>
      </c>
      <c r="Q46" s="732">
        <f t="shared" si="5"/>
        <v>0</v>
      </c>
      <c r="R46" s="732">
        <f ca="1">SUM(R39:R45)</f>
        <v>23645.513654786962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129.545694630047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129.545694630047</v>
      </c>
    </row>
    <row r="50" spans="1:18">
      <c r="A50" s="825" t="s">
        <v>307</v>
      </c>
      <c r="B50" s="835"/>
      <c r="C50" s="703">
        <f ca="1">transport!B18</f>
        <v>2.5426164909225295</v>
      </c>
      <c r="D50" s="703">
        <f>transport!C18</f>
        <v>0</v>
      </c>
      <c r="E50" s="703">
        <f>transport!D18</f>
        <v>5.1691433004689689</v>
      </c>
      <c r="F50" s="703">
        <f>transport!E18</f>
        <v>22.517861686142325</v>
      </c>
      <c r="G50" s="703">
        <f>transport!F18</f>
        <v>0</v>
      </c>
      <c r="H50" s="703">
        <f>transport!G18</f>
        <v>8514.0146985880801</v>
      </c>
      <c r="I50" s="703">
        <f>transport!H18</f>
        <v>1715.3227879610897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10259.567108026704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2.5426164909225295</v>
      </c>
      <c r="D52" s="732">
        <f t="shared" ref="D52:Q52" ca="1" si="6">SUM(D48:D51)</f>
        <v>0</v>
      </c>
      <c r="E52" s="732">
        <f t="shared" si="6"/>
        <v>5.1691433004689689</v>
      </c>
      <c r="F52" s="732">
        <f t="shared" si="6"/>
        <v>22.517861686142325</v>
      </c>
      <c r="G52" s="732">
        <f t="shared" si="6"/>
        <v>0</v>
      </c>
      <c r="H52" s="732">
        <f t="shared" si="6"/>
        <v>8643.5603932181275</v>
      </c>
      <c r="I52" s="732">
        <f t="shared" si="6"/>
        <v>1715.3227879610897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10389.112802656751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192.96187314885307</v>
      </c>
      <c r="D54" s="703">
        <f ca="1">+landbouw!C12</f>
        <v>7773.0957983193293</v>
      </c>
      <c r="E54" s="703">
        <f>+landbouw!D12</f>
        <v>415.47265830055869</v>
      </c>
      <c r="F54" s="703">
        <f>+landbouw!E12</f>
        <v>5.2251584076755009</v>
      </c>
      <c r="G54" s="703">
        <f>+landbouw!F12</f>
        <v>871.1805967160733</v>
      </c>
      <c r="H54" s="703">
        <f>+landbouw!G12</f>
        <v>0</v>
      </c>
      <c r="I54" s="703">
        <f>+landbouw!H12</f>
        <v>0</v>
      </c>
      <c r="J54" s="703">
        <f>+landbouw!I12</f>
        <v>0</v>
      </c>
      <c r="K54" s="703">
        <f>+landbouw!J12</f>
        <v>45.492700442149356</v>
      </c>
      <c r="L54" s="703">
        <f>+landbouw!K12</f>
        <v>0</v>
      </c>
      <c r="M54" s="703">
        <f>+landbouw!L12</f>
        <v>0</v>
      </c>
      <c r="N54" s="703">
        <f>+landbouw!M12</f>
        <v>0</v>
      </c>
      <c r="O54" s="703">
        <f>+landbouw!N12</f>
        <v>0</v>
      </c>
      <c r="P54" s="703">
        <f>+landbouw!O12</f>
        <v>0</v>
      </c>
      <c r="Q54" s="704">
        <f>+landbouw!P12</f>
        <v>0</v>
      </c>
      <c r="R54" s="731">
        <f ca="1">SUM(C54:Q54)</f>
        <v>9303.4287853346377</v>
      </c>
    </row>
    <row r="55" spans="1:18" ht="15" thickBot="1">
      <c r="A55" s="825" t="s">
        <v>848</v>
      </c>
      <c r="B55" s="835"/>
      <c r="C55" s="703">
        <f ca="1">C25*'EF ele_warmte'!B12</f>
        <v>172.37320342368403</v>
      </c>
      <c r="D55" s="703"/>
      <c r="E55" s="703">
        <f>E25*EF_CO2_aardgas</f>
        <v>396.30582573679999</v>
      </c>
      <c r="F55" s="703"/>
      <c r="G55" s="703"/>
      <c r="H55" s="703"/>
      <c r="I55" s="703"/>
      <c r="J55" s="703"/>
      <c r="K55" s="703"/>
      <c r="L55" s="703"/>
      <c r="M55" s="703"/>
      <c r="N55" s="703"/>
      <c r="O55" s="703"/>
      <c r="P55" s="703"/>
      <c r="Q55" s="704"/>
      <c r="R55" s="731">
        <f ca="1">SUM(C55:Q55)</f>
        <v>568.67902916048399</v>
      </c>
    </row>
    <row r="56" spans="1:18" ht="15.75" thickBot="1">
      <c r="A56" s="823" t="s">
        <v>849</v>
      </c>
      <c r="B56" s="836"/>
      <c r="C56" s="732">
        <f ca="1">SUM(C54:C55)</f>
        <v>365.3350765725371</v>
      </c>
      <c r="D56" s="732">
        <f t="shared" ref="D56:Q56" ca="1" si="7">SUM(D54:D55)</f>
        <v>7773.0957983193293</v>
      </c>
      <c r="E56" s="732">
        <f t="shared" si="7"/>
        <v>811.77848403735868</v>
      </c>
      <c r="F56" s="732">
        <f t="shared" si="7"/>
        <v>5.2251584076755009</v>
      </c>
      <c r="G56" s="732">
        <f t="shared" si="7"/>
        <v>871.1805967160733</v>
      </c>
      <c r="H56" s="732">
        <f t="shared" si="7"/>
        <v>0</v>
      </c>
      <c r="I56" s="732">
        <f t="shared" si="7"/>
        <v>0</v>
      </c>
      <c r="J56" s="732">
        <f t="shared" si="7"/>
        <v>0</v>
      </c>
      <c r="K56" s="732">
        <f t="shared" si="7"/>
        <v>45.492700442149356</v>
      </c>
      <c r="L56" s="732">
        <f t="shared" si="7"/>
        <v>0</v>
      </c>
      <c r="M56" s="732">
        <f t="shared" si="7"/>
        <v>0</v>
      </c>
      <c r="N56" s="732">
        <f t="shared" si="7"/>
        <v>0</v>
      </c>
      <c r="O56" s="732">
        <f t="shared" si="7"/>
        <v>0</v>
      </c>
      <c r="P56" s="732">
        <f t="shared" si="7"/>
        <v>0</v>
      </c>
      <c r="Q56" s="733">
        <f t="shared" si="7"/>
        <v>0</v>
      </c>
      <c r="R56" s="734">
        <f ca="1">SUM(R54:R55)</f>
        <v>9872.1078144951225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7039.1508211808296</v>
      </c>
      <c r="D61" s="740">
        <f t="shared" ref="D61:Q61" ca="1" si="8">D46+D52+D56</f>
        <v>7773.0957983193293</v>
      </c>
      <c r="E61" s="740">
        <f t="shared" ca="1" si="8"/>
        <v>12895.2789697889</v>
      </c>
      <c r="F61" s="740">
        <f t="shared" si="8"/>
        <v>864.8356733609329</v>
      </c>
      <c r="G61" s="740">
        <f t="shared" ca="1" si="8"/>
        <v>4928.6308014954357</v>
      </c>
      <c r="H61" s="740">
        <f t="shared" si="8"/>
        <v>8643.5603932181275</v>
      </c>
      <c r="I61" s="740">
        <f t="shared" si="8"/>
        <v>1715.3227879610897</v>
      </c>
      <c r="J61" s="740">
        <f t="shared" si="8"/>
        <v>0</v>
      </c>
      <c r="K61" s="740">
        <f t="shared" si="8"/>
        <v>46.859026614195152</v>
      </c>
      <c r="L61" s="740">
        <f t="shared" si="8"/>
        <v>0</v>
      </c>
      <c r="M61" s="740">
        <f t="shared" ca="1" si="8"/>
        <v>0</v>
      </c>
      <c r="N61" s="740">
        <f t="shared" si="8"/>
        <v>0</v>
      </c>
      <c r="O61" s="740">
        <f t="shared" ca="1" si="8"/>
        <v>0</v>
      </c>
      <c r="P61" s="740">
        <f t="shared" si="8"/>
        <v>0</v>
      </c>
      <c r="Q61" s="740">
        <f t="shared" si="8"/>
        <v>0</v>
      </c>
      <c r="R61" s="740">
        <f ca="1">R46+R52+R56</f>
        <v>43906.73427193884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0.21616460461964895</v>
      </c>
      <c r="D63" s="781">
        <f t="shared" ca="1" si="9"/>
        <v>0.23764705882352943</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2437.1498989876786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22896</v>
      </c>
      <c r="D76" s="1033">
        <f>'lokale energieproductie'!C8</f>
        <v>26936.470588235297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5441.1670588235302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2437.1498989876786</v>
      </c>
      <c r="C78" s="755">
        <f>SUM(C72:C77)</f>
        <v>22896</v>
      </c>
      <c r="D78" s="756">
        <f t="shared" ref="D78:H78" si="10">SUM(D76:D77)</f>
        <v>26936.470588235297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5441.1670588235302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32708.571428571431</v>
      </c>
      <c r="D87" s="777">
        <f>'lokale energieproductie'!C17</f>
        <v>38480.672268907569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7773.0957983193293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32708.571428571431</v>
      </c>
      <c r="D90" s="755">
        <f t="shared" ref="D90:H90" si="12">SUM(D87:D89)</f>
        <v>38480.672268907569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7773.0957983193293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2437.1498989876786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22896</v>
      </c>
      <c r="C8" s="570">
        <f>B101</f>
        <v>26936.470588235297</v>
      </c>
      <c r="D8" s="1043"/>
      <c r="E8" s="1043">
        <f>E101</f>
        <v>0</v>
      </c>
      <c r="F8" s="1044"/>
      <c r="G8" s="571"/>
      <c r="H8" s="1043">
        <f>I101</f>
        <v>0</v>
      </c>
      <c r="I8" s="1043">
        <f>G101+F101</f>
        <v>0</v>
      </c>
      <c r="J8" s="1043">
        <f>H101+D101+C101</f>
        <v>0</v>
      </c>
      <c r="K8" s="1043"/>
      <c r="L8" s="1043"/>
      <c r="M8" s="1043"/>
      <c r="N8" s="572"/>
      <c r="O8" s="573">
        <f>C8*$C$12+D8*$D$12+E8*$E$12+F8*$F$12+G8*$G$12+H8*$H$12+I8*$I$12+J8*$J$12</f>
        <v>5441.1670588235302</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25333.149898987678</v>
      </c>
      <c r="C10" s="583">
        <f t="shared" ref="C10:L10" si="0">SUM(C8:C9)</f>
        <v>26936.470588235297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5441.1670588235302</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32708.571428571431</v>
      </c>
      <c r="C17" s="595">
        <f>B102</f>
        <v>38480.672268907569</v>
      </c>
      <c r="D17" s="596"/>
      <c r="E17" s="596">
        <f>E102</f>
        <v>0</v>
      </c>
      <c r="F17" s="1049"/>
      <c r="G17" s="597"/>
      <c r="H17" s="595">
        <f>I102</f>
        <v>0</v>
      </c>
      <c r="I17" s="596">
        <f>G102+F102</f>
        <v>0</v>
      </c>
      <c r="J17" s="596">
        <f>H102+D102+C102</f>
        <v>0</v>
      </c>
      <c r="K17" s="596"/>
      <c r="L17" s="596"/>
      <c r="M17" s="596"/>
      <c r="N17" s="1050"/>
      <c r="O17" s="598">
        <f>C17*$C$22+E17*$E$22+H17*$H$22+I17*$I$22+J17*$J$22+D17*$D$22+F17*$F$22+G17*$G$22+K17*$K$22+L17*$L$22</f>
        <v>7773.0957983193293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32708.571428571431</v>
      </c>
      <c r="C20" s="582">
        <f>SUM(C17:C19)</f>
        <v>38480.672268907569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7773.0957983193293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12002</v>
      </c>
      <c r="C28" s="796">
        <v>2590</v>
      </c>
      <c r="D28" s="653" t="s">
        <v>890</v>
      </c>
      <c r="E28" s="652" t="s">
        <v>891</v>
      </c>
      <c r="F28" s="652" t="s">
        <v>892</v>
      </c>
      <c r="G28" s="652" t="s">
        <v>893</v>
      </c>
      <c r="H28" s="652" t="s">
        <v>894</v>
      </c>
      <c r="I28" s="652" t="s">
        <v>891</v>
      </c>
      <c r="J28" s="795">
        <v>39370</v>
      </c>
      <c r="K28" s="795">
        <v>39444</v>
      </c>
      <c r="L28" s="652" t="s">
        <v>895</v>
      </c>
      <c r="M28" s="652">
        <v>1532</v>
      </c>
      <c r="N28" s="652">
        <v>6894</v>
      </c>
      <c r="O28" s="652">
        <v>9848.5714285714294</v>
      </c>
      <c r="P28" s="652">
        <v>19697.142857142859</v>
      </c>
      <c r="Q28" s="652">
        <v>0</v>
      </c>
      <c r="R28" s="652">
        <v>0</v>
      </c>
      <c r="S28" s="652">
        <v>0</v>
      </c>
      <c r="T28" s="652">
        <v>0</v>
      </c>
      <c r="U28" s="652">
        <v>0</v>
      </c>
      <c r="V28" s="652">
        <v>0</v>
      </c>
      <c r="W28" s="652">
        <v>0</v>
      </c>
      <c r="X28" s="652">
        <v>10</v>
      </c>
      <c r="Y28" s="652" t="s">
        <v>112</v>
      </c>
      <c r="Z28" s="654" t="s">
        <v>112</v>
      </c>
    </row>
    <row r="29" spans="1:26" s="606" customFormat="1" ht="25.5">
      <c r="A29" s="605"/>
      <c r="B29" s="796">
        <v>12002</v>
      </c>
      <c r="C29" s="796">
        <v>2590</v>
      </c>
      <c r="D29" s="653" t="s">
        <v>896</v>
      </c>
      <c r="E29" s="652" t="s">
        <v>897</v>
      </c>
      <c r="F29" s="652" t="s">
        <v>898</v>
      </c>
      <c r="G29" s="652" t="s">
        <v>893</v>
      </c>
      <c r="H29" s="652" t="s">
        <v>894</v>
      </c>
      <c r="I29" s="652" t="s">
        <v>897</v>
      </c>
      <c r="J29" s="795">
        <v>39736</v>
      </c>
      <c r="K29" s="795">
        <v>39772</v>
      </c>
      <c r="L29" s="652" t="s">
        <v>895</v>
      </c>
      <c r="M29" s="652">
        <v>1558</v>
      </c>
      <c r="N29" s="652">
        <v>7011</v>
      </c>
      <c r="O29" s="652">
        <v>10015.714285714286</v>
      </c>
      <c r="P29" s="652">
        <v>20031.428571428572</v>
      </c>
      <c r="Q29" s="652">
        <v>0</v>
      </c>
      <c r="R29" s="652">
        <v>0</v>
      </c>
      <c r="S29" s="652">
        <v>0</v>
      </c>
      <c r="T29" s="652">
        <v>0</v>
      </c>
      <c r="U29" s="652">
        <v>0</v>
      </c>
      <c r="V29" s="652">
        <v>0</v>
      </c>
      <c r="W29" s="652">
        <v>0</v>
      </c>
      <c r="X29" s="652">
        <v>10</v>
      </c>
      <c r="Y29" s="652" t="s">
        <v>112</v>
      </c>
      <c r="Z29" s="654" t="s">
        <v>112</v>
      </c>
    </row>
    <row r="30" spans="1:26" s="606" customFormat="1" ht="25.5">
      <c r="A30" s="605"/>
      <c r="B30" s="796">
        <v>12002</v>
      </c>
      <c r="C30" s="796">
        <v>2590</v>
      </c>
      <c r="D30" s="653" t="s">
        <v>899</v>
      </c>
      <c r="E30" s="652" t="s">
        <v>900</v>
      </c>
      <c r="F30" s="652" t="s">
        <v>901</v>
      </c>
      <c r="G30" s="652" t="s">
        <v>893</v>
      </c>
      <c r="H30" s="652" t="s">
        <v>894</v>
      </c>
      <c r="I30" s="652" t="s">
        <v>900</v>
      </c>
      <c r="J30" s="795">
        <v>40294</v>
      </c>
      <c r="K30" s="795">
        <v>40347</v>
      </c>
      <c r="L30" s="652" t="s">
        <v>895</v>
      </c>
      <c r="M30" s="652">
        <v>1998</v>
      </c>
      <c r="N30" s="652">
        <v>8991</v>
      </c>
      <c r="O30" s="652">
        <v>12844.285714285714</v>
      </c>
      <c r="P30" s="652">
        <v>25688.571428571431</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5088</v>
      </c>
      <c r="N58" s="610">
        <f>SUM(N28:N57)</f>
        <v>22896</v>
      </c>
      <c r="O58" s="610">
        <f t="shared" ref="O58:W58" si="2">SUM(O28:O57)</f>
        <v>32708.571428571431</v>
      </c>
      <c r="P58" s="610">
        <f t="shared" si="2"/>
        <v>65417.14285714287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5088</v>
      </c>
      <c r="N61" s="615">
        <f t="shared" si="4"/>
        <v>22896</v>
      </c>
      <c r="O61" s="615">
        <f t="shared" si="4"/>
        <v>32708.571428571431</v>
      </c>
      <c r="P61" s="615">
        <f t="shared" si="4"/>
        <v>65417.14285714287</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26936.470588235297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38480.672268907569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18241.939681547236</v>
      </c>
      <c r="C4" s="477">
        <f>huishoudens!C8</f>
        <v>0</v>
      </c>
      <c r="D4" s="477">
        <f>huishoudens!D8</f>
        <v>47560.154805503997</v>
      </c>
      <c r="E4" s="477">
        <f>huishoudens!E8</f>
        <v>3158.7023902856408</v>
      </c>
      <c r="F4" s="477">
        <f>huishoudens!F8</f>
        <v>11535.746846112366</v>
      </c>
      <c r="G4" s="477">
        <f>huishoudens!G8</f>
        <v>0</v>
      </c>
      <c r="H4" s="477">
        <f>huishoudens!H8</f>
        <v>0</v>
      </c>
      <c r="I4" s="477">
        <f>huishoudens!I8</f>
        <v>0</v>
      </c>
      <c r="J4" s="477">
        <f>huishoudens!J8</f>
        <v>0</v>
      </c>
      <c r="K4" s="477">
        <f>huishoudens!K8</f>
        <v>0</v>
      </c>
      <c r="L4" s="477">
        <f>huishoudens!L8</f>
        <v>0</v>
      </c>
      <c r="M4" s="477">
        <f>huishoudens!M8</f>
        <v>0</v>
      </c>
      <c r="N4" s="477">
        <f>huishoudens!N8</f>
        <v>10581.088828894892</v>
      </c>
      <c r="O4" s="477">
        <f>huishoudens!O8</f>
        <v>154.77000000000001</v>
      </c>
      <c r="P4" s="478">
        <f>huishoudens!P8</f>
        <v>457.6</v>
      </c>
      <c r="Q4" s="479">
        <f>SUM(B4:P4)</f>
        <v>91690.002552344144</v>
      </c>
    </row>
    <row r="5" spans="1:17">
      <c r="A5" s="476" t="s">
        <v>156</v>
      </c>
      <c r="B5" s="477">
        <f ca="1">tertiair!B16</f>
        <v>10055.586442448999</v>
      </c>
      <c r="C5" s="477">
        <f ca="1">tertiair!C16</f>
        <v>0</v>
      </c>
      <c r="D5" s="477">
        <f ca="1">tertiair!D16</f>
        <v>10428.357000743439</v>
      </c>
      <c r="E5" s="477">
        <f>tertiair!E16</f>
        <v>201.92886747854118</v>
      </c>
      <c r="F5" s="477">
        <f ca="1">tertiair!F16</f>
        <v>2489.5158408330308</v>
      </c>
      <c r="G5" s="477">
        <f>tertiair!G16</f>
        <v>0</v>
      </c>
      <c r="H5" s="477">
        <f>tertiair!H16</f>
        <v>0</v>
      </c>
      <c r="I5" s="477">
        <f>tertiair!I16</f>
        <v>0</v>
      </c>
      <c r="J5" s="477">
        <f>tertiair!J16</f>
        <v>0</v>
      </c>
      <c r="K5" s="477">
        <f>tertiair!K16</f>
        <v>0</v>
      </c>
      <c r="L5" s="477">
        <f ca="1">tertiair!L16</f>
        <v>0</v>
      </c>
      <c r="M5" s="477">
        <f>tertiair!M16</f>
        <v>0</v>
      </c>
      <c r="N5" s="477">
        <f ca="1">tertiair!N16</f>
        <v>1424.9192131400152</v>
      </c>
      <c r="O5" s="477">
        <f>tertiair!O16</f>
        <v>0</v>
      </c>
      <c r="P5" s="478">
        <f>tertiair!P16</f>
        <v>0</v>
      </c>
      <c r="Q5" s="476">
        <f t="shared" ref="Q5:Q14" ca="1" si="0">SUM(B5:P5)</f>
        <v>24600.307364644028</v>
      </c>
    </row>
    <row r="6" spans="1:17">
      <c r="A6" s="476" t="s">
        <v>194</v>
      </c>
      <c r="B6" s="477">
        <f>'openbare verlichting'!B8</f>
        <v>622.88800000000003</v>
      </c>
      <c r="C6" s="477"/>
      <c r="D6" s="477"/>
      <c r="E6" s="477"/>
      <c r="F6" s="477"/>
      <c r="G6" s="477"/>
      <c r="H6" s="477"/>
      <c r="I6" s="477"/>
      <c r="J6" s="477"/>
      <c r="K6" s="477"/>
      <c r="L6" s="477"/>
      <c r="M6" s="477"/>
      <c r="N6" s="477"/>
      <c r="O6" s="477"/>
      <c r="P6" s="478"/>
      <c r="Q6" s="476">
        <f t="shared" si="0"/>
        <v>622.88800000000003</v>
      </c>
    </row>
    <row r="7" spans="1:17">
      <c r="A7" s="476" t="s">
        <v>112</v>
      </c>
      <c r="B7" s="477">
        <f>landbouw!B8</f>
        <v>892.66174491600009</v>
      </c>
      <c r="C7" s="477">
        <f>landbouw!C8</f>
        <v>32708.571428571431</v>
      </c>
      <c r="D7" s="477">
        <f>landbouw!D8</f>
        <v>2056.7953381215775</v>
      </c>
      <c r="E7" s="477">
        <f>landbouw!E8</f>
        <v>23.018318976544055</v>
      </c>
      <c r="F7" s="477">
        <f>landbouw!F8</f>
        <v>3262.8486768392258</v>
      </c>
      <c r="G7" s="477">
        <f>landbouw!G8</f>
        <v>0</v>
      </c>
      <c r="H7" s="477">
        <f>landbouw!H8</f>
        <v>0</v>
      </c>
      <c r="I7" s="477">
        <f>landbouw!I8</f>
        <v>0</v>
      </c>
      <c r="J7" s="477">
        <f>landbouw!J8</f>
        <v>128.51045322641062</v>
      </c>
      <c r="K7" s="477">
        <f>landbouw!K8</f>
        <v>0</v>
      </c>
      <c r="L7" s="477">
        <f>landbouw!L8</f>
        <v>0</v>
      </c>
      <c r="M7" s="477">
        <f>landbouw!M8</f>
        <v>0</v>
      </c>
      <c r="N7" s="477">
        <f>landbouw!N8</f>
        <v>0</v>
      </c>
      <c r="O7" s="477">
        <f>landbouw!O8</f>
        <v>0</v>
      </c>
      <c r="P7" s="478">
        <f>landbouw!P8</f>
        <v>0</v>
      </c>
      <c r="Q7" s="476">
        <f t="shared" si="0"/>
        <v>39072.405960651187</v>
      </c>
    </row>
    <row r="8" spans="1:17">
      <c r="A8" s="476" t="s">
        <v>638</v>
      </c>
      <c r="B8" s="477">
        <f>industrie!B18</f>
        <v>1941.590966318</v>
      </c>
      <c r="C8" s="477">
        <f>industrie!C18</f>
        <v>0</v>
      </c>
      <c r="D8" s="477">
        <f>industrie!D18</f>
        <v>1805.20771083708</v>
      </c>
      <c r="E8" s="477">
        <f>industrie!E18</f>
        <v>327.00157601165546</v>
      </c>
      <c r="F8" s="477">
        <f>industrie!F18</f>
        <v>1171.1800275840505</v>
      </c>
      <c r="G8" s="477">
        <f>industrie!G18</f>
        <v>0</v>
      </c>
      <c r="H8" s="477">
        <f>industrie!H18</f>
        <v>0</v>
      </c>
      <c r="I8" s="477">
        <f>industrie!I18</f>
        <v>0</v>
      </c>
      <c r="J8" s="477">
        <f>industrie!J18</f>
        <v>3.8596784521067704</v>
      </c>
      <c r="K8" s="477">
        <f>industrie!K18</f>
        <v>0</v>
      </c>
      <c r="L8" s="477">
        <f>industrie!L18</f>
        <v>0</v>
      </c>
      <c r="M8" s="477">
        <f>industrie!M18</f>
        <v>0</v>
      </c>
      <c r="N8" s="477">
        <f>industrie!N18</f>
        <v>561.80297608350361</v>
      </c>
      <c r="O8" s="477">
        <f>industrie!O18</f>
        <v>0</v>
      </c>
      <c r="P8" s="478">
        <f>industrie!P18</f>
        <v>0</v>
      </c>
      <c r="Q8" s="476">
        <f t="shared" si="0"/>
        <v>5810.6429352863961</v>
      </c>
    </row>
    <row r="9" spans="1:17" s="482" customFormat="1">
      <c r="A9" s="480" t="s">
        <v>564</v>
      </c>
      <c r="B9" s="481">
        <f>transport!B14</f>
        <v>11.762409000291118</v>
      </c>
      <c r="C9" s="481">
        <f>transport!C14</f>
        <v>0</v>
      </c>
      <c r="D9" s="481">
        <f>transport!D14</f>
        <v>25.589818319153309</v>
      </c>
      <c r="E9" s="481">
        <f>transport!E14</f>
        <v>99.197628573314205</v>
      </c>
      <c r="F9" s="481">
        <f>transport!F14</f>
        <v>0</v>
      </c>
      <c r="G9" s="481">
        <f>transport!G14</f>
        <v>31887.695500329886</v>
      </c>
      <c r="H9" s="481">
        <f>transport!H14</f>
        <v>6888.8465379963445</v>
      </c>
      <c r="I9" s="481">
        <f>transport!I14</f>
        <v>0</v>
      </c>
      <c r="J9" s="481">
        <f>transport!J14</f>
        <v>0</v>
      </c>
      <c r="K9" s="481">
        <f>transport!K14</f>
        <v>0</v>
      </c>
      <c r="L9" s="481">
        <f>transport!L14</f>
        <v>0</v>
      </c>
      <c r="M9" s="481">
        <f>transport!M14</f>
        <v>1211.0422609823877</v>
      </c>
      <c r="N9" s="481">
        <f>transport!N14</f>
        <v>0</v>
      </c>
      <c r="O9" s="481">
        <f>transport!O14</f>
        <v>0</v>
      </c>
      <c r="P9" s="481">
        <f>transport!P14</f>
        <v>0</v>
      </c>
      <c r="Q9" s="480">
        <f>SUM(B9:P9)</f>
        <v>40124.134155201376</v>
      </c>
    </row>
    <row r="10" spans="1:17">
      <c r="A10" s="476" t="s">
        <v>554</v>
      </c>
      <c r="B10" s="477">
        <f>transport!B54</f>
        <v>0</v>
      </c>
      <c r="C10" s="477">
        <f>transport!C54</f>
        <v>0</v>
      </c>
      <c r="D10" s="477">
        <f>transport!D54</f>
        <v>0</v>
      </c>
      <c r="E10" s="477">
        <f>transport!E54</f>
        <v>0</v>
      </c>
      <c r="F10" s="477">
        <f>transport!F54</f>
        <v>0</v>
      </c>
      <c r="G10" s="477">
        <f>transport!G54</f>
        <v>485.18986752826589</v>
      </c>
      <c r="H10" s="477">
        <f>transport!H54</f>
        <v>0</v>
      </c>
      <c r="I10" s="477">
        <f>transport!I54</f>
        <v>0</v>
      </c>
      <c r="J10" s="477">
        <f>transport!J54</f>
        <v>0</v>
      </c>
      <c r="K10" s="477">
        <f>transport!K54</f>
        <v>0</v>
      </c>
      <c r="L10" s="477">
        <f>transport!L54</f>
        <v>0</v>
      </c>
      <c r="M10" s="477">
        <f>transport!M54</f>
        <v>15.04950423264583</v>
      </c>
      <c r="N10" s="477">
        <f>transport!N54</f>
        <v>0</v>
      </c>
      <c r="O10" s="477">
        <f>transport!O54</f>
        <v>0</v>
      </c>
      <c r="P10" s="478">
        <f>transport!P54</f>
        <v>0</v>
      </c>
      <c r="Q10" s="476">
        <f t="shared" si="0"/>
        <v>500.23937176091169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797.41641203000006</v>
      </c>
      <c r="C14" s="484"/>
      <c r="D14" s="484">
        <f>'SEAP template'!E25</f>
        <v>1961.9100283999999</v>
      </c>
      <c r="E14" s="484"/>
      <c r="F14" s="484"/>
      <c r="G14" s="484"/>
      <c r="H14" s="484"/>
      <c r="I14" s="484"/>
      <c r="J14" s="484"/>
      <c r="K14" s="484"/>
      <c r="L14" s="484"/>
      <c r="M14" s="484"/>
      <c r="N14" s="484"/>
      <c r="O14" s="484"/>
      <c r="P14" s="485"/>
      <c r="Q14" s="476">
        <f t="shared" si="0"/>
        <v>2759.3264404299998</v>
      </c>
    </row>
    <row r="15" spans="1:17" s="486" customFormat="1">
      <c r="A15" s="1038" t="s">
        <v>558</v>
      </c>
      <c r="B15" s="978">
        <f ca="1">SUM(B4:B14)</f>
        <v>32563.845656260524</v>
      </c>
      <c r="C15" s="978">
        <f t="shared" ref="C15:Q15" ca="1" si="1">SUM(C4:C14)</f>
        <v>32708.571428571431</v>
      </c>
      <c r="D15" s="978">
        <f t="shared" ca="1" si="1"/>
        <v>63838.014701925247</v>
      </c>
      <c r="E15" s="978">
        <f t="shared" si="1"/>
        <v>3809.8487813256952</v>
      </c>
      <c r="F15" s="978">
        <f t="shared" ca="1" si="1"/>
        <v>18459.291391368672</v>
      </c>
      <c r="G15" s="978">
        <f t="shared" si="1"/>
        <v>32372.885367858151</v>
      </c>
      <c r="H15" s="978">
        <f t="shared" si="1"/>
        <v>6888.8465379963445</v>
      </c>
      <c r="I15" s="978">
        <f t="shared" si="1"/>
        <v>0</v>
      </c>
      <c r="J15" s="978">
        <f t="shared" si="1"/>
        <v>132.3701316785174</v>
      </c>
      <c r="K15" s="978">
        <f t="shared" si="1"/>
        <v>0</v>
      </c>
      <c r="L15" s="978">
        <f t="shared" ca="1" si="1"/>
        <v>0</v>
      </c>
      <c r="M15" s="978">
        <f t="shared" si="1"/>
        <v>1226.0917652150335</v>
      </c>
      <c r="N15" s="978">
        <f t="shared" ca="1" si="1"/>
        <v>12567.811018118411</v>
      </c>
      <c r="O15" s="978">
        <f t="shared" si="1"/>
        <v>154.77000000000001</v>
      </c>
      <c r="P15" s="978">
        <f t="shared" si="1"/>
        <v>457.6</v>
      </c>
      <c r="Q15" s="978">
        <f t="shared" ca="1" si="1"/>
        <v>205179.94678031807</v>
      </c>
    </row>
    <row r="17" spans="1:17">
      <c r="A17" s="487" t="s">
        <v>559</v>
      </c>
      <c r="B17" s="786">
        <f ca="1">huishoudens!B10</f>
        <v>0.21616460461964893</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3943.2616787571428</v>
      </c>
      <c r="C22" s="477">
        <f t="shared" ref="C22:C32" ca="1" si="3">C4*$C$17</f>
        <v>0</v>
      </c>
      <c r="D22" s="477">
        <f t="shared" ref="D22:D32" si="4">D4*$D$17</f>
        <v>9607.1512707118072</v>
      </c>
      <c r="E22" s="477">
        <f t="shared" ref="E22:E32" si="5">E4*$E$17</f>
        <v>717.02544259484046</v>
      </c>
      <c r="F22" s="477">
        <f t="shared" ref="F22:F32" si="6">F4*$F$17</f>
        <v>3080.044407912002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17347.482799975791</v>
      </c>
    </row>
    <row r="23" spans="1:17">
      <c r="A23" s="476" t="s">
        <v>156</v>
      </c>
      <c r="B23" s="477">
        <f t="shared" ca="1" si="2"/>
        <v>2173.6618675506902</v>
      </c>
      <c r="C23" s="477">
        <f t="shared" ca="1" si="3"/>
        <v>0</v>
      </c>
      <c r="D23" s="477">
        <f t="shared" ca="1" si="4"/>
        <v>2106.528114150175</v>
      </c>
      <c r="E23" s="477">
        <f t="shared" si="5"/>
        <v>45.837852917628851</v>
      </c>
      <c r="F23" s="477">
        <f t="shared" ca="1" si="6"/>
        <v>664.70072950241922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4990.7285641209137</v>
      </c>
    </row>
    <row r="24" spans="1:17">
      <c r="A24" s="476" t="s">
        <v>194</v>
      </c>
      <c r="B24" s="477">
        <f t="shared" ca="1" si="2"/>
        <v>134.64633824232388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134.64633824232388</v>
      </c>
    </row>
    <row r="25" spans="1:17">
      <c r="A25" s="476" t="s">
        <v>112</v>
      </c>
      <c r="B25" s="477">
        <f t="shared" ca="1" si="2"/>
        <v>192.96187314885307</v>
      </c>
      <c r="C25" s="477">
        <f t="shared" ca="1" si="3"/>
        <v>7773.0957983193293</v>
      </c>
      <c r="D25" s="477">
        <f t="shared" si="4"/>
        <v>415.47265830055869</v>
      </c>
      <c r="E25" s="477">
        <f t="shared" si="5"/>
        <v>5.2251584076755009</v>
      </c>
      <c r="F25" s="477">
        <f t="shared" si="6"/>
        <v>871.1805967160733</v>
      </c>
      <c r="G25" s="477">
        <f t="shared" si="7"/>
        <v>0</v>
      </c>
      <c r="H25" s="477">
        <f t="shared" si="8"/>
        <v>0</v>
      </c>
      <c r="I25" s="477">
        <f t="shared" si="9"/>
        <v>0</v>
      </c>
      <c r="J25" s="477">
        <f t="shared" si="10"/>
        <v>45.492700442149356</v>
      </c>
      <c r="K25" s="477">
        <f t="shared" si="11"/>
        <v>0</v>
      </c>
      <c r="L25" s="477">
        <f t="shared" si="12"/>
        <v>0</v>
      </c>
      <c r="M25" s="477">
        <f t="shared" si="13"/>
        <v>0</v>
      </c>
      <c r="N25" s="477">
        <f t="shared" si="14"/>
        <v>0</v>
      </c>
      <c r="O25" s="477">
        <f t="shared" si="15"/>
        <v>0</v>
      </c>
      <c r="P25" s="478">
        <f t="shared" si="16"/>
        <v>0</v>
      </c>
      <c r="Q25" s="476">
        <f t="shared" ca="1" si="17"/>
        <v>9303.4287853346377</v>
      </c>
    </row>
    <row r="26" spans="1:17">
      <c r="A26" s="476" t="s">
        <v>638</v>
      </c>
      <c r="B26" s="477">
        <f t="shared" ca="1" si="2"/>
        <v>419.70324356721255</v>
      </c>
      <c r="C26" s="477">
        <f t="shared" ca="1" si="3"/>
        <v>0</v>
      </c>
      <c r="D26" s="477">
        <f t="shared" si="4"/>
        <v>364.65195758909016</v>
      </c>
      <c r="E26" s="477">
        <f t="shared" si="5"/>
        <v>74.22935775464579</v>
      </c>
      <c r="F26" s="477">
        <f t="shared" si="6"/>
        <v>312.7050673649415</v>
      </c>
      <c r="G26" s="477">
        <f t="shared" si="7"/>
        <v>0</v>
      </c>
      <c r="H26" s="477">
        <f t="shared" si="8"/>
        <v>0</v>
      </c>
      <c r="I26" s="477">
        <f t="shared" si="9"/>
        <v>0</v>
      </c>
      <c r="J26" s="477">
        <f t="shared" si="10"/>
        <v>1.3663261720457966</v>
      </c>
      <c r="K26" s="477">
        <f t="shared" si="11"/>
        <v>0</v>
      </c>
      <c r="L26" s="477">
        <f t="shared" si="12"/>
        <v>0</v>
      </c>
      <c r="M26" s="477">
        <f t="shared" si="13"/>
        <v>0</v>
      </c>
      <c r="N26" s="477">
        <f t="shared" si="14"/>
        <v>0</v>
      </c>
      <c r="O26" s="477">
        <f t="shared" si="15"/>
        <v>0</v>
      </c>
      <c r="P26" s="478">
        <f t="shared" si="16"/>
        <v>0</v>
      </c>
      <c r="Q26" s="476">
        <f t="shared" ca="1" si="17"/>
        <v>1172.6559524479358</v>
      </c>
    </row>
    <row r="27" spans="1:17" s="482" customFormat="1">
      <c r="A27" s="480" t="s">
        <v>564</v>
      </c>
      <c r="B27" s="780">
        <f t="shared" ca="1" si="2"/>
        <v>2.5426164909225295</v>
      </c>
      <c r="C27" s="481">
        <f t="shared" ca="1" si="3"/>
        <v>0</v>
      </c>
      <c r="D27" s="481">
        <f t="shared" si="4"/>
        <v>5.1691433004689689</v>
      </c>
      <c r="E27" s="481">
        <f t="shared" si="5"/>
        <v>22.517861686142325</v>
      </c>
      <c r="F27" s="481">
        <f t="shared" si="6"/>
        <v>0</v>
      </c>
      <c r="G27" s="481">
        <f t="shared" si="7"/>
        <v>8514.0146985880801</v>
      </c>
      <c r="H27" s="481">
        <f t="shared" si="8"/>
        <v>1715.3227879610897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10259.567108026704</v>
      </c>
    </row>
    <row r="28" spans="1:17">
      <c r="A28" s="476" t="s">
        <v>554</v>
      </c>
      <c r="B28" s="477">
        <f t="shared" ca="1" si="2"/>
        <v>0</v>
      </c>
      <c r="C28" s="477">
        <f t="shared" ca="1" si="3"/>
        <v>0</v>
      </c>
      <c r="D28" s="477">
        <f t="shared" si="4"/>
        <v>0</v>
      </c>
      <c r="E28" s="477">
        <f t="shared" si="5"/>
        <v>0</v>
      </c>
      <c r="F28" s="477">
        <f t="shared" si="6"/>
        <v>0</v>
      </c>
      <c r="G28" s="477">
        <f t="shared" si="7"/>
        <v>129.545694630047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129.545694630047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172.37320342368403</v>
      </c>
      <c r="C32" s="477">
        <f t="shared" ca="1" si="3"/>
        <v>0</v>
      </c>
      <c r="D32" s="477">
        <f t="shared" si="4"/>
        <v>396.30582573679999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568.67902916048399</v>
      </c>
    </row>
    <row r="33" spans="1:17" s="486" customFormat="1">
      <c r="A33" s="1038" t="s">
        <v>558</v>
      </c>
      <c r="B33" s="978">
        <f ca="1">SUM(B22:B32)</f>
        <v>7039.1508211808277</v>
      </c>
      <c r="C33" s="978">
        <f t="shared" ref="C33:Q33" ca="1" si="18">SUM(C22:C32)</f>
        <v>7773.0957983193293</v>
      </c>
      <c r="D33" s="978">
        <f t="shared" ca="1" si="18"/>
        <v>12895.2789697889</v>
      </c>
      <c r="E33" s="978">
        <f t="shared" si="18"/>
        <v>864.8356733609329</v>
      </c>
      <c r="F33" s="978">
        <f t="shared" ca="1" si="18"/>
        <v>4928.6308014954366</v>
      </c>
      <c r="G33" s="978">
        <f t="shared" si="18"/>
        <v>8643.5603932181275</v>
      </c>
      <c r="H33" s="978">
        <f t="shared" si="18"/>
        <v>1715.3227879610897</v>
      </c>
      <c r="I33" s="978">
        <f t="shared" si="18"/>
        <v>0</v>
      </c>
      <c r="J33" s="978">
        <f t="shared" si="18"/>
        <v>46.859026614195152</v>
      </c>
      <c r="K33" s="978">
        <f t="shared" si="18"/>
        <v>0</v>
      </c>
      <c r="L33" s="978">
        <f t="shared" ca="1" si="18"/>
        <v>0</v>
      </c>
      <c r="M33" s="978">
        <f t="shared" si="18"/>
        <v>0</v>
      </c>
      <c r="N33" s="978">
        <f t="shared" ca="1" si="18"/>
        <v>0</v>
      </c>
      <c r="O33" s="978">
        <f t="shared" si="18"/>
        <v>0</v>
      </c>
      <c r="P33" s="978">
        <f t="shared" si="18"/>
        <v>0</v>
      </c>
      <c r="Q33" s="978">
        <f t="shared" ca="1" si="18"/>
        <v>43906.73427193884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2437.1498989876786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22896</v>
      </c>
      <c r="D8" s="1055">
        <f>'SEAP template'!D76</f>
        <v>26936.470588235297</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5441.1670588235302</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2437.1498989876786</v>
      </c>
      <c r="C10" s="1059">
        <f>SUM(C4:C9)</f>
        <v>22896</v>
      </c>
      <c r="D10" s="1059">
        <f t="shared" ref="D10:H10" si="0">SUM(D8:D9)</f>
        <v>26936.470588235297</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5441.1670588235302</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0.21616460461964893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32708.571428571431</v>
      </c>
      <c r="D17" s="1056">
        <f>'SEAP template'!D87</f>
        <v>38480.672268907569</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7773.0957983193293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32708.571428571431</v>
      </c>
      <c r="D20" s="1059">
        <f t="shared" ref="D20:H20" si="2">SUM(D17:D19)</f>
        <v>38480.672268907569</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7773.0957983193293</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0.21616460461964893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2019-08-12T08:22:30Z</dcterms:modified>
</cp:coreProperties>
</file>