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I19"/>
  <c r="I89" i="14" s="1"/>
  <c r="I19" i="59" s="1"/>
  <c r="H19" i="18"/>
  <c r="G19"/>
  <c r="G20" s="1"/>
  <c r="F19"/>
  <c r="G89" i="14" s="1"/>
  <c r="G19" i="59" s="1"/>
  <c r="E19" i="18"/>
  <c r="D19"/>
  <c r="E89" i="14" s="1"/>
  <c r="E19" i="59" s="1"/>
  <c r="C19" i="18"/>
  <c r="D89" i="14" s="1"/>
  <c r="D19" i="59" s="1"/>
  <c r="B19" i="18"/>
  <c r="N18"/>
  <c r="L88" i="14" s="1"/>
  <c r="L18" i="59" s="1"/>
  <c r="M18" i="18"/>
  <c r="K88" i="14" s="1"/>
  <c r="K18" i="59" s="1"/>
  <c r="L18" i="18"/>
  <c r="L20" s="1"/>
  <c r="K18"/>
  <c r="K20" s="1"/>
  <c r="J18"/>
  <c r="J88" i="14" s="1"/>
  <c r="J18" i="59" s="1"/>
  <c r="I18" i="18"/>
  <c r="H18"/>
  <c r="G18"/>
  <c r="F18"/>
  <c r="F20" s="1"/>
  <c r="E18"/>
  <c r="F88" i="14" s="1"/>
  <c r="F18" i="59" s="1"/>
  <c r="D18" i="18"/>
  <c r="C18"/>
  <c r="B18"/>
  <c r="L9"/>
  <c r="L10" s="1"/>
  <c r="K9"/>
  <c r="I9"/>
  <c r="I77" i="14" s="1"/>
  <c r="I9" i="59" s="1"/>
  <c r="H9" i="18"/>
  <c r="M77" i="14" s="1"/>
  <c r="M9" i="59" s="1"/>
  <c r="G9" i="18"/>
  <c r="H77" i="14" s="1"/>
  <c r="H9" i="59" s="1"/>
  <c r="F9" i="18"/>
  <c r="E9"/>
  <c r="F77" i="14" s="1"/>
  <c r="F9" i="59" s="1"/>
  <c r="D9" i="18"/>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J9" s="1"/>
  <c r="J77" i="14" s="1"/>
  <c r="J9" i="59" s="1"/>
  <c r="U89" i="18"/>
  <c r="T89"/>
  <c r="S89"/>
  <c r="R89"/>
  <c r="Q89"/>
  <c r="P89"/>
  <c r="C9" s="1"/>
  <c r="D77" i="14" s="1"/>
  <c r="D9" i="59" s="1"/>
  <c r="O89" i="18"/>
  <c r="N89"/>
  <c r="B9" s="1"/>
  <c r="M89"/>
  <c r="W61"/>
  <c r="V61"/>
  <c r="U61"/>
  <c r="T61"/>
  <c r="S61"/>
  <c r="F6" i="17" s="1"/>
  <c r="R61" i="18"/>
  <c r="Q61"/>
  <c r="P61"/>
  <c r="O61"/>
  <c r="N61"/>
  <c r="M61"/>
  <c r="W60"/>
  <c r="V60"/>
  <c r="U60"/>
  <c r="T60"/>
  <c r="S60"/>
  <c r="F13" i="15" s="1"/>
  <c r="R60" i="18"/>
  <c r="Q60"/>
  <c r="P60"/>
  <c r="O60"/>
  <c r="N60"/>
  <c r="B13" i="15" s="1"/>
  <c r="M60" i="18"/>
  <c r="W59"/>
  <c r="V59"/>
  <c r="U59"/>
  <c r="T59"/>
  <c r="S59"/>
  <c r="R59"/>
  <c r="Q59"/>
  <c r="P59"/>
  <c r="O59"/>
  <c r="N59"/>
  <c r="M59"/>
  <c r="W58"/>
  <c r="V58"/>
  <c r="U58"/>
  <c r="T58"/>
  <c r="S58"/>
  <c r="R58"/>
  <c r="Q58"/>
  <c r="P58"/>
  <c r="O58"/>
  <c r="B98" s="1"/>
  <c r="N58"/>
  <c r="M58"/>
  <c r="G22"/>
  <c r="F22"/>
  <c r="E22"/>
  <c r="D22"/>
  <c r="C22"/>
  <c r="D20"/>
  <c r="B17"/>
  <c r="B20" s="1"/>
  <c r="G12"/>
  <c r="F12"/>
  <c r="E12"/>
  <c r="D12"/>
  <c r="C12"/>
  <c r="K10"/>
  <c r="G10"/>
  <c r="F10"/>
  <c r="D10"/>
  <c r="B8"/>
  <c r="B6"/>
  <c r="B5"/>
  <c r="B4"/>
  <c r="N6" i="17"/>
  <c r="L6"/>
  <c r="D6"/>
  <c r="D5"/>
  <c r="B19" i="6"/>
  <c r="B18"/>
  <c r="B5"/>
  <c r="C29" i="14" s="1"/>
  <c r="B6" i="6"/>
  <c r="D14" i="48"/>
  <c r="B14"/>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Q12" s="1"/>
  <c r="P17"/>
  <c r="O17"/>
  <c r="M4"/>
  <c r="L4"/>
  <c r="K4"/>
  <c r="I4"/>
  <c r="H4"/>
  <c r="G4"/>
  <c r="P11"/>
  <c r="P29" s="1"/>
  <c r="O11"/>
  <c r="N11"/>
  <c r="M11"/>
  <c r="L11"/>
  <c r="K11"/>
  <c r="J11"/>
  <c r="I11"/>
  <c r="H11"/>
  <c r="G11"/>
  <c r="F11"/>
  <c r="E11"/>
  <c r="D11"/>
  <c r="C11"/>
  <c r="B11"/>
  <c r="P32"/>
  <c r="O32"/>
  <c r="P31"/>
  <c r="O31"/>
  <c r="O29"/>
  <c r="P28"/>
  <c r="O28"/>
  <c r="P27"/>
  <c r="O27"/>
  <c r="P25"/>
  <c r="O25"/>
  <c r="M89" i="14"/>
  <c r="M19" i="59" s="1"/>
  <c r="L89" i="14"/>
  <c r="L19" i="59" s="1"/>
  <c r="K89" i="14"/>
  <c r="K19" i="59" s="1"/>
  <c r="J89" i="14"/>
  <c r="J19" i="59" s="1"/>
  <c r="O88" i="14"/>
  <c r="O18" i="59" s="1"/>
  <c r="N88" i="14"/>
  <c r="N18" i="59" s="1"/>
  <c r="N20" s="1"/>
  <c r="M88" i="14"/>
  <c r="M18" i="59" s="1"/>
  <c r="I88" i="14"/>
  <c r="I18" i="59" s="1"/>
  <c r="H88" i="14"/>
  <c r="E88"/>
  <c r="E18" i="59" s="1"/>
  <c r="D88" i="14"/>
  <c r="D18" i="59" s="1"/>
  <c r="O87" i="14"/>
  <c r="O17" i="59" s="1"/>
  <c r="N87" i="14"/>
  <c r="N17" i="59" s="1"/>
  <c r="L87" i="14"/>
  <c r="L17" i="59" s="1"/>
  <c r="K87" i="14"/>
  <c r="K17" i="59" s="1"/>
  <c r="H87" i="14"/>
  <c r="H17" i="59" s="1"/>
  <c r="G87" i="14"/>
  <c r="G17" i="59" s="1"/>
  <c r="E87" i="14"/>
  <c r="E17" i="59" s="1"/>
  <c r="E20" s="1"/>
  <c r="O77" i="14"/>
  <c r="N77"/>
  <c r="N9" i="59" s="1"/>
  <c r="L77" i="14"/>
  <c r="L9" i="59" s="1"/>
  <c r="K77" i="14"/>
  <c r="K9" i="59" s="1"/>
  <c r="G77" i="14"/>
  <c r="G9" i="59" s="1"/>
  <c r="E77" i="14"/>
  <c r="E9" i="59" s="1"/>
  <c r="O76" i="14"/>
  <c r="O8" i="59" s="1"/>
  <c r="N76" i="14"/>
  <c r="N8" i="59" s="1"/>
  <c r="L76" i="14"/>
  <c r="K76"/>
  <c r="K8" i="59" s="1"/>
  <c r="H76" i="14"/>
  <c r="G76"/>
  <c r="E76"/>
  <c r="E8" i="59" s="1"/>
  <c r="E10" s="1"/>
  <c r="B75" i="14"/>
  <c r="B7" i="59" s="1"/>
  <c r="B74" i="14"/>
  <c r="B6" i="59" s="1"/>
  <c r="B73" i="14"/>
  <c r="B5" i="59" s="1"/>
  <c r="B72" i="14"/>
  <c r="B4" i="59" s="1"/>
  <c r="C64" i="14"/>
  <c r="Q54"/>
  <c r="Q56" s="1"/>
  <c r="P54"/>
  <c r="P56" s="1"/>
  <c r="L54"/>
  <c r="L56" s="1"/>
  <c r="J54"/>
  <c r="I54"/>
  <c r="H54"/>
  <c r="Q24"/>
  <c r="Q26" s="1"/>
  <c r="P24"/>
  <c r="P26" s="1"/>
  <c r="N24"/>
  <c r="L24"/>
  <c r="J24"/>
  <c r="I24"/>
  <c r="H24"/>
  <c r="H26" s="1"/>
  <c r="Q50"/>
  <c r="P50"/>
  <c r="O50"/>
  <c r="M50"/>
  <c r="L50"/>
  <c r="K50"/>
  <c r="J50"/>
  <c r="G50"/>
  <c r="D50"/>
  <c r="Q49"/>
  <c r="P49"/>
  <c r="Q20"/>
  <c r="P20"/>
  <c r="O20"/>
  <c r="M20"/>
  <c r="L20"/>
  <c r="K20"/>
  <c r="J20"/>
  <c r="G20"/>
  <c r="G22" s="1"/>
  <c r="D20"/>
  <c r="Q19"/>
  <c r="P19"/>
  <c r="O19"/>
  <c r="M19"/>
  <c r="L19"/>
  <c r="L22" s="1"/>
  <c r="K19"/>
  <c r="J19"/>
  <c r="I19"/>
  <c r="G19"/>
  <c r="F19"/>
  <c r="E19"/>
  <c r="D19"/>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R9" s="1"/>
  <c r="F9"/>
  <c r="E9"/>
  <c r="D9"/>
  <c r="C9"/>
  <c r="R90"/>
  <c r="N90"/>
  <c r="R78"/>
  <c r="K78"/>
  <c r="J56"/>
  <c r="H56"/>
  <c r="I56"/>
  <c r="Q52"/>
  <c r="P52"/>
  <c r="R44"/>
  <c r="R25"/>
  <c r="E25"/>
  <c r="E55" s="1"/>
  <c r="C25"/>
  <c r="N26"/>
  <c r="L26"/>
  <c r="J26"/>
  <c r="I26"/>
  <c r="D22"/>
  <c r="M22"/>
  <c r="K22"/>
  <c r="R12"/>
  <c r="O78" l="1"/>
  <c r="O9" i="59"/>
  <c r="G8"/>
  <c r="G10" s="1"/>
  <c r="G78" i="14"/>
  <c r="H10" i="59"/>
  <c r="K90" i="14"/>
  <c r="O22"/>
  <c r="L90"/>
  <c r="Q11" i="48"/>
  <c r="O20" i="59"/>
  <c r="L78" i="14"/>
  <c r="L8" i="59"/>
  <c r="L10" s="1"/>
  <c r="H18"/>
  <c r="H78" i="14"/>
  <c r="H8" i="59"/>
  <c r="K20"/>
  <c r="O10"/>
  <c r="N10"/>
  <c r="L20"/>
  <c r="H89" i="14"/>
  <c r="H19" i="59" s="1"/>
  <c r="O19" i="18"/>
  <c r="K10" i="59"/>
  <c r="H20"/>
  <c r="C98" i="18"/>
  <c r="I101" s="1"/>
  <c r="H8" s="1"/>
  <c r="D13" i="15"/>
  <c r="O90" i="14"/>
  <c r="B10" i="18"/>
  <c r="C13" i="15"/>
  <c r="L13"/>
  <c r="N13"/>
  <c r="Q77" i="14"/>
  <c r="P9" i="59" s="1"/>
  <c r="O9" i="18"/>
  <c r="O18"/>
  <c r="B89" i="14"/>
  <c r="B19" i="59" s="1"/>
  <c r="G88" i="14"/>
  <c r="F89"/>
  <c r="E101" i="18"/>
  <c r="E8" s="1"/>
  <c r="H101"/>
  <c r="D101"/>
  <c r="I102"/>
  <c r="H17" s="1"/>
  <c r="E102"/>
  <c r="E17" s="1"/>
  <c r="H102"/>
  <c r="D102"/>
  <c r="G102"/>
  <c r="C102"/>
  <c r="F102"/>
  <c r="B102"/>
  <c r="C17" s="1"/>
  <c r="B88" i="14"/>
  <c r="B18" i="59" s="1"/>
  <c r="B77" i="14"/>
  <c r="B9" i="59" s="1"/>
  <c r="Q14" i="48"/>
  <c r="O24"/>
  <c r="O30"/>
  <c r="P24"/>
  <c r="P30"/>
  <c r="C77" i="14"/>
  <c r="C9" i="59" s="1"/>
  <c r="C88" i="14"/>
  <c r="C18" i="59" s="1"/>
  <c r="E78" i="14"/>
  <c r="E90"/>
  <c r="N78"/>
  <c r="G90" l="1"/>
  <c r="G18" i="59"/>
  <c r="G20" s="1"/>
  <c r="C89" i="14"/>
  <c r="C19" i="59" s="1"/>
  <c r="F19"/>
  <c r="G101" i="18"/>
  <c r="I8" s="1"/>
  <c r="O8" s="1"/>
  <c r="O10" s="1"/>
  <c r="C101"/>
  <c r="J8" s="1"/>
  <c r="H90" i="14"/>
  <c r="F101" i="18"/>
  <c r="B101"/>
  <c r="C8" s="1"/>
  <c r="Q88" i="14"/>
  <c r="P18" i="59" s="1"/>
  <c r="Q89" i="14"/>
  <c r="P19" i="59" s="1"/>
  <c r="C20" i="18"/>
  <c r="D87" i="14"/>
  <c r="D17" i="59" s="1"/>
  <c r="D20" s="1"/>
  <c r="D76" i="14"/>
  <c r="D8" i="59" s="1"/>
  <c r="D10" s="1"/>
  <c r="C10" i="18"/>
  <c r="J17"/>
  <c r="F87" i="14"/>
  <c r="E20" i="18"/>
  <c r="E10"/>
  <c r="F76" i="14"/>
  <c r="F8" i="59" s="1"/>
  <c r="F10" s="1"/>
  <c r="I17" i="18"/>
  <c r="O17" s="1"/>
  <c r="O20" s="1"/>
  <c r="H20"/>
  <c r="M87" i="14"/>
  <c r="M76"/>
  <c r="H10" i="18"/>
  <c r="H14" i="15"/>
  <c r="H16" s="1"/>
  <c r="G14"/>
  <c r="G16" s="1"/>
  <c r="M78" i="14" l="1"/>
  <c r="M8" i="59"/>
  <c r="M10" s="1"/>
  <c r="F90" i="14"/>
  <c r="F17" i="59"/>
  <c r="F20" s="1"/>
  <c r="I10" i="14"/>
  <c r="I16" s="1"/>
  <c r="H5" i="48"/>
  <c r="G5"/>
  <c r="H10" i="14"/>
  <c r="H16" s="1"/>
  <c r="M90"/>
  <c r="M17" i="59"/>
  <c r="M20" s="1"/>
  <c r="I76" i="14"/>
  <c r="I8" i="59" s="1"/>
  <c r="I10" s="1"/>
  <c r="I10" i="18"/>
  <c r="Q87" i="14"/>
  <c r="D90"/>
  <c r="F78"/>
  <c r="J87"/>
  <c r="J20" i="18"/>
  <c r="J10"/>
  <c r="J76" i="14"/>
  <c r="I87"/>
  <c r="I17" i="59" s="1"/>
  <c r="I20" s="1"/>
  <c r="I20" i="18"/>
  <c r="Q76" i="14"/>
  <c r="D78"/>
  <c r="B24" i="44"/>
  <c r="B23"/>
  <c r="Q90" i="14" l="1"/>
  <c r="B17" i="6" s="1"/>
  <c r="P17" i="59"/>
  <c r="P20" s="1"/>
  <c r="Q78" i="14"/>
  <c r="B9" i="6" s="1"/>
  <c r="P8" i="59"/>
  <c r="P10" s="1"/>
  <c r="J90" i="14"/>
  <c r="J17" i="59"/>
  <c r="J20" s="1"/>
  <c r="J78" i="14"/>
  <c r="J8" i="59"/>
  <c r="J10" s="1"/>
  <c r="B87" i="14"/>
  <c r="I90"/>
  <c r="C87"/>
  <c r="C76"/>
  <c r="B76"/>
  <c r="I78"/>
  <c r="A31" i="23"/>
  <c r="A32"/>
  <c r="A33"/>
  <c r="B90" i="14" l="1"/>
  <c r="B17" i="59"/>
  <c r="B20" s="1"/>
  <c r="C90" i="14"/>
  <c r="C17" i="59"/>
  <c r="C20" s="1"/>
  <c r="C78" i="14"/>
  <c r="C8" i="59"/>
  <c r="C10" s="1"/>
  <c r="B78" i="14"/>
  <c r="B8" i="59"/>
  <c r="B1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C4" i="48" l="1"/>
  <c r="D11" i="14"/>
  <c r="G32" i="48"/>
  <c r="G26"/>
  <c r="G25"/>
  <c r="G29"/>
  <c r="G30"/>
  <c r="G24"/>
  <c r="G22"/>
  <c r="G23"/>
  <c r="C11" i="14"/>
  <c r="B4" i="48"/>
  <c r="F27"/>
  <c r="F32"/>
  <c r="F31"/>
  <c r="F29"/>
  <c r="F30"/>
  <c r="F28"/>
  <c r="F24"/>
  <c r="N27"/>
  <c r="N32"/>
  <c r="N31"/>
  <c r="N29"/>
  <c r="N28"/>
  <c r="N30"/>
  <c r="N24"/>
  <c r="B10"/>
  <c r="C19" i="14"/>
  <c r="E32" i="48"/>
  <c r="E31"/>
  <c r="E29"/>
  <c r="E30"/>
  <c r="E28"/>
  <c r="E24"/>
  <c r="M32"/>
  <c r="M25"/>
  <c r="M26"/>
  <c r="M29"/>
  <c r="M22"/>
  <c r="M24"/>
  <c r="M30"/>
  <c r="M23"/>
  <c r="K5"/>
  <c r="L10" i="14"/>
  <c r="L16" s="1"/>
  <c r="L27" s="1"/>
  <c r="D30" i="48"/>
  <c r="D29"/>
  <c r="D28"/>
  <c r="D31"/>
  <c r="D24"/>
  <c r="D32"/>
  <c r="L32"/>
  <c r="L29"/>
  <c r="L28"/>
  <c r="L24"/>
  <c r="L22"/>
  <c r="L30"/>
  <c r="L31"/>
  <c r="L27"/>
  <c r="P5"/>
  <c r="P23" s="1"/>
  <c r="Q10" i="14"/>
  <c r="K32" i="48"/>
  <c r="K25"/>
  <c r="K26"/>
  <c r="K28"/>
  <c r="K27"/>
  <c r="K30"/>
  <c r="K29"/>
  <c r="K31"/>
  <c r="K24"/>
  <c r="K22"/>
  <c r="B7"/>
  <c r="C24" i="14"/>
  <c r="C26" s="1"/>
  <c r="J28" i="48"/>
  <c r="J27"/>
  <c r="J32"/>
  <c r="J29"/>
  <c r="J30"/>
  <c r="J24"/>
  <c r="J31"/>
  <c r="P4"/>
  <c r="Q11" i="14"/>
  <c r="O4" i="48"/>
  <c r="P11" i="14"/>
  <c r="I28" i="48"/>
  <c r="I27"/>
  <c r="I32"/>
  <c r="I29"/>
  <c r="I25"/>
  <c r="I31"/>
  <c r="I24"/>
  <c r="I26"/>
  <c r="I22"/>
  <c r="I30"/>
  <c r="D4"/>
  <c r="D22" s="1"/>
  <c r="E11" i="14"/>
  <c r="H28" i="48"/>
  <c r="H32"/>
  <c r="H25"/>
  <c r="H29"/>
  <c r="H24"/>
  <c r="H22"/>
  <c r="H30"/>
  <c r="H26"/>
  <c r="H23"/>
  <c r="J15" i="16"/>
  <c r="N46" i="14"/>
  <c r="L16" i="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P8" i="48" l="1"/>
  <c r="P26" s="1"/>
  <c r="Q13" i="14"/>
  <c r="Q16" s="1"/>
  <c r="Q27" s="1"/>
  <c r="Q63" s="1"/>
  <c r="E9" i="48"/>
  <c r="E27" s="1"/>
  <c r="F20" i="14"/>
  <c r="F22" s="1"/>
  <c r="E20"/>
  <c r="E22" s="1"/>
  <c r="D9" i="48"/>
  <c r="D27" s="1"/>
  <c r="O5"/>
  <c r="O23" s="1"/>
  <c r="P10" i="14"/>
  <c r="K24"/>
  <c r="K26" s="1"/>
  <c r="J7" i="48"/>
  <c r="J25" s="1"/>
  <c r="C20" i="14"/>
  <c r="B9" i="48"/>
  <c r="P15"/>
  <c r="P22"/>
  <c r="P33" s="1"/>
  <c r="F4"/>
  <c r="F22" s="1"/>
  <c r="G11" i="14"/>
  <c r="I5" i="48"/>
  <c r="J10" i="14"/>
  <c r="J16" s="1"/>
  <c r="J27" s="1"/>
  <c r="M12" i="22"/>
  <c r="M13" i="48"/>
  <c r="M31" s="1"/>
  <c r="N18" i="14"/>
  <c r="O22" i="48"/>
  <c r="G13"/>
  <c r="H18" i="14"/>
  <c r="H13" i="48"/>
  <c r="H31" s="1"/>
  <c r="I18" i="14"/>
  <c r="K23" i="48"/>
  <c r="K15"/>
  <c r="K33"/>
  <c r="J12" i="17"/>
  <c r="K54" i="14" s="1"/>
  <c r="K56" s="1"/>
  <c r="L46"/>
  <c r="L61" s="1"/>
  <c r="L63" s="1"/>
  <c r="J46"/>
  <c r="J61" s="1"/>
  <c r="G24"/>
  <c r="G26" s="1"/>
  <c r="F7" i="48"/>
  <c r="F25" s="1"/>
  <c r="M13" i="14"/>
  <c r="L8" i="48"/>
  <c r="L26" s="1"/>
  <c r="L22" i="16"/>
  <c r="M43" i="14" s="1"/>
  <c r="C7" i="48"/>
  <c r="D24" i="14"/>
  <c r="D26" s="1"/>
  <c r="D13"/>
  <c r="C8" i="48"/>
  <c r="D7"/>
  <c r="E24" i="14"/>
  <c r="D10"/>
  <c r="C5" i="48"/>
  <c r="M10" i="14"/>
  <c r="L5" i="48"/>
  <c r="P22" i="16"/>
  <c r="Q43" i="14" s="1"/>
  <c r="E8" i="17"/>
  <c r="O18" i="16"/>
  <c r="B34" i="13"/>
  <c r="B46" s="1"/>
  <c r="E5" s="1"/>
  <c r="E8" s="1"/>
  <c r="H12" i="22"/>
  <c r="B35" i="13"/>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C50" i="13"/>
  <c r="J5" s="1"/>
  <c r="J8" s="1"/>
  <c r="N4" i="48" l="1"/>
  <c r="N22" s="1"/>
  <c r="O11" i="14"/>
  <c r="E12" i="13"/>
  <c r="F41" i="14" s="1"/>
  <c r="E4" i="48"/>
  <c r="F11" i="14"/>
  <c r="R11" s="1"/>
  <c r="K11"/>
  <c r="J4" i="48"/>
  <c r="E7"/>
  <c r="E25" s="1"/>
  <c r="F24" i="14"/>
  <c r="F26" s="1"/>
  <c r="M9" i="48"/>
  <c r="N20" i="14"/>
  <c r="O22" i="16"/>
  <c r="P43" i="14" s="1"/>
  <c r="P46" s="1"/>
  <c r="P61" s="1"/>
  <c r="P63" s="1"/>
  <c r="O8" i="48"/>
  <c r="P13" i="14"/>
  <c r="I20"/>
  <c r="H9" i="48"/>
  <c r="M10"/>
  <c r="M28" s="1"/>
  <c r="N19" i="14"/>
  <c r="G10" i="48"/>
  <c r="H19" i="14"/>
  <c r="R19" s="1"/>
  <c r="G31" i="48"/>
  <c r="Q13"/>
  <c r="R18" i="14"/>
  <c r="I23" i="48"/>
  <c r="I33" s="1"/>
  <c r="I15"/>
  <c r="J63" i="14"/>
  <c r="I22"/>
  <c r="I27" s="1"/>
  <c r="G14" i="22"/>
  <c r="N22" i="14"/>
  <c r="N27" s="1"/>
  <c r="P16"/>
  <c r="P27" s="1"/>
  <c r="C22"/>
  <c r="N12" i="17"/>
  <c r="O54" i="14" s="1"/>
  <c r="O56" s="1"/>
  <c r="O24"/>
  <c r="O26" s="1"/>
  <c r="N7" i="48"/>
  <c r="N25" s="1"/>
  <c r="L12" i="17"/>
  <c r="M54" i="14" s="1"/>
  <c r="M56" s="1"/>
  <c r="L7" i="48"/>
  <c r="L25" s="1"/>
  <c r="M24" i="14"/>
  <c r="M26" s="1"/>
  <c r="D22" i="16"/>
  <c r="E43" i="14" s="1"/>
  <c r="D8" i="48"/>
  <c r="D26" s="1"/>
  <c r="E13" i="14"/>
  <c r="C13"/>
  <c r="B8" i="48"/>
  <c r="E26" i="14"/>
  <c r="R24"/>
  <c r="R26" s="1"/>
  <c r="D25" i="48"/>
  <c r="C10" i="14"/>
  <c r="B5" i="48"/>
  <c r="O10" i="14"/>
  <c r="N5" i="48"/>
  <c r="G10" i="14"/>
  <c r="F5" i="48"/>
  <c r="D20" i="15"/>
  <c r="E40" i="14" s="1"/>
  <c r="E10"/>
  <c r="E12" i="17"/>
  <c r="F54" i="14" s="1"/>
  <c r="F56" s="1"/>
  <c r="E16" i="15"/>
  <c r="J16"/>
  <c r="M58" i="22"/>
  <c r="N49" i="14" s="1"/>
  <c r="D18" i="22"/>
  <c r="E50" i="14" s="1"/>
  <c r="E52" s="1"/>
  <c r="E18" i="22"/>
  <c r="F50" i="14" s="1"/>
  <c r="F52" s="1"/>
  <c r="G58" i="22"/>
  <c r="H49" i="14" s="1"/>
  <c r="M18" i="22"/>
  <c r="N50" i="14" s="1"/>
  <c r="N52" s="1"/>
  <c r="N61" s="1"/>
  <c r="N63" s="1"/>
  <c r="J20" i="15"/>
  <c r="K40" i="14" s="1"/>
  <c r="N20" i="15"/>
  <c r="O40" i="14" s="1"/>
  <c r="F20" i="15"/>
  <c r="G40" i="14" s="1"/>
  <c r="N5" i="16"/>
  <c r="E5"/>
  <c r="J5"/>
  <c r="C35" i="13"/>
  <c r="F5" i="16"/>
  <c r="C36" i="13"/>
  <c r="N12"/>
  <c r="O41" i="14" s="1"/>
  <c r="C38" i="13"/>
  <c r="C39"/>
  <c r="C32"/>
  <c r="C34"/>
  <c r="J12"/>
  <c r="K41" i="14" s="1"/>
  <c r="L20" i="15"/>
  <c r="M40" i="14" s="1"/>
  <c r="E22" i="48" l="1"/>
  <c r="Q4"/>
  <c r="O26"/>
  <c r="O33" s="1"/>
  <c r="O15"/>
  <c r="H20" i="14"/>
  <c r="R20" s="1"/>
  <c r="R22" s="1"/>
  <c r="G9" i="48"/>
  <c r="J22"/>
  <c r="E5"/>
  <c r="E23" s="1"/>
  <c r="F10" i="14"/>
  <c r="H27" i="48"/>
  <c r="H33" s="1"/>
  <c r="H15"/>
  <c r="J5"/>
  <c r="J23" s="1"/>
  <c r="K10" i="14"/>
  <c r="M27" i="48"/>
  <c r="M33" s="1"/>
  <c r="M15"/>
  <c r="G28"/>
  <c r="Q10"/>
  <c r="I63" i="14"/>
  <c r="H22"/>
  <c r="H27" s="1"/>
  <c r="Q7" i="48"/>
  <c r="E20" i="15"/>
  <c r="F40" i="14" s="1"/>
  <c r="J18" i="16"/>
  <c r="E18"/>
  <c r="F18"/>
  <c r="F22" s="1"/>
  <c r="G43" i="14" s="1"/>
  <c r="N18" i="16"/>
  <c r="G18" i="22"/>
  <c r="H50" i="14" s="1"/>
  <c r="H52" s="1"/>
  <c r="H61" s="1"/>
  <c r="H63" s="1"/>
  <c r="H18" i="22"/>
  <c r="I50" i="14" s="1"/>
  <c r="I52" s="1"/>
  <c r="I61" s="1"/>
  <c r="E8" i="48" l="1"/>
  <c r="E26" s="1"/>
  <c r="F13" i="14"/>
  <c r="G27" i="48"/>
  <c r="G33" s="1"/>
  <c r="G15"/>
  <c r="Q9"/>
  <c r="J22" i="16"/>
  <c r="K43" i="14" s="1"/>
  <c r="K46" s="1"/>
  <c r="K61" s="1"/>
  <c r="J8" i="48"/>
  <c r="J26" s="1"/>
  <c r="K13" i="14"/>
  <c r="K16" s="1"/>
  <c r="K27" s="1"/>
  <c r="F16"/>
  <c r="F27" s="1"/>
  <c r="E22" i="16"/>
  <c r="F43" i="14" s="1"/>
  <c r="J15" i="48"/>
  <c r="F46" i="14"/>
  <c r="F61" s="1"/>
  <c r="F63" s="1"/>
  <c r="J33" i="48"/>
  <c r="E33"/>
  <c r="E15"/>
  <c r="N8"/>
  <c r="N26" s="1"/>
  <c r="O13" i="14"/>
  <c r="N22" i="16"/>
  <c r="O43" i="14" s="1"/>
  <c r="G13"/>
  <c r="R13" s="1"/>
  <c r="F8" i="48"/>
  <c r="K63" i="14" l="1"/>
  <c r="F26" i="48"/>
  <c r="Q8"/>
  <c r="D16" i="14" l="1"/>
  <c r="D27" s="1"/>
  <c r="B20" i="6" s="1"/>
  <c r="M16" i="14"/>
  <c r="M27" s="1"/>
  <c r="G16" l="1"/>
  <c r="G27" s="1"/>
  <c r="L23" i="48"/>
  <c r="L33" s="1"/>
  <c r="L15"/>
  <c r="B15"/>
  <c r="C15"/>
  <c r="O16" i="14"/>
  <c r="O27" s="1"/>
  <c r="E16"/>
  <c r="E27" s="1"/>
  <c r="R10"/>
  <c r="R16" s="1"/>
  <c r="R27" s="1"/>
  <c r="C16"/>
  <c r="C27" s="1"/>
  <c r="B3" i="6" s="1"/>
  <c r="B22"/>
  <c r="C22" i="59" s="1"/>
  <c r="E46" i="14"/>
  <c r="E61" s="1"/>
  <c r="O46"/>
  <c r="O61" s="1"/>
  <c r="O63" s="1"/>
  <c r="G46"/>
  <c r="G61" s="1"/>
  <c r="M46"/>
  <c r="M61" s="1"/>
  <c r="M63" s="1"/>
  <c r="E63" l="1"/>
  <c r="G63"/>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<sst xmlns="http://schemas.openxmlformats.org/spreadsheetml/2006/main" count="2410" uniqueCount="902">
  <si>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</si>
  <si>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</si>
  <si>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</si>
  <si>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</si>
  <si>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</si>
  <si>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</si>
  <si>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</si>
  <si>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</si>
  <si>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</si>
  <si>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</si>
  <si>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</si>
  <si>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</si>
  <si>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</si>
  <si>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</si>
  <si>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</si>
  <si>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</si>
  <si>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</si>
  <si>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</si>
  <si>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</si>
  <si>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</si>
  <si>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</si>
  <si>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</si>
  <si>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</si>
  <si>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</si>
  <si>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</si>
  <si>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</si>
  <si>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</si>
  <si>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</si>
  <si>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</si>
  <si>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</si>
  <si>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</si>
  <si>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</si>
  <si>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</si>
  <si>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</si>
  <si>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</si>
  <si>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</si>
  <si>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</si>
  <si>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</si>
  <si>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</si>
  <si>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</si>
  <si>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</si>
  <si>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</si>
  <si>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</si>
  <si>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</si>
  <si>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</si>
  <si>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</si>
  <si>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</si>
  <si>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</si>
  <si>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</si>
  <si>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</si>
  <si>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</si>
  <si>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</si>
  <si>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</si>
  <si>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</si>
  <si>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</si>
  <si>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</si>
  <si>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</si>
  <si>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</si>
  <si>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</si>
  <si>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</si>
  <si>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</si>
  <si>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</si>
  <si>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</si>
  <si>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</si>
  <si>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</si>
  <si>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</si>
  <si>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</si>
  <si>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</si>
  <si>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</si>
  <si>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</si>
  <si>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</si>
  <si>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</si>
  <si>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</si>
  <si>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</si>
  <si>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</si>
  <si>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</si>
  <si>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</si>
  <si>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</si>
  <si>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</si>
  <si>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</si>
  <si>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</si>
  <si>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</si>
  <si>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</si>
  <si>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</si>
  <si>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</si>
  <si>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</si>
  <si>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</si>
  <si>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</si>
  <si>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</si>
  <si>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</si>
  <si>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</si>
  <si>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</si>
  <si>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</si>
  <si>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</si>
  <si>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</si>
  <si>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</si>
  <si>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</si>
  <si>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</si>
  <si>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</si>
  <si>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</si>
  <si>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</si>
  <si>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</si>
  <si>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</si>
  <si>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</si>
  <si>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</si>
  <si>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</si>
  <si>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</si>
  <si>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</si>
  <si>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</si>
  <si>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</si>
  <si>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</si>
  <si>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</si>
  <si>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</si>
  <si>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</si>
  <si>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</si>
  <si>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</si>
  <si>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</si>
  <si>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</si>
  <si>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</si>
  <si>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</si>
  <si>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</si>
  <si>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</si>
  <si>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</si>
  <si>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</si>
  <si>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</si>
  <si>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</si>
  <si>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</si>
  <si>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</si>
  <si>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</si>
  <si>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</si>
  <si>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</si>
  <si>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</si>
  <si>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</si>
  <si>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</si>
  <si>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</si>
  <si>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</si>
  <si>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</si>
  <si>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</si>
  <si>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</si>
  <si>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</si>
  <si>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</si>
  <si>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</si>
  <si>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</si>
  <si>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</si>
  <si>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</si>
  <si>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</si>
  <si>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</si>
  <si>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</si>
  <si>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</si>
  <si>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</si>
  <si>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</si>
  <si>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</si>
  <si>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</si>
  <si>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</si>
  <si>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</si>
  <si>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</si>
  <si>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</si>
  <si>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</si>
  <si>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</si>
  <si>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</si>
  <si>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</si>
  <si>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</si>
  <si>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</si>
  <si>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</si>
  <si>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</si>
  <si>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</si>
  <si>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</si>
  <si>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</si>
  <si>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</si>
  <si>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</si>
  <si>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</si>
  <si>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</si>
  <si>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</si>
  <si>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</si>
  <si>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</si>
  <si>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</si>
  <si>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</si>
  <si>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</si>
  <si>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</si>
  <si>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</si>
  <si>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</si>
  <si>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</si>
  <si>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</si>
  <si>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</si>
  <si>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</si>
  <si>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</si>
  <si>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</si>
  <si>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</si>
  <si>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</si>
  <si>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</si>
  <si>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</si>
  <si>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</si>
  <si>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</si>
  <si>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</si>
  <si>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</si>
  <si>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</si>
  <si>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</si>
  <si>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</si>
  <si>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</si>
  <si>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</si>
  <si>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</si>
  <si>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</si>
  <si>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</si>
  <si>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</si>
  <si>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</si>
  <si>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</si>
  <si>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</si>
  <si>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</si>
  <si>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</si>
  <si>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</si>
  <si>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</si>
  <si>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</si>
  <si>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</si>
  <si>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</si>
  <si>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</si>
  <si>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</si>
  <si>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</si>
  <si>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</si>
  <si>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</si>
  <si>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</si>
  <si>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</si>
  <si>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</si>
  <si>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</si>
  <si>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</si>
  <si>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</si>
  <si>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</si>
  <si>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</si>
  <si>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</si>
  <si>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</si>
  <si>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</si>
  <si>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</si>
  <si>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</si>
  <si>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</si>
  <si>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</si>
  <si>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</si>
  <si>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</si>
  <si>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</si>
  <si>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</si>
  <si>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</si>
  <si>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</si>
  <si>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</si>
  <si>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</si>
  <si>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</si>
  <si>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</si>
  <si>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</si>
  <si>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</si>
  <si>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</si>
  <si>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</si>
  <si>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</si>
  <si>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</si>
  <si>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</si>
  <si>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</si>
  <si>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</si>
  <si>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</si>
  <si>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</si>
  <si>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</si>
  <si>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</si>
  <si>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</si>
  <si>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</si>
  <si>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</si>
  <si>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</si>
  <si>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</si>
  <si>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</si>
  <si>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</si>
  <si>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</si>
  <si>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</si>
  <si>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</si>
  <si>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</si>
  <si>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</si>
  <si>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</si>
  <si>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</si>
  <si>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</si>
  <si>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</si>
  <si>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</si>
  <si>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</si>
  <si>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</si>
  <si>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</si>
  <si>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</si>
  <si>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</si>
  <si>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</si>
  <si>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</si>
  <si>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</si>
  <si>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</si>
  <si>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</si>
  <si>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</si>
  <si>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</si>
  <si>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</si>
  <si>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</si>
  <si>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</si>
  <si>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</si>
  <si>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</si>
  <si>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</si>
  <si>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</si>
  <si>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</si>
  <si>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</si>
  <si>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</si>
  <si>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</si>
  <si>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</si>
  <si>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</si>
  <si>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</si>
  <si>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</si>
  <si>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</si>
  <si>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</si>
  <si>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</si>
  <si>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</si>
  <si>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</si>
  <si>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</si>
  <si>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</si>
  <si>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</si>
  <si>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</si>
  <si>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</si>
  <si>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</si>
  <si>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</si>
  <si>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</si>
  <si>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</si>
  <si>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</si>
  <si>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</si>
  <si>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</si>
  <si>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</si>
  <si>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</si>
  <si>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</si>
  <si>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</si>
  <si>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</si>
  <si>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</si>
  <si>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</si>
  <si>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</si>
  <si>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</si>
  <si>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</si>
  <si>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</si>
  <si>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</si>
  <si>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</si>
  <si>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</si>
  <si>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</si>
  <si>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</si>
  <si>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</si>
  <si>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</si>
  <si>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</si>
  <si>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</si>
  <si>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</si>
  <si>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</si>
  <si>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</si>
  <si>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</si>
  <si>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</si>
  <si>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</si>
  <si>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</si>
  <si>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</si>
  <si>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</si>
  <si>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</si>
  <si>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</si>
  <si>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</si>
  <si>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</si>
  <si>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</si>
  <si>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</si>
  <si>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</si>
  <si>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</si>
  <si>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</si>
  <si>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</si>
  <si>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</si>
  <si>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</si>
  <si>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</si>
  <si>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</si>
  <si>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</si>
  <si>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</si>
  <si>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</si>
  <si>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</si>
  <si>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</si>
  <si>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</si>
  <si>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</si>
  <si>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</si>
  <si>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</si>
  <si>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</si>
  <si>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</si>
  <si>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</si>
  <si>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</si>
  <si>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</si>
  <si>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</si>
  <si>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</si>
  <si>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</si>
  <si>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</si>
  <si>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</si>
  <si>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</si>
  <si>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</si>
  <si>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</si>
  <si>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</si>
  <si>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</si>
  <si>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</si>
  <si>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</si>
  <si>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</si>
  <si>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</si>
  <si>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</si>
  <si>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</si>
  <si>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</si>
  <si>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</si>
  <si>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</si>
  <si>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</si>
  <si>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</si>
  <si>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</si>
  <si>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</si>
  <si>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</si>
  <si>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</si>
  <si>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</si>
  <si>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</si>
  <si>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</si>
  <si>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</si>
  <si>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</si>
  <si>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</si>
  <si>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</si>
  <si>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</si>
  <si>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</si>
  <si>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</si>
  <si>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</si>
  <si>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</si>
  <si>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</si>
  <si>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</si>
  <si>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</si>
  <si>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</si>
  <si>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</si>
  <si>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</si>
  <si>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</si>
  <si>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</si>
  <si>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</si>
  <si>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</si>
  <si>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</si>
  <si>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</si>
  <si>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</si>
  <si>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</si>
  <si>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</si>
  <si>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</si>
  <si>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</si>
  <si>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</si>
  <si>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</si>
  <si>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</si>
  <si>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</si>
  <si>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</si>
  <si>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</si>
  <si>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</si>
  <si>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</si>
  <si>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</si>
  <si>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</si>
  <si>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</si>
  <si>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</si>
  <si>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</si>
  <si>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</si>
  <si>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</si>
  <si>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</si>
  <si>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</si>
  <si>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</si>
  <si>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</si>
  <si>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</si>
  <si>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</si>
  <si>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</si>
  <si>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</si>
  <si>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</si>
  <si>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</si>
  <si>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</si>
  <si>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</si>
  <si>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</si>
  <si>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</si>
  <si>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</si>
  <si>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</si>
  <si>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</si>
  <si>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</si>
  <si>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</si>
  <si>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</si>
  <si>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</si>
  <si>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</si>
  <si>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</si>
  <si>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</si>
  <si>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</si>
  <si>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</si>
  <si>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</si>
  <si>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</si>
  <si>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</si>
  <si>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</si>
  <si>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</si>
  <si>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</si>
  <si>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</si>
  <si>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</si>
  <si>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</si>
  <si>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</si>
  <si>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</si>
  <si>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</si>
  <si>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</si>
  <si>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</si>
  <si>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</si>
  <si>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</si>
  <si>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</si>
  <si>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</si>
  <si>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</si>
  <si>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</si>
  <si>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</si>
  <si>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</si>
  <si>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</si>
  <si>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</si>
  <si>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</si>
  <si>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</si>
  <si>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</si>
  <si>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</si>
  <si>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</si>
  <si>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</si>
  <si>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</si>
  <si>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</si>
  <si>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</si>
  <si>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</si>
  <si>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</si>
  <si>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</si>
  <si>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</si>
  <si>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</si>
  <si>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</si>
  <si>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</si>
  <si>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</si>
  <si>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</si>
  <si>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</si>
  <si>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</si>
  <si>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</si>
  <si>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</si>
  <si>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</si>
  <si>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</si>
  <si>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</si>
  <si>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</si>
  <si>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</si>
  <si>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</si>
  <si>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</si>
  <si>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</si>
  <si>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</si>
  <si>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</si>
  <si>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</si>
  <si>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</si>
  <si>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</si>
  <si>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</si>
  <si>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</si>
  <si>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</si>
  <si>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</si>
  <si>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</si>
  <si>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</si>
  <si>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</si>
  <si>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</si>
  <si>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</si>
  <si>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</si>
  <si>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</si>
  <si>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</si>
  <si>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</si>
  <si>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</si>
  <si>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</si>
  <si>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</si>
  <si>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</si>
  <si>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</si>
  <si>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</si>
  <si>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</si>
  <si>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</si>
  <si>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</si>
  <si>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</si>
  <si>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</si>
  <si>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</si>
  <si>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</si>
  <si>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</si>
  <si>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</si>
  <si>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</si>
  <si>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</si>
  <si>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</si>
  <si>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</si>
  <si>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</si>
  <si>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</si>
  <si>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</si>
  <si>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</si>
  <si>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</si>
  <si>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</si>
  <si>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</si>
  <si>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</si>
  <si>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</si>
  <si>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</si>
  <si>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</si>
  <si>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</si>
  <si>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</si>
  <si>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</si>
  <si>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</si>
  <si>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</si>
  <si>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</si>
  <si>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</si>
  <si>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</si>
  <si>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</si>
  <si>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</si>
  <si>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</si>
  <si>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</si>
  <si>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</si>
  <si>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</si>
  <si>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</si>
  <si>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</si>
  <si>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</si>
  <si>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</si>
  <si>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</si>
  <si>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</si>
  <si>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</si>
  <si>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</si>
  <si>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</si>
  <si>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</si>
  <si>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</si>
  <si>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</si>
  <si>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</si>
  <si>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</si>
  <si>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</si>
  <si>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</si>
  <si>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</si>
  <si>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</si>
  <si>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</si>
  <si>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</si>
  <si>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</si>
  <si>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</si>
  <si>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</si>
  <si>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</si>
  <si>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</si>
  <si>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</si>
  <si>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</si>
  <si>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</si>
  <si>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</si>
  <si>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</si>
  <si>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</si>
  <si>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</si>
  <si>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</si>
  <si>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</si>
  <si>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</si>
  <si>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</si>
  <si>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</si>
  <si>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</si>
  <si>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</si>
  <si>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</si>
  <si>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</si>
  <si>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</si>
  <si>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</si>
  <si>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</si>
  <si>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</si>
  <si>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</si>
  <si>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</si>
  <si>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</si>
  <si>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</si>
  <si>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</si>
  <si>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</si>
  <si>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</si>
  <si>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</si>
  <si>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</si>
  <si>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</si>
  <si>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</si>
  <si>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</si>
  <si>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</si>
  <si>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</si>
  <si>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</si>
  <si>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</si>
  <si>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</si>
  <si>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</si>
  <si>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</si>
  <si>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</si>
  <si>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</si>
  <si>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</si>
  <si>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</si>
  <si>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</si>
  <si>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</si>
  <si>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</si>
  <si>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</si>
  <si>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</si>
  <si>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</si>
  <si>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</si>
  <si>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</si>
  <si>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</si>
  <si>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</si>
  <si>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</si>
  <si>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</si>
  <si>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</si>
  <si>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</si>
  <si>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</si>
  <si>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</si>
  <si>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</si>
  <si>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</si>
  <si>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</si>
  <si>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</si>
  <si>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</si>
  <si>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</si>
  <si>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</si>
  <si>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</si>
  <si>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</si>
  <si>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</si>
  <si>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</si>
  <si>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</si>
  <si>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</si>
  <si>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</si>
  <si>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</si>
  <si>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</si>
  <si>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</si>
  <si>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</si>
  <si>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</si>
  <si>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</si>
  <si>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</si>
  <si>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</si>
  <si>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</si>
  <si>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</si>
  <si>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</si>
  <si>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</si>
  <si>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</si>
  <si>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</si>
  <si>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</si>
  <si>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</si>
  <si>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</si>
  <si>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</si>
  <si>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</si>
  <si>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</si>
  <si>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</si>
  <si>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</si>
  <si>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</si>
  <si>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</si>
  <si>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</si>
  <si>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</si>
  <si>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</si>
  <si>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</si>
  <si>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</si>
  <si>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</si>
  <si>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</si>
  <si>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</si>
  <si>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</si>
  <si>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</si>
  <si>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</si>
  <si>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</si>
  <si>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</si>
  <si>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</si>
  <si>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</si>
  <si>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</si>
  <si>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</si>
  <si>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</si>
  <si>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</si>
  <si>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</si>
  <si>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</si>
  <si>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</si>
  <si>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</si>
  <si>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</si>
  <si>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</si>
  <si>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</si>
  <si>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</si>
  <si>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</si>
  <si>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</si>
  <si>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</si>
  <si>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</si>
  <si>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</si>
  <si>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</si>
  <si>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</si>
  <si>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</si>
  <si>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</si>
  <si>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</si>
  <si>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</si>
  <si>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</si>
  <si>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</si>
  <si>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</si>
  <si>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</si>
  <si>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</si>
  <si>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</si>
  <si>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</si>
  <si>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</si>
  <si>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</si>
  <si>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</si>
  <si>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</si>
  <si>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</si>
  <si>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</si>
  <si>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</si>
  <si>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</si>
  <si>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</si>
  <si>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</si>
  <si>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</si>
  <si>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</si>
  <si>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</si>
  <si>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</si>
  <si>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</si>
  <si>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</si>
  <si>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</si>
  <si>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</si>
  <si>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</si>
  <si>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</si>
  <si>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</si>
  <si>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</si>
  <si>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</si>
  <si>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</si>
  <si>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</si>
  <si>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</si>
  <si>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</si>
  <si>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</si>
  <si>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</si>
  <si>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</si>
  <si>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</si>
  <si>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</si>
  <si>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</si>
  <si>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</si>
  <si>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</si>
  <si>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</si>
  <si>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</si>
  <si>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</si>
  <si>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</si>
  <si>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</si>
  <si>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</si>
  <si>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</si>
  <si>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</si>
  <si>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</si>
  <si>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</si>
  <si>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</si>
  <si>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</si>
  <si>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</si>
  <si>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</si>
  <si>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</si>
  <si>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</si>
  <si>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</si>
  <si>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</si>
  <si>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</si>
  <si>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</si>
  <si>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</si>
  <si>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</si>
  <si>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</si>
  <si>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</si>
  <si>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</si>
  <si>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</si>
  <si>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</si>
  <si>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</si>
  <si>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</si>
  <si>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</si>
  <si>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</si>
  <si>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</si>
  <si>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</si>
  <si>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</si>
  <si>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</si>
  <si>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</si>
  <si>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</si>
  <si>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</si>
  <si>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</si>
  <si>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</si>
  <si>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</si>
  <si>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</si>
  <si>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</si>
  <si>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</si>
  <si>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</si>
  <si>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</si>
  <si>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</si>
  <si>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</si>
  <si>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</si>
  <si>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</si>
  <si>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</si>
  <si>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</si>
  <si>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</si>
  <si>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</si>
  <si>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</si>
  <si>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</si>
  <si>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</si>
  <si>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</si>
  <si>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</si>
  <si>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</si>
  <si>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</si>
  <si>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</si>
  <si>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</si>
  <si>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</si>
  <si>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</si>
  <si>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</si>
  <si>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</si>
  <si>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</si>
  <si>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</si>
  <si>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</si>
  <si>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</si>
  <si>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</si>
  <si>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</si>
  <si>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</si>
  <si>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</si>
  <si>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</si>
  <si>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</si>
  <si>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</si>
  <si>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</si>
  <si>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</si>
  <si>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</si>
  <si>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</si>
  <si>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</si>
  <si>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</si>
  <si>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</si>
  <si>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</si>
  <si>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</si>
  <si>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</si>
  <si>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</si>
  <si>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</si>
  <si>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</si>
  <si>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</si>
  <si>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</si>
  <si>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</si>
  <si>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11057</t>
  </si>
  <si>
    <t>MALLE</t>
  </si>
  <si>
    <t>Paarden&amp;pony's 200 - 600 kg</t>
  </si>
  <si>
    <t>Paarden&amp;pony's &lt; 200 kg</t>
  </si>
  <si>
    <t>referentietaak LNE (2017); Jaarverslag De Lijn (2015)</t>
  </si>
  <si>
    <t>op basis van VEA (maart 2018) en Inventaris Hernieuwbare Energiebronnen (juni 2018)</t>
  </si>
  <si>
    <t>VEA (januari 2017)</t>
  </si>
  <si>
    <t>VEA (juni 2018)</t>
  </si>
  <si>
    <t>Agri-Power bvba</t>
  </si>
  <si>
    <t>Gemeentebos 8, 2390 Malle</t>
  </si>
  <si>
    <t>WKK-0042 Agri-Power</t>
  </si>
  <si>
    <t>interne verbrandingsmotor</t>
  </si>
  <si>
    <t>WKK interne verbrandinsgmotor (gas)</t>
  </si>
  <si>
    <t>IVEKA</t>
  </si>
  <si>
    <t>Agri-Power BVBA</t>
  </si>
  <si>
    <t>Gemeentebos 6 , 2390 Malle</t>
  </si>
  <si>
    <t>BGS-0030 Agri-Power (GSC rest)</t>
  </si>
  <si>
    <t>biogas - hoofdzakelijk agrarische stromen</t>
  </si>
  <si>
    <t>niet WKK interne verbrandingsmotor (gas)</t>
  </si>
  <si>
    <t>Iveka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</si>
</sst>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116689.41259204442</c:v>
                </c:pt>
                <c:pt idx="1">
                  <c:v>103356.84358324434</c:v>
                </c:pt>
                <c:pt idx="2">
                  <c:v>539.96699999999998</c:v>
                </c:pt>
                <c:pt idx="3">
                  <c:v>11280.199829424871</c:v>
                </c:pt>
                <c:pt idx="4">
                  <c:v>113400.73833706953</c:v>
                </c:pt>
                <c:pt idx="5">
                  <c:v>92321.276754805978</c:v>
                </c:pt>
                <c:pt idx="6">
                  <c:v>2905.294862255108</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398784"/>
        <c:axId val="183400320"/>
      </c:barChart>
      <c:catAx>
        <c:axId val="183398784"/>
        <c:scaling>
          <c:orientation val="minMax"/>
        </c:scaling>
        <c:axPos val="b"/>
        <c:numFmt formatCode="General" sourceLinked="0"/>
        <c:tickLblPos val="nextTo"/>
        <c:crossAx val="183400320"/>
        <c:crosses val="autoZero"/>
        <c:auto val="1"/>
        <c:lblAlgn val="ctr"/>
        <c:lblOffset val="100"/>
      </c:catAx>
      <c:valAx>
        <c:axId val="183400320"/>
        <c:scaling>
          <c:orientation val="minMax"/>
        </c:scaling>
        <c:axPos val="l"/>
        <c:majorGridlines/>
        <c:numFmt formatCode="#,##0" sourceLinked="1"/>
        <c:tickLblPos val="nextTo"/>
        <c:crossAx val="18339878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116689.41259204442</c:v>
                </c:pt>
                <c:pt idx="1">
                  <c:v>103356.84358324434</c:v>
                </c:pt>
                <c:pt idx="2">
                  <c:v>539.96699999999998</c:v>
                </c:pt>
                <c:pt idx="3">
                  <c:v>11280.199829424871</c:v>
                </c:pt>
                <c:pt idx="4">
                  <c:v>113400.73833706953</c:v>
                </c:pt>
                <c:pt idx="5">
                  <c:v>92321.276754805978</c:v>
                </c:pt>
                <c:pt idx="6">
                  <c:v>2905.294862255108</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18386.350519141302</c:v>
                </c:pt>
                <c:pt idx="2">
                  <c:v>14286.390458843911</c:v>
                </c:pt>
                <c:pt idx="3">
                  <c:v>74.240539259941713</c:v>
                </c:pt>
                <c:pt idx="4">
                  <c:v>2542.9333512284657</c:v>
                </c:pt>
                <c:pt idx="5">
                  <c:v>19238.016136262646</c:v>
                </c:pt>
                <c:pt idx="6">
                  <c:v>23629.92546354021</c:v>
                </c:pt>
                <c:pt idx="7">
                  <c:v>752.37668660720522</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843840"/>
        <c:axId val="183882496"/>
      </c:barChart>
      <c:catAx>
        <c:axId val="183843840"/>
        <c:scaling>
          <c:orientation val="minMax"/>
        </c:scaling>
        <c:axPos val="b"/>
        <c:numFmt formatCode="General" sourceLinked="0"/>
        <c:tickLblPos val="nextTo"/>
        <c:crossAx val="183882496"/>
        <c:crosses val="autoZero"/>
        <c:auto val="1"/>
        <c:lblAlgn val="ctr"/>
        <c:lblOffset val="100"/>
      </c:catAx>
      <c:valAx>
        <c:axId val="183882496"/>
        <c:scaling>
          <c:orientation val="minMax"/>
        </c:scaling>
        <c:axPos val="l"/>
        <c:majorGridlines/>
        <c:numFmt formatCode="#,##0" sourceLinked="1"/>
        <c:tickLblPos val="nextTo"/>
        <c:crossAx val="1838438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18386.350519141302</c:v>
                </c:pt>
                <c:pt idx="2">
                  <c:v>14286.390458843911</c:v>
                </c:pt>
                <c:pt idx="3">
                  <c:v>74.240539259941713</c:v>
                </c:pt>
                <c:pt idx="4">
                  <c:v>2542.9333512284657</c:v>
                </c:pt>
                <c:pt idx="5">
                  <c:v>19238.016136262646</c:v>
                </c:pt>
                <c:pt idx="6">
                  <c:v>23629.92546354021</c:v>
                </c:pt>
                <c:pt idx="7">
                  <c:v>752.37668660720522</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11057</v>
      </c>
      <c r="B6" s="415"/>
      <c r="C6" s="416"/>
    </row>
    <row r="7" spans="1:7" s="413" customFormat="1" ht="15.75" customHeight="1">
      <c r="A7" s="417" t="str">
        <f>txtMunicipality</f>
        <v>MALLE</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0.1374908823315901</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0.1374908823315901</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11057</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5942</v>
      </c>
      <c r="C9" s="342">
        <v>5930</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2349.88</v>
      </c>
    </row>
    <row r="15" spans="1:6">
      <c r="A15" s="348" t="s">
        <v>184</v>
      </c>
      <c r="B15" s="334">
        <v>812</v>
      </c>
    </row>
    <row r="16" spans="1:6">
      <c r="A16" s="348" t="s">
        <v>6</v>
      </c>
      <c r="B16" s="334">
        <v>1986</v>
      </c>
    </row>
    <row r="17" spans="1:6">
      <c r="A17" s="348" t="s">
        <v>7</v>
      </c>
      <c r="B17" s="334">
        <v>570</v>
      </c>
    </row>
    <row r="18" spans="1:6">
      <c r="A18" s="348" t="s">
        <v>8</v>
      </c>
      <c r="B18" s="334">
        <v>1442</v>
      </c>
    </row>
    <row r="19" spans="1:6">
      <c r="A19" s="348" t="s">
        <v>9</v>
      </c>
      <c r="B19" s="334">
        <v>1514</v>
      </c>
    </row>
    <row r="20" spans="1:6">
      <c r="A20" s="348" t="s">
        <v>10</v>
      </c>
      <c r="B20" s="334">
        <v>1036</v>
      </c>
    </row>
    <row r="21" spans="1:6">
      <c r="A21" s="348" t="s">
        <v>11</v>
      </c>
      <c r="B21" s="334">
        <v>1101</v>
      </c>
    </row>
    <row r="22" spans="1:6">
      <c r="A22" s="348" t="s">
        <v>12</v>
      </c>
      <c r="B22" s="334">
        <v>8257</v>
      </c>
    </row>
    <row r="23" spans="1:6">
      <c r="A23" s="348" t="s">
        <v>13</v>
      </c>
      <c r="B23" s="334">
        <v>115</v>
      </c>
    </row>
    <row r="24" spans="1:6">
      <c r="A24" s="348" t="s">
        <v>14</v>
      </c>
      <c r="B24" s="334">
        <v>4</v>
      </c>
    </row>
    <row r="25" spans="1:6">
      <c r="A25" s="348" t="s">
        <v>15</v>
      </c>
      <c r="B25" s="334">
        <v>493</v>
      </c>
    </row>
    <row r="26" spans="1:6">
      <c r="A26" s="348" t="s">
        <v>16</v>
      </c>
      <c r="B26" s="334">
        <v>136</v>
      </c>
    </row>
    <row r="27" spans="1:6">
      <c r="A27" s="348" t="s">
        <v>17</v>
      </c>
      <c r="B27" s="334">
        <v>0</v>
      </c>
    </row>
    <row r="28" spans="1:6" s="356" customFormat="1">
      <c r="A28" s="355" t="s">
        <v>18</v>
      </c>
      <c r="B28" s="355">
        <v>111378</v>
      </c>
    </row>
    <row r="29" spans="1:6">
      <c r="A29" s="355" t="s">
        <v>884</v>
      </c>
      <c r="B29" s="355">
        <v>225</v>
      </c>
      <c r="C29" s="356"/>
      <c r="D29" s="356"/>
      <c r="E29" s="356"/>
      <c r="F29" s="356"/>
    </row>
    <row r="30" spans="1:6">
      <c r="A30" s="355" t="s">
        <v>885</v>
      </c>
      <c r="B30" s="341">
        <v>46</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75171.150695000004</v>
      </c>
      <c r="E38" s="334">
        <v>3</v>
      </c>
      <c r="F38" s="334">
        <v>21826.782423000001</v>
      </c>
    </row>
    <row r="39" spans="1:6">
      <c r="A39" s="348" t="s">
        <v>30</v>
      </c>
      <c r="B39" s="348" t="s">
        <v>31</v>
      </c>
      <c r="C39" s="334">
        <v>4378</v>
      </c>
      <c r="D39" s="334">
        <v>77119085.797999993</v>
      </c>
      <c r="E39" s="334">
        <v>5716</v>
      </c>
      <c r="F39" s="334">
        <v>23633270.592999998</v>
      </c>
    </row>
    <row r="40" spans="1:6">
      <c r="A40" s="348" t="s">
        <v>30</v>
      </c>
      <c r="B40" s="348" t="s">
        <v>29</v>
      </c>
      <c r="C40" s="334">
        <v>0</v>
      </c>
      <c r="D40" s="334">
        <v>0</v>
      </c>
      <c r="E40" s="334">
        <v>0</v>
      </c>
      <c r="F40" s="334">
        <v>0</v>
      </c>
    </row>
    <row r="41" spans="1:6">
      <c r="A41" s="348" t="s">
        <v>32</v>
      </c>
      <c r="B41" s="348" t="s">
        <v>33</v>
      </c>
      <c r="C41" s="334">
        <v>66</v>
      </c>
      <c r="D41" s="334">
        <v>2386686.5817</v>
      </c>
      <c r="E41" s="334">
        <v>172</v>
      </c>
      <c r="F41" s="334">
        <v>8387070.9046999998</v>
      </c>
    </row>
    <row r="42" spans="1:6">
      <c r="A42" s="348" t="s">
        <v>32</v>
      </c>
      <c r="B42" s="348" t="s">
        <v>34</v>
      </c>
      <c r="C42" s="334">
        <v>0</v>
      </c>
      <c r="D42" s="334">
        <v>0</v>
      </c>
      <c r="E42" s="334">
        <v>4</v>
      </c>
      <c r="F42" s="334">
        <v>951345.51509999996</v>
      </c>
    </row>
    <row r="43" spans="1:6">
      <c r="A43" s="348" t="s">
        <v>32</v>
      </c>
      <c r="B43" s="348" t="s">
        <v>35</v>
      </c>
      <c r="C43" s="334">
        <v>0</v>
      </c>
      <c r="D43" s="334">
        <v>0</v>
      </c>
      <c r="E43" s="334">
        <v>0</v>
      </c>
      <c r="F43" s="334">
        <v>0</v>
      </c>
    </row>
    <row r="44" spans="1:6">
      <c r="A44" s="348" t="s">
        <v>32</v>
      </c>
      <c r="B44" s="348" t="s">
        <v>36</v>
      </c>
      <c r="C44" s="334">
        <v>3</v>
      </c>
      <c r="D44" s="334">
        <v>755870.11516000004</v>
      </c>
      <c r="E44" s="334">
        <v>25</v>
      </c>
      <c r="F44" s="334">
        <v>6979490.6119999997</v>
      </c>
    </row>
    <row r="45" spans="1:6">
      <c r="A45" s="348" t="s">
        <v>32</v>
      </c>
      <c r="B45" s="348" t="s">
        <v>37</v>
      </c>
      <c r="C45" s="334">
        <v>0</v>
      </c>
      <c r="D45" s="334">
        <v>0</v>
      </c>
      <c r="E45" s="334">
        <v>3</v>
      </c>
      <c r="F45" s="334">
        <v>1112135.9989</v>
      </c>
    </row>
    <row r="46" spans="1:6">
      <c r="A46" s="348" t="s">
        <v>32</v>
      </c>
      <c r="B46" s="348" t="s">
        <v>38</v>
      </c>
      <c r="C46" s="334">
        <v>0</v>
      </c>
      <c r="D46" s="334">
        <v>0</v>
      </c>
      <c r="E46" s="334">
        <v>0</v>
      </c>
      <c r="F46" s="334">
        <v>0</v>
      </c>
    </row>
    <row r="47" spans="1:6">
      <c r="A47" s="348" t="s">
        <v>32</v>
      </c>
      <c r="B47" s="348" t="s">
        <v>39</v>
      </c>
      <c r="C47" s="334">
        <v>3</v>
      </c>
      <c r="D47" s="334">
        <v>63567.531029999998</v>
      </c>
      <c r="E47" s="334">
        <v>3</v>
      </c>
      <c r="F47" s="334">
        <v>38981.981044</v>
      </c>
    </row>
    <row r="48" spans="1:6">
      <c r="A48" s="348" t="s">
        <v>32</v>
      </c>
      <c r="B48" s="348" t="s">
        <v>29</v>
      </c>
      <c r="C48" s="334">
        <v>41</v>
      </c>
      <c r="D48" s="334">
        <v>39657660.850000001</v>
      </c>
      <c r="E48" s="334">
        <v>44</v>
      </c>
      <c r="F48" s="334">
        <v>13725765.791999999</v>
      </c>
    </row>
    <row r="49" spans="1:6">
      <c r="A49" s="348" t="s">
        <v>32</v>
      </c>
      <c r="B49" s="348" t="s">
        <v>40</v>
      </c>
      <c r="C49" s="334">
        <v>0</v>
      </c>
      <c r="D49" s="334">
        <v>0</v>
      </c>
      <c r="E49" s="334">
        <v>0</v>
      </c>
      <c r="F49" s="334">
        <v>0</v>
      </c>
    </row>
    <row r="50" spans="1:6">
      <c r="A50" s="348" t="s">
        <v>32</v>
      </c>
      <c r="B50" s="348" t="s">
        <v>41</v>
      </c>
      <c r="C50" s="334">
        <v>18</v>
      </c>
      <c r="D50" s="334">
        <v>2330481.1189000001</v>
      </c>
      <c r="E50" s="334">
        <v>17</v>
      </c>
      <c r="F50" s="334">
        <v>11609710.812999999</v>
      </c>
    </row>
    <row r="51" spans="1:6">
      <c r="A51" s="348" t="s">
        <v>42</v>
      </c>
      <c r="B51" s="348" t="s">
        <v>43</v>
      </c>
      <c r="C51" s="334">
        <v>3</v>
      </c>
      <c r="D51" s="334">
        <v>55570.757722000002</v>
      </c>
      <c r="E51" s="334">
        <v>71</v>
      </c>
      <c r="F51" s="334">
        <v>1204494.6521999999</v>
      </c>
    </row>
    <row r="52" spans="1:6">
      <c r="A52" s="348" t="s">
        <v>42</v>
      </c>
      <c r="B52" s="348" t="s">
        <v>29</v>
      </c>
      <c r="C52" s="334">
        <v>4</v>
      </c>
      <c r="D52" s="334">
        <v>5221563.0462999996</v>
      </c>
      <c r="E52" s="334">
        <v>9</v>
      </c>
      <c r="F52" s="334">
        <v>146864.20176</v>
      </c>
    </row>
    <row r="53" spans="1:6">
      <c r="A53" s="348" t="s">
        <v>44</v>
      </c>
      <c r="B53" s="348" t="s">
        <v>45</v>
      </c>
      <c r="C53" s="334">
        <v>93</v>
      </c>
      <c r="D53" s="334">
        <v>1605653.6370999999</v>
      </c>
      <c r="E53" s="334">
        <v>243</v>
      </c>
      <c r="F53" s="334">
        <v>1819369.2823999999</v>
      </c>
    </row>
    <row r="54" spans="1:6">
      <c r="A54" s="348" t="s">
        <v>46</v>
      </c>
      <c r="B54" s="348" t="s">
        <v>47</v>
      </c>
      <c r="C54" s="334">
        <v>0</v>
      </c>
      <c r="D54" s="334">
        <v>0</v>
      </c>
      <c r="E54" s="334">
        <v>1</v>
      </c>
      <c r="F54" s="334">
        <v>539967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33</v>
      </c>
      <c r="D57" s="334">
        <v>1897215.0867000001</v>
      </c>
      <c r="E57" s="334">
        <v>81</v>
      </c>
      <c r="F57" s="334">
        <v>2494034.8604000001</v>
      </c>
    </row>
    <row r="58" spans="1:6">
      <c r="A58" s="348" t="s">
        <v>49</v>
      </c>
      <c r="B58" s="348" t="s">
        <v>51</v>
      </c>
      <c r="C58" s="334">
        <v>34</v>
      </c>
      <c r="D58" s="334">
        <v>11145322.711999999</v>
      </c>
      <c r="E58" s="334">
        <v>48</v>
      </c>
      <c r="F58" s="334">
        <v>1493657.5545000001</v>
      </c>
    </row>
    <row r="59" spans="1:6">
      <c r="A59" s="348" t="s">
        <v>49</v>
      </c>
      <c r="B59" s="348" t="s">
        <v>52</v>
      </c>
      <c r="C59" s="334">
        <v>98</v>
      </c>
      <c r="D59" s="334">
        <v>3857287.5488999998</v>
      </c>
      <c r="E59" s="334">
        <v>184</v>
      </c>
      <c r="F59" s="334">
        <v>6602607.2676999997</v>
      </c>
    </row>
    <row r="60" spans="1:6">
      <c r="A60" s="348" t="s">
        <v>49</v>
      </c>
      <c r="B60" s="348" t="s">
        <v>53</v>
      </c>
      <c r="C60" s="334">
        <v>59</v>
      </c>
      <c r="D60" s="334">
        <v>2812734.0773999998</v>
      </c>
      <c r="E60" s="334">
        <v>80</v>
      </c>
      <c r="F60" s="334">
        <v>3020786.1446000002</v>
      </c>
    </row>
    <row r="61" spans="1:6">
      <c r="A61" s="348" t="s">
        <v>49</v>
      </c>
      <c r="B61" s="348" t="s">
        <v>54</v>
      </c>
      <c r="C61" s="334">
        <v>179</v>
      </c>
      <c r="D61" s="334">
        <v>7957248.6144000003</v>
      </c>
      <c r="E61" s="334">
        <v>258</v>
      </c>
      <c r="F61" s="334">
        <v>3211710.5926000001</v>
      </c>
    </row>
    <row r="62" spans="1:6">
      <c r="A62" s="348" t="s">
        <v>49</v>
      </c>
      <c r="B62" s="348" t="s">
        <v>55</v>
      </c>
      <c r="C62" s="334">
        <v>24</v>
      </c>
      <c r="D62" s="334">
        <v>6322023.3932999996</v>
      </c>
      <c r="E62" s="334">
        <v>23</v>
      </c>
      <c r="F62" s="334">
        <v>1629499.1806000001</v>
      </c>
    </row>
    <row r="63" spans="1:6">
      <c r="A63" s="348" t="s">
        <v>49</v>
      </c>
      <c r="B63" s="348" t="s">
        <v>29</v>
      </c>
      <c r="C63" s="334">
        <v>107</v>
      </c>
      <c r="D63" s="334">
        <v>8564394.3564999998</v>
      </c>
      <c r="E63" s="334">
        <v>95</v>
      </c>
      <c r="F63" s="334">
        <v>1795812.3924</v>
      </c>
    </row>
    <row r="64" spans="1:6">
      <c r="A64" s="348" t="s">
        <v>56</v>
      </c>
      <c r="B64" s="348" t="s">
        <v>57</v>
      </c>
      <c r="C64" s="334">
        <v>0</v>
      </c>
      <c r="D64" s="334">
        <v>0</v>
      </c>
      <c r="E64" s="334">
        <v>0</v>
      </c>
      <c r="F64" s="334">
        <v>0</v>
      </c>
    </row>
    <row r="65" spans="1:6">
      <c r="A65" s="348" t="s">
        <v>56</v>
      </c>
      <c r="B65" s="348" t="s">
        <v>29</v>
      </c>
      <c r="C65" s="334">
        <v>3</v>
      </c>
      <c r="D65" s="334">
        <v>56745.110956999997</v>
      </c>
      <c r="E65" s="334">
        <v>3</v>
      </c>
      <c r="F65" s="334">
        <v>206871.51094000001</v>
      </c>
    </row>
    <row r="66" spans="1:6">
      <c r="A66" s="348" t="s">
        <v>56</v>
      </c>
      <c r="B66" s="348" t="s">
        <v>58</v>
      </c>
      <c r="C66" s="334">
        <v>0</v>
      </c>
      <c r="D66" s="334">
        <v>0</v>
      </c>
      <c r="E66" s="334">
        <v>14</v>
      </c>
      <c r="F66" s="334">
        <v>416106.55511000002</v>
      </c>
    </row>
    <row r="67" spans="1:6">
      <c r="A67" s="355" t="s">
        <v>56</v>
      </c>
      <c r="B67" s="355" t="s">
        <v>59</v>
      </c>
      <c r="C67" s="334">
        <v>0</v>
      </c>
      <c r="D67" s="334">
        <v>0</v>
      </c>
      <c r="E67" s="334">
        <v>0</v>
      </c>
      <c r="F67" s="334">
        <v>0</v>
      </c>
    </row>
    <row r="68" spans="1:6">
      <c r="A68" s="341" t="s">
        <v>56</v>
      </c>
      <c r="B68" s="341" t="s">
        <v>60</v>
      </c>
      <c r="C68" s="334">
        <v>6</v>
      </c>
      <c r="D68" s="334">
        <v>336605.54713999998</v>
      </c>
      <c r="E68" s="334">
        <v>17</v>
      </c>
      <c r="F68" s="334">
        <v>232632.99557</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90331075</v>
      </c>
      <c r="E73" s="475">
        <v>92638240.079691842</v>
      </c>
    </row>
    <row r="74" spans="1:6">
      <c r="A74" s="348" t="s">
        <v>64</v>
      </c>
      <c r="B74" s="348" t="s">
        <v>667</v>
      </c>
      <c r="C74" s="1294" t="s">
        <v>669</v>
      </c>
      <c r="D74" s="475">
        <v>8170737.7040692903</v>
      </c>
      <c r="E74" s="475">
        <v>8363323.5372042321</v>
      </c>
    </row>
    <row r="75" spans="1:6">
      <c r="A75" s="348" t="s">
        <v>65</v>
      </c>
      <c r="B75" s="348" t="s">
        <v>666</v>
      </c>
      <c r="C75" s="1294" t="s">
        <v>670</v>
      </c>
      <c r="D75" s="475">
        <v>10817386</v>
      </c>
      <c r="E75" s="475">
        <v>11083963.166266575</v>
      </c>
    </row>
    <row r="76" spans="1:6">
      <c r="A76" s="348" t="s">
        <v>65</v>
      </c>
      <c r="B76" s="348" t="s">
        <v>667</v>
      </c>
      <c r="C76" s="1294" t="s">
        <v>671</v>
      </c>
      <c r="D76" s="475">
        <v>204150.70406928996</v>
      </c>
      <c r="E76" s="475">
        <v>218635.43613237061</v>
      </c>
    </row>
    <row r="77" spans="1:6">
      <c r="A77" s="348" t="s">
        <v>66</v>
      </c>
      <c r="B77" s="348" t="s">
        <v>666</v>
      </c>
      <c r="C77" s="1294" t="s">
        <v>672</v>
      </c>
      <c r="D77" s="475">
        <v>5146302</v>
      </c>
      <c r="E77" s="475">
        <v>5268255.3740212806</v>
      </c>
    </row>
    <row r="78" spans="1:6">
      <c r="A78" s="341" t="s">
        <v>66</v>
      </c>
      <c r="B78" s="341" t="s">
        <v>667</v>
      </c>
      <c r="C78" s="341" t="s">
        <v>673</v>
      </c>
      <c r="D78" s="1295">
        <v>1248592</v>
      </c>
      <c r="E78" s="1295">
        <v>1236116.9943560921</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780322.59186142008</v>
      </c>
      <c r="C83" s="475">
        <v>780322.59186142008</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3245.5594775766008</v>
      </c>
    </row>
    <row r="92" spans="1:6">
      <c r="A92" s="341" t="s">
        <v>69</v>
      </c>
      <c r="B92" s="342">
        <v>4875.2026615276236</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3064</v>
      </c>
    </row>
    <row r="98" spans="1:6">
      <c r="A98" s="348" t="s">
        <v>72</v>
      </c>
      <c r="B98" s="334">
        <v>2</v>
      </c>
    </row>
    <row r="99" spans="1:6">
      <c r="A99" s="348" t="s">
        <v>73</v>
      </c>
      <c r="B99" s="334">
        <v>56</v>
      </c>
    </row>
    <row r="100" spans="1:6">
      <c r="A100" s="348" t="s">
        <v>74</v>
      </c>
      <c r="B100" s="334">
        <v>513</v>
      </c>
    </row>
    <row r="101" spans="1:6">
      <c r="A101" s="348" t="s">
        <v>75</v>
      </c>
      <c r="B101" s="334">
        <v>115</v>
      </c>
    </row>
    <row r="102" spans="1:6">
      <c r="A102" s="348" t="s">
        <v>76</v>
      </c>
      <c r="B102" s="334">
        <v>55</v>
      </c>
    </row>
    <row r="103" spans="1:6">
      <c r="A103" s="348" t="s">
        <v>77</v>
      </c>
      <c r="B103" s="334">
        <v>102</v>
      </c>
    </row>
    <row r="104" spans="1:6">
      <c r="A104" s="348" t="s">
        <v>78</v>
      </c>
      <c r="B104" s="334">
        <v>1072</v>
      </c>
    </row>
    <row r="105" spans="1:6">
      <c r="A105" s="341" t="s">
        <v>79</v>
      </c>
      <c r="B105" s="341">
        <v>5</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2</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1</v>
      </c>
      <c r="C122" s="334">
        <v>0</v>
      </c>
    </row>
    <row r="123" spans="1:6">
      <c r="A123" s="348" t="s">
        <v>88</v>
      </c>
      <c r="B123" s="334">
        <v>26</v>
      </c>
      <c r="C123" s="334">
        <v>16</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103</v>
      </c>
    </row>
    <row r="130" spans="1:6">
      <c r="A130" s="348" t="s">
        <v>295</v>
      </c>
      <c r="B130" s="334">
        <v>3</v>
      </c>
    </row>
    <row r="131" spans="1:6">
      <c r="A131" s="348" t="s">
        <v>296</v>
      </c>
      <c r="B131" s="334">
        <v>3</v>
      </c>
    </row>
    <row r="132" spans="1:6">
      <c r="A132" s="341" t="s">
        <v>297</v>
      </c>
      <c r="B132" s="342">
        <v>17</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109628.54342556671</v>
      </c>
      <c r="C3" s="43" t="s">
        <v>170</v>
      </c>
      <c r="D3" s="43"/>
      <c r="E3" s="154"/>
      <c r="F3" s="43"/>
      <c r="G3" s="43"/>
      <c r="H3" s="43"/>
      <c r="I3" s="43"/>
      <c r="J3" s="43"/>
      <c r="K3" s="96"/>
    </row>
    <row r="4" spans="1:11">
      <c r="A4" s="383" t="s">
        <v>171</v>
      </c>
      <c r="B4" s="49">
        <f>IF(ISERROR('SEAP template'!B78+'SEAP template'!C78),0,'SEAP template'!B78+'SEAP template'!C78)</f>
        <v>41425.262139104227</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0.1374908823315901</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22802.142857142859</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539.96699999999998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539.96699999999998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0.1374908823315901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74.240539259941713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23633.270592999997</v>
      </c>
      <c r="C5" s="17">
        <f>IF(ISERROR('Eigen informatie GS &amp; warmtenet'!B57),0,'Eigen informatie GS &amp; warmtenet'!B57)</f>
        <v>0</v>
      </c>
      <c r="D5" s="30">
        <f>(SUM(HH_hh_gas_kWh,HH_rest_gas_kWh)/1000)*0.902</f>
        <v>69561.415389796006</v>
      </c>
      <c r="E5" s="17">
        <f>B46*B57</f>
        <v>2816.5222377006812</v>
      </c>
      <c r="F5" s="17">
        <f>B51*B62</f>
        <v>0</v>
      </c>
      <c r="G5" s="18"/>
      <c r="H5" s="17"/>
      <c r="I5" s="17"/>
      <c r="J5" s="17">
        <f>B50*B61+C50*C61</f>
        <v>0</v>
      </c>
      <c r="K5" s="17"/>
      <c r="L5" s="17"/>
      <c r="M5" s="17"/>
      <c r="N5" s="17">
        <f>B48*B59+C48*C59</f>
        <v>16426.741560637794</v>
      </c>
      <c r="O5" s="17">
        <f>B69*B70*B71</f>
        <v>186.03666666666666</v>
      </c>
      <c r="P5" s="17">
        <f>B77*B78*B79/1000-B77*B78*B79/1000/B80</f>
        <v>819.86666666666667</v>
      </c>
    </row>
    <row r="6" spans="1:16">
      <c r="A6" s="16" t="s">
        <v>624</v>
      </c>
      <c r="B6" s="788">
        <f>kWh_PV_kleiner_dan_10kW</f>
        <v>3245.5594775766008</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26878.830070576598</v>
      </c>
      <c r="C8" s="21">
        <f>C5</f>
        <v>0</v>
      </c>
      <c r="D8" s="21">
        <f>D5</f>
        <v>69561.415389796006</v>
      </c>
      <c r="E8" s="21">
        <f>E5</f>
        <v>2816.5222377006812</v>
      </c>
      <c r="F8" s="21">
        <f>F5</f>
        <v>0</v>
      </c>
      <c r="G8" s="21"/>
      <c r="H8" s="21"/>
      <c r="I8" s="21"/>
      <c r="J8" s="21">
        <f>J5</f>
        <v>0</v>
      </c>
      <c r="K8" s="21"/>
      <c r="L8" s="21">
        <f>L5</f>
        <v>0</v>
      </c>
      <c r="M8" s="21">
        <f>M5</f>
        <v>0</v>
      </c>
      <c r="N8" s="21">
        <f>N5</f>
        <v>16426.741560637794</v>
      </c>
      <c r="O8" s="21">
        <f>O5</f>
        <v>186.03666666666666</v>
      </c>
      <c r="P8" s="21">
        <f>P5</f>
        <v>819.86666666666667</v>
      </c>
    </row>
    <row r="9" spans="1:16">
      <c r="B9" s="19"/>
      <c r="C9" s="19"/>
      <c r="D9" s="258"/>
      <c r="E9" s="19"/>
      <c r="F9" s="19"/>
      <c r="G9" s="19"/>
      <c r="H9" s="19"/>
      <c r="I9" s="19"/>
      <c r="J9" s="19"/>
      <c r="K9" s="19"/>
      <c r="L9" s="19"/>
      <c r="M9" s="19"/>
      <c r="N9" s="19"/>
      <c r="O9" s="19"/>
      <c r="P9" s="19"/>
    </row>
    <row r="10" spans="1:16">
      <c r="A10" s="24" t="s">
        <v>214</v>
      </c>
      <c r="B10" s="25">
        <f ca="1">'EF ele_warmte'!B12</f>
        <v>0.1374908823315901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3695.5940624444524</v>
      </c>
      <c r="C12" s="23">
        <f ca="1">C10*C8</f>
        <v>0</v>
      </c>
      <c r="D12" s="23">
        <f>D8*D10</f>
        <v>14051.405908738794</v>
      </c>
      <c r="E12" s="23">
        <f>E10*E8</f>
        <v>639.35054795805468</v>
      </c>
      <c r="F12" s="23">
        <f>F10*F8</f>
        <v>0</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3064</v>
      </c>
      <c r="C18" s="166" t="s">
        <v>111</v>
      </c>
      <c r="D18" s="228"/>
      <c r="E18" s="15"/>
    </row>
    <row r="19" spans="1:7">
      <c r="A19" s="171" t="s">
        <v>72</v>
      </c>
      <c r="B19" s="37">
        <f>aantalw2001_ander</f>
        <v>2</v>
      </c>
      <c r="C19" s="166" t="s">
        <v>111</v>
      </c>
      <c r="D19" s="229"/>
      <c r="E19" s="15"/>
    </row>
    <row r="20" spans="1:7">
      <c r="A20" s="171" t="s">
        <v>73</v>
      </c>
      <c r="B20" s="37">
        <f>aantalw2001_propaan</f>
        <v>56</v>
      </c>
      <c r="C20" s="167">
        <f>IF(ISERROR(B20/SUM($B$20,$B$21,$B$22)*100),0,B20/SUM($B$20,$B$21,$B$22)*100)</f>
        <v>8.1871345029239766</v>
      </c>
      <c r="D20" s="229"/>
      <c r="E20" s="15"/>
    </row>
    <row r="21" spans="1:7">
      <c r="A21" s="171" t="s">
        <v>74</v>
      </c>
      <c r="B21" s="37">
        <f>aantalw2001_elektriciteit</f>
        <v>513</v>
      </c>
      <c r="C21" s="167">
        <f>IF(ISERROR(B21/SUM($B$20,$B$21,$B$22)*100),0,B21/SUM($B$20,$B$21,$B$22)*100)</f>
        <v>75</v>
      </c>
      <c r="D21" s="229"/>
      <c r="E21" s="15"/>
    </row>
    <row r="22" spans="1:7">
      <c r="A22" s="171" t="s">
        <v>75</v>
      </c>
      <c r="B22" s="37">
        <f>aantalw2001_hout</f>
        <v>115</v>
      </c>
      <c r="C22" s="167">
        <f>IF(ISERROR(B22/SUM($B$20,$B$21,$B$22)*100),0,B22/SUM($B$20,$B$21,$B$22)*100)</f>
        <v>16.812865497076025</v>
      </c>
      <c r="D22" s="229"/>
      <c r="E22" s="15"/>
    </row>
    <row r="23" spans="1:7">
      <c r="A23" s="171" t="s">
        <v>76</v>
      </c>
      <c r="B23" s="37">
        <f>aantalw2001_niet_gespec</f>
        <v>55</v>
      </c>
      <c r="C23" s="166" t="s">
        <v>111</v>
      </c>
      <c r="D23" s="228"/>
      <c r="E23" s="15"/>
    </row>
    <row r="24" spans="1:7">
      <c r="A24" s="171" t="s">
        <v>77</v>
      </c>
      <c r="B24" s="37">
        <f>aantalw2001_steenkool</f>
        <v>102</v>
      </c>
      <c r="C24" s="166" t="s">
        <v>111</v>
      </c>
      <c r="D24" s="229"/>
      <c r="E24" s="15"/>
    </row>
    <row r="25" spans="1:7">
      <c r="A25" s="171" t="s">
        <v>78</v>
      </c>
      <c r="B25" s="37">
        <f>aantalw2001_stookolie</f>
        <v>1072</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698</v>
      </c>
      <c r="B28" s="37">
        <f>aantalHuishoudens2011</f>
        <v>5942</v>
      </c>
      <c r="C28" s="36"/>
      <c r="D28" s="228"/>
    </row>
    <row r="29" spans="1:7" s="15" customFormat="1">
      <c r="A29" s="230" t="s">
        <v>699</v>
      </c>
      <c r="B29" s="37">
        <f>SUM(HH_hh_gas_aantal,HH_rest_gas_aantal)</f>
        <v>4378</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4378</v>
      </c>
      <c r="C32" s="167">
        <f>IF(ISERROR(B32/SUM($B$32,$B$34,$B$35,$B$36,$B$38,$B$39)*100),0,B32/SUM($B$32,$B$34,$B$35,$B$36,$B$38,$B$39)*100)</f>
        <v>74.215968808272592</v>
      </c>
      <c r="D32" s="233"/>
      <c r="G32" s="15"/>
    </row>
    <row r="33" spans="1:7">
      <c r="A33" s="171" t="s">
        <v>72</v>
      </c>
      <c r="B33" s="34" t="s">
        <v>111</v>
      </c>
      <c r="C33" s="167"/>
      <c r="D33" s="233"/>
      <c r="G33" s="15"/>
    </row>
    <row r="34" spans="1:7">
      <c r="A34" s="171" t="s">
        <v>73</v>
      </c>
      <c r="B34" s="33">
        <f>IF((($B$28-$B$32-$B$39-$B$77-$B$38)*C20/100)&lt;0,0,($B$28-$B$32-$B$39-$B$77-$B$38)*C20/100)</f>
        <v>124.52631578947368</v>
      </c>
      <c r="C34" s="167">
        <f>IF(ISERROR(B34/SUM($B$32,$B$34,$B$35,$B$36,$B$38,$B$39)*100),0,B34/SUM($B$32,$B$34,$B$35,$B$36,$B$38,$B$39)*100)</f>
        <v>2.110973313942595</v>
      </c>
      <c r="D34" s="233"/>
      <c r="G34" s="15"/>
    </row>
    <row r="35" spans="1:7">
      <c r="A35" s="171" t="s">
        <v>74</v>
      </c>
      <c r="B35" s="33">
        <f>IF((($B$28-$B$32-$B$39-$B$77-$B$38)*C21/100)&lt;0,0,($B$28-$B$32-$B$39-$B$77-$B$38)*C21/100)</f>
        <v>1140.75</v>
      </c>
      <c r="C35" s="167">
        <f>IF(ISERROR(B35/SUM($B$32,$B$34,$B$35,$B$36,$B$38,$B$39)*100),0,B35/SUM($B$32,$B$34,$B$35,$B$36,$B$38,$B$39)*100)</f>
        <v>19.338023393795559</v>
      </c>
      <c r="D35" s="233"/>
      <c r="G35" s="15"/>
    </row>
    <row r="36" spans="1:7">
      <c r="A36" s="171" t="s">
        <v>75</v>
      </c>
      <c r="B36" s="33">
        <f>IF((($B$28-$B$32-$B$39-$B$77-$B$38)*C22/100)&lt;0,0,($B$28-$B$32-$B$39-$B$77-$B$38)*C22/100)</f>
        <v>255.72368421052633</v>
      </c>
      <c r="C36" s="167">
        <f>IF(ISERROR(B36/SUM($B$32,$B$34,$B$35,$B$36,$B$38,$B$39)*100),0,B36/SUM($B$32,$B$34,$B$35,$B$36,$B$38,$B$39)*100)</f>
        <v>4.3350344839892578</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4378</v>
      </c>
      <c r="C44" s="34" t="s">
        <v>111</v>
      </c>
      <c r="D44" s="174"/>
    </row>
    <row r="45" spans="1:7">
      <c r="A45" s="171" t="s">
        <v>72</v>
      </c>
      <c r="B45" s="33" t="str">
        <f t="shared" si="0"/>
        <v>-</v>
      </c>
      <c r="C45" s="34" t="s">
        <v>111</v>
      </c>
      <c r="D45" s="174"/>
    </row>
    <row r="46" spans="1:7">
      <c r="A46" s="171" t="s">
        <v>73</v>
      </c>
      <c r="B46" s="33">
        <f t="shared" si="0"/>
        <v>124.52631578947368</v>
      </c>
      <c r="C46" s="34" t="s">
        <v>111</v>
      </c>
      <c r="D46" s="174"/>
    </row>
    <row r="47" spans="1:7">
      <c r="A47" s="171" t="s">
        <v>74</v>
      </c>
      <c r="B47" s="33">
        <f t="shared" si="0"/>
        <v>1140.75</v>
      </c>
      <c r="C47" s="34" t="s">
        <v>111</v>
      </c>
      <c r="D47" s="174"/>
    </row>
    <row r="48" spans="1:7">
      <c r="A48" s="171" t="s">
        <v>75</v>
      </c>
      <c r="B48" s="33">
        <f t="shared" si="0"/>
        <v>255.72368421052633</v>
      </c>
      <c r="C48" s="33">
        <f>B48*10</f>
        <v>2557.2368421052633</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119</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43</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20248.1079928</v>
      </c>
      <c r="C5" s="17">
        <f>IF(ISERROR('Eigen informatie GS &amp; warmtenet'!B58),0,'Eigen informatie GS &amp; warmtenet'!B58)</f>
        <v>0</v>
      </c>
      <c r="D5" s="30">
        <f>SUM(D6:D12)</f>
        <v>38385.715661858398</v>
      </c>
      <c r="E5" s="17">
        <f>SUM(E6:E12)</f>
        <v>388.83261844653913</v>
      </c>
      <c r="F5" s="17">
        <f>SUM(F6:F12)</f>
        <v>5489.5877863298847</v>
      </c>
      <c r="G5" s="18"/>
      <c r="H5" s="17"/>
      <c r="I5" s="17"/>
      <c r="J5" s="17">
        <f>SUM(J6:J12)</f>
        <v>0</v>
      </c>
      <c r="K5" s="17"/>
      <c r="L5" s="17"/>
      <c r="M5" s="17"/>
      <c r="N5" s="17">
        <f>SUM(N6:N12)</f>
        <v>2156.298492177355</v>
      </c>
      <c r="O5" s="17">
        <f>B38*B39*B40</f>
        <v>4.6900000000000004</v>
      </c>
      <c r="P5" s="17">
        <f>B46*B47*B48/1000-B46*B47*B48/1000/B49</f>
        <v>76.266666666666666</v>
      </c>
      <c r="R5" s="32"/>
    </row>
    <row r="6" spans="1:18">
      <c r="A6" s="32" t="s">
        <v>54</v>
      </c>
      <c r="B6" s="37">
        <f>B26</f>
        <v>3211.7105925999999</v>
      </c>
      <c r="C6" s="33"/>
      <c r="D6" s="37">
        <f>IF(ISERROR(TER_kantoor_gas_kWh/1000),0,TER_kantoor_gas_kWh/1000)*0.902</f>
        <v>7177.4382501888003</v>
      </c>
      <c r="E6" s="33">
        <f>$C$26*'E Balans VL '!I12/100/3.6*1000000</f>
        <v>42.045247910911364</v>
      </c>
      <c r="F6" s="33">
        <f>$C$26*('E Balans VL '!L12+'E Balans VL '!N12)/100/3.6*1000000</f>
        <v>818.95301253549201</v>
      </c>
      <c r="G6" s="34"/>
      <c r="H6" s="33"/>
      <c r="I6" s="33"/>
      <c r="J6" s="33">
        <f>$C$26*('E Balans VL '!D12+'E Balans VL '!E12)/100/3.6*1000000</f>
        <v>0</v>
      </c>
      <c r="K6" s="33"/>
      <c r="L6" s="33"/>
      <c r="M6" s="33"/>
      <c r="N6" s="33">
        <f>$C$26*'E Balans VL '!Y12/100/3.6*1000000</f>
        <v>3.222525855992338</v>
      </c>
      <c r="O6" s="33"/>
      <c r="P6" s="33"/>
      <c r="R6" s="32"/>
    </row>
    <row r="7" spans="1:18">
      <c r="A7" s="32" t="s">
        <v>53</v>
      </c>
      <c r="B7" s="37">
        <f t="shared" ref="B7:B12" si="0">B27</f>
        <v>3020.7861446000002</v>
      </c>
      <c r="C7" s="33"/>
      <c r="D7" s="37">
        <f>IF(ISERROR(TER_horeca_gas_kWh/1000),0,TER_horeca_gas_kWh/1000)*0.902</f>
        <v>2537.0861378148002</v>
      </c>
      <c r="E7" s="33">
        <f>$C$27*'E Balans VL '!I9/100/3.6*1000000</f>
        <v>99.969646560543197</v>
      </c>
      <c r="F7" s="33">
        <f>$C$27*('E Balans VL '!L9+'E Balans VL '!N9)/100/3.6*1000000</f>
        <v>1298.9264651231854</v>
      </c>
      <c r="G7" s="34"/>
      <c r="H7" s="33"/>
      <c r="I7" s="33"/>
      <c r="J7" s="33">
        <f>$C$27*('E Balans VL '!D9+'E Balans VL '!E9)/100/3.6*1000000</f>
        <v>0</v>
      </c>
      <c r="K7" s="33"/>
      <c r="L7" s="33"/>
      <c r="M7" s="33"/>
      <c r="N7" s="33">
        <f>$C$27*'E Balans VL '!Y9/100/3.6*1000000</f>
        <v>0.72714709163400204</v>
      </c>
      <c r="O7" s="33"/>
      <c r="P7" s="33"/>
      <c r="R7" s="32"/>
    </row>
    <row r="8" spans="1:18">
      <c r="A8" s="6" t="s">
        <v>52</v>
      </c>
      <c r="B8" s="37">
        <f t="shared" si="0"/>
        <v>6602.6072676999993</v>
      </c>
      <c r="C8" s="33"/>
      <c r="D8" s="37">
        <f>IF(ISERROR(TER_handel_gas_kWh/1000),0,TER_handel_gas_kWh/1000)*0.902</f>
        <v>3479.2733691078001</v>
      </c>
      <c r="E8" s="33">
        <f>$C$28*'E Balans VL '!I13/100/3.6*1000000</f>
        <v>208.38837385221734</v>
      </c>
      <c r="F8" s="33">
        <f>$C$28*('E Balans VL '!L13+'E Balans VL '!N13)/100/3.6*1000000</f>
        <v>1294.8875498916013</v>
      </c>
      <c r="G8" s="34"/>
      <c r="H8" s="33"/>
      <c r="I8" s="33"/>
      <c r="J8" s="33">
        <f>$C$28*('E Balans VL '!D13+'E Balans VL '!E13)/100/3.6*1000000</f>
        <v>0</v>
      </c>
      <c r="K8" s="33"/>
      <c r="L8" s="33"/>
      <c r="M8" s="33"/>
      <c r="N8" s="33">
        <f>$C$28*'E Balans VL '!Y13/100/3.6*1000000</f>
        <v>7.8360129462958357</v>
      </c>
      <c r="O8" s="33"/>
      <c r="P8" s="33"/>
      <c r="R8" s="32"/>
    </row>
    <row r="9" spans="1:18">
      <c r="A9" s="32" t="s">
        <v>51</v>
      </c>
      <c r="B9" s="37">
        <f t="shared" si="0"/>
        <v>1493.6575545000001</v>
      </c>
      <c r="C9" s="33"/>
      <c r="D9" s="37">
        <f>IF(ISERROR(TER_gezond_gas_kWh/1000),0,TER_gezond_gas_kWh/1000)*0.902</f>
        <v>10053.081086224</v>
      </c>
      <c r="E9" s="33">
        <f>$C$29*'E Balans VL '!I10/100/3.6*1000000</f>
        <v>0.19123186295822495</v>
      </c>
      <c r="F9" s="33">
        <f>$C$29*('E Balans VL '!L10+'E Balans VL '!N10)/100/3.6*1000000</f>
        <v>311.19147352778623</v>
      </c>
      <c r="G9" s="34"/>
      <c r="H9" s="33"/>
      <c r="I9" s="33"/>
      <c r="J9" s="33">
        <f>$C$29*('E Balans VL '!D10+'E Balans VL '!E10)/100/3.6*1000000</f>
        <v>0</v>
      </c>
      <c r="K9" s="33"/>
      <c r="L9" s="33"/>
      <c r="M9" s="33"/>
      <c r="N9" s="33">
        <f>$C$29*'E Balans VL '!Y10/100/3.6*1000000</f>
        <v>17.54371397297702</v>
      </c>
      <c r="O9" s="33"/>
      <c r="P9" s="33"/>
      <c r="R9" s="32"/>
    </row>
    <row r="10" spans="1:18">
      <c r="A10" s="32" t="s">
        <v>50</v>
      </c>
      <c r="B10" s="37">
        <f t="shared" si="0"/>
        <v>2494.0348604000001</v>
      </c>
      <c r="C10" s="33"/>
      <c r="D10" s="37">
        <f>IF(ISERROR(TER_ander_gas_kWh/1000),0,TER_ander_gas_kWh/1000)*0.902</f>
        <v>1711.2880082034001</v>
      </c>
      <c r="E10" s="33">
        <f>$C$30*'E Balans VL '!I14/100/3.6*1000000</f>
        <v>3.7504419188673603</v>
      </c>
      <c r="F10" s="33">
        <f>$C$30*('E Balans VL '!L14+'E Balans VL '!N14)/100/3.6*1000000</f>
        <v>550.60250296772222</v>
      </c>
      <c r="G10" s="34"/>
      <c r="H10" s="33"/>
      <c r="I10" s="33"/>
      <c r="J10" s="33">
        <f>$C$30*('E Balans VL '!D14+'E Balans VL '!E14)/100/3.6*1000000</f>
        <v>0</v>
      </c>
      <c r="K10" s="33"/>
      <c r="L10" s="33"/>
      <c r="M10" s="33"/>
      <c r="N10" s="33">
        <f>$C$30*'E Balans VL '!Y14/100/3.6*1000000</f>
        <v>1965.4673122130234</v>
      </c>
      <c r="O10" s="33"/>
      <c r="P10" s="33"/>
      <c r="R10" s="32"/>
    </row>
    <row r="11" spans="1:18">
      <c r="A11" s="32" t="s">
        <v>55</v>
      </c>
      <c r="B11" s="37">
        <f t="shared" si="0"/>
        <v>1629.4991806</v>
      </c>
      <c r="C11" s="33"/>
      <c r="D11" s="37">
        <f>IF(ISERROR(TER_onderwijs_gas_kWh/1000),0,TER_onderwijs_gas_kWh/1000)*0.902</f>
        <v>5702.4651007565999</v>
      </c>
      <c r="E11" s="33">
        <f>$C$31*'E Balans VL '!I11/100/3.6*1000000</f>
        <v>2.8696846085959242</v>
      </c>
      <c r="F11" s="33">
        <f>$C$31*('E Balans VL '!L11+'E Balans VL '!N11)/100/3.6*1000000</f>
        <v>752.36925742192568</v>
      </c>
      <c r="G11" s="34"/>
      <c r="H11" s="33"/>
      <c r="I11" s="33"/>
      <c r="J11" s="33">
        <f>$C$31*('E Balans VL '!D11+'E Balans VL '!E11)/100/3.6*1000000</f>
        <v>0</v>
      </c>
      <c r="K11" s="33"/>
      <c r="L11" s="33"/>
      <c r="M11" s="33"/>
      <c r="N11" s="33">
        <f>$C$31*'E Balans VL '!Y11/100/3.6*1000000</f>
        <v>3.0357795074413776</v>
      </c>
      <c r="O11" s="33"/>
      <c r="P11" s="33"/>
      <c r="R11" s="32"/>
    </row>
    <row r="12" spans="1:18">
      <c r="A12" s="32" t="s">
        <v>260</v>
      </c>
      <c r="B12" s="37">
        <f t="shared" si="0"/>
        <v>1795.8123923999999</v>
      </c>
      <c r="C12" s="33"/>
      <c r="D12" s="37">
        <f>IF(ISERROR(TER_rest_gas_kWh/1000),0,TER_rest_gas_kWh/1000)*0.902</f>
        <v>7725.0837095629995</v>
      </c>
      <c r="E12" s="33">
        <f>$C$32*'E Balans VL '!I8/100/3.6*1000000</f>
        <v>31.617991732445702</v>
      </c>
      <c r="F12" s="33">
        <f>$C$32*('E Balans VL '!L8+'E Balans VL '!N8)/100/3.6*1000000</f>
        <v>462.65752486217224</v>
      </c>
      <c r="G12" s="34"/>
      <c r="H12" s="33"/>
      <c r="I12" s="33"/>
      <c r="J12" s="33">
        <f>$C$32*('E Balans VL '!D8+'E Balans VL '!E8)/100/3.6*1000000</f>
        <v>0</v>
      </c>
      <c r="K12" s="33"/>
      <c r="L12" s="33"/>
      <c r="M12" s="33"/>
      <c r="N12" s="33">
        <f>$C$32*'E Balans VL '!Y8/100/3.6*1000000</f>
        <v>158.46600058999095</v>
      </c>
      <c r="O12" s="33"/>
      <c r="P12" s="33"/>
      <c r="R12" s="32"/>
    </row>
    <row r="13" spans="1:18">
      <c r="A13" s="16" t="s">
        <v>491</v>
      </c>
      <c r="B13" s="247">
        <f ca="1">'lokale energieproductie'!N91+'lokale energieproductie'!N60</f>
        <v>15961.5</v>
      </c>
      <c r="C13" s="247">
        <f ca="1">'lokale energieproductie'!O91+'lokale energieproductie'!O60</f>
        <v>22802.142857142859</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-45604.285714285717</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36209.607992799996</v>
      </c>
      <c r="C16" s="21">
        <f t="shared" ca="1" si="1"/>
        <v>22802.142857142859</v>
      </c>
      <c r="D16" s="21">
        <f t="shared" ca="1" si="1"/>
        <v>38385.715661858398</v>
      </c>
      <c r="E16" s="21">
        <f t="shared" si="1"/>
        <v>388.83261844653913</v>
      </c>
      <c r="F16" s="21">
        <f t="shared" ca="1" si="1"/>
        <v>5489.5877863298847</v>
      </c>
      <c r="G16" s="21">
        <f t="shared" si="1"/>
        <v>0</v>
      </c>
      <c r="H16" s="21">
        <f t="shared" si="1"/>
        <v>0</v>
      </c>
      <c r="I16" s="21">
        <f t="shared" si="1"/>
        <v>0</v>
      </c>
      <c r="J16" s="21">
        <f t="shared" si="1"/>
        <v>0</v>
      </c>
      <c r="K16" s="21">
        <f t="shared" si="1"/>
        <v>0</v>
      </c>
      <c r="L16" s="21">
        <f t="shared" ca="1" si="1"/>
        <v>0</v>
      </c>
      <c r="M16" s="21">
        <f t="shared" si="1"/>
        <v>0</v>
      </c>
      <c r="N16" s="21">
        <f t="shared" ca="1" si="1"/>
        <v>0</v>
      </c>
      <c r="O16" s="21">
        <f>O5</f>
        <v>4.6900000000000004</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0.1374908823315901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4978.490951811069</v>
      </c>
      <c r="C20" s="23">
        <f t="shared" ref="C20:P20" ca="1" si="2">C16*C18</f>
        <v>0</v>
      </c>
      <c r="D20" s="23">
        <f t="shared" ca="1" si="2"/>
        <v>7753.9145636953972</v>
      </c>
      <c r="E20" s="23">
        <f t="shared" si="2"/>
        <v>88.265004387364385</v>
      </c>
      <c r="F20" s="23">
        <f t="shared" ca="1" si="2"/>
        <v>1465.7199389500793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3211.7105925999999</v>
      </c>
      <c r="C26" s="39">
        <f>IF(ISERROR(B26*3.6/1000000/'E Balans VL '!Z12*100),0,B26*3.6/1000000/'E Balans VL '!Z12*100)</f>
        <v>6.8797335974294119E-2</v>
      </c>
      <c r="D26" s="237" t="s">
        <v>660</v>
      </c>
      <c r="F26" s="6"/>
    </row>
    <row r="27" spans="1:18">
      <c r="A27" s="231" t="s">
        <v>53</v>
      </c>
      <c r="B27" s="33">
        <f>IF(ISERROR(TER_horeca_ele_kWh/1000),0,TER_horeca_ele_kWh/1000)</f>
        <v>3020.7861446000002</v>
      </c>
      <c r="C27" s="39">
        <f>IF(ISERROR(B27*3.6/1000000/'E Balans VL '!Z9*100),0,B27*3.6/1000000/'E Balans VL '!Z9*100)</f>
        <v>0.24240758795868808</v>
      </c>
      <c r="D27" s="237" t="s">
        <v>660</v>
      </c>
      <c r="F27" s="6"/>
    </row>
    <row r="28" spans="1:18">
      <c r="A28" s="171" t="s">
        <v>52</v>
      </c>
      <c r="B28" s="33">
        <f>IF(ISERROR(TER_handel_ele_kWh/1000),0,TER_handel_ele_kWh/1000)</f>
        <v>6602.6072676999993</v>
      </c>
      <c r="C28" s="39">
        <f>IF(ISERROR(B28*3.6/1000000/'E Balans VL '!Z13*100),0,B28*3.6/1000000/'E Balans VL '!Z13*100)</f>
        <v>0.19473904335241571</v>
      </c>
      <c r="D28" s="237" t="s">
        <v>660</v>
      </c>
      <c r="F28" s="6"/>
    </row>
    <row r="29" spans="1:18">
      <c r="A29" s="231" t="s">
        <v>51</v>
      </c>
      <c r="B29" s="33">
        <f>IF(ISERROR(TER_gezond_ele_kWh/1000),0,TER_gezond_ele_kWh/1000)</f>
        <v>1493.6575545000001</v>
      </c>
      <c r="C29" s="39">
        <f>IF(ISERROR(B29*3.6/1000000/'E Balans VL '!Z10*100),0,B29*3.6/1000000/'E Balans VL '!Z10*100)</f>
        <v>0.15948258035983395</v>
      </c>
      <c r="D29" s="237" t="s">
        <v>660</v>
      </c>
      <c r="F29" s="6"/>
    </row>
    <row r="30" spans="1:18">
      <c r="A30" s="231" t="s">
        <v>50</v>
      </c>
      <c r="B30" s="33">
        <f>IF(ISERROR(TER_ander_ele_kWh/1000),0,TER_ander_ele_kWh/1000)</f>
        <v>2494.0348604000001</v>
      </c>
      <c r="C30" s="39">
        <f>IF(ISERROR(B30*3.6/1000000/'E Balans VL '!Z14*100),0,B30*3.6/1000000/'E Balans VL '!Z14*100)</f>
        <v>0.18838424668586434</v>
      </c>
      <c r="D30" s="237" t="s">
        <v>660</v>
      </c>
      <c r="F30" s="6"/>
    </row>
    <row r="31" spans="1:18">
      <c r="A31" s="231" t="s">
        <v>55</v>
      </c>
      <c r="B31" s="33">
        <f>IF(ISERROR(TER_onderwijs_ele_kWh/1000),0,TER_onderwijs_ele_kWh/1000)</f>
        <v>1629.4991806</v>
      </c>
      <c r="C31" s="39">
        <f>IF(ISERROR(B31*3.6/1000000/'E Balans VL '!Z11*100),0,B31*3.6/1000000/'E Balans VL '!Z11*100)</f>
        <v>0.32905028144817688</v>
      </c>
      <c r="D31" s="237" t="s">
        <v>660</v>
      </c>
    </row>
    <row r="32" spans="1:18">
      <c r="A32" s="231" t="s">
        <v>260</v>
      </c>
      <c r="B32" s="33">
        <f>IF(ISERROR(TER_rest_ele_kWh/1000),0,TER_rest_ele_kWh/1000)</f>
        <v>1795.8123923999999</v>
      </c>
      <c r="C32" s="39">
        <f>IF(ISERROR(B32*3.6/1000000/'E Balans VL '!Z8*100),0,B32*3.6/1000000/'E Balans VL '!Z8*100)</f>
        <v>1.488978538371242E-2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4</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42804.501616743997</v>
      </c>
      <c r="C5" s="17">
        <f>IF(ISERROR('Eigen informatie GS &amp; warmtenet'!B59),0,'Eigen informatie GS &amp; warmtenet'!B59)</f>
        <v>0</v>
      </c>
      <c r="D5" s="30">
        <f>SUM(D6:D15)</f>
        <v>40765.228109504584</v>
      </c>
      <c r="E5" s="17">
        <f>SUM(E6:E15)</f>
        <v>3457.4836724491674</v>
      </c>
      <c r="F5" s="17">
        <f>SUM(F6:F15)</f>
        <v>16077.109486924455</v>
      </c>
      <c r="G5" s="18"/>
      <c r="H5" s="17"/>
      <c r="I5" s="17"/>
      <c r="J5" s="17">
        <f>SUM(J6:J15)</f>
        <v>115.18174134979398</v>
      </c>
      <c r="K5" s="17"/>
      <c r="L5" s="17"/>
      <c r="M5" s="17"/>
      <c r="N5" s="17">
        <f>SUM(N6:N15)</f>
        <v>10181.233710097538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6979.4906119999996</v>
      </c>
      <c r="C8" s="33"/>
      <c r="D8" s="37">
        <f>IF( ISERROR(IND_metaal_Gas_kWH/1000),0,IND_metaal_Gas_kWH/1000)*0.902</f>
        <v>681.79484387432012</v>
      </c>
      <c r="E8" s="33">
        <f>C30*'E Balans VL '!I18/100/3.6*1000000</f>
        <v>251.1431866101637</v>
      </c>
      <c r="F8" s="33">
        <f>C30*'E Balans VL '!L18/100/3.6*1000000+C30*'E Balans VL '!N18/100/3.6*1000000</f>
        <v>3047.7172995170467</v>
      </c>
      <c r="G8" s="34"/>
      <c r="H8" s="33"/>
      <c r="I8" s="33"/>
      <c r="J8" s="40">
        <f>C30*'E Balans VL '!D18/100/3.6*1000000+C30*'E Balans VL '!E18/100/3.6*1000000</f>
        <v>0</v>
      </c>
      <c r="K8" s="33"/>
      <c r="L8" s="33"/>
      <c r="M8" s="33"/>
      <c r="N8" s="33">
        <f>C30*'E Balans VL '!Y18/100/3.6*1000000</f>
        <v>349.80732640699574</v>
      </c>
      <c r="O8" s="33"/>
      <c r="P8" s="33"/>
      <c r="R8" s="32"/>
    </row>
    <row r="9" spans="1:18">
      <c r="A9" s="6" t="s">
        <v>33</v>
      </c>
      <c r="B9" s="37">
        <f t="shared" si="0"/>
        <v>8387.0709047</v>
      </c>
      <c r="C9" s="33"/>
      <c r="D9" s="37">
        <f>IF( ISERROR(IND_andere_gas_kWh/1000),0,IND_andere_gas_kWh/1000)*0.902</f>
        <v>2152.7912966934</v>
      </c>
      <c r="E9" s="33">
        <f>C31*'E Balans VL '!I19/100/3.6*1000000</f>
        <v>2140.1907320851628</v>
      </c>
      <c r="F9" s="33">
        <f>C31*'E Balans VL '!L19/100/3.6*1000000+C31*'E Balans VL '!N19/100/3.6*1000000</f>
        <v>7220.6376521897828</v>
      </c>
      <c r="G9" s="34"/>
      <c r="H9" s="33"/>
      <c r="I9" s="33"/>
      <c r="J9" s="40">
        <f>C31*'E Balans VL '!D19/100/3.6*1000000+C31*'E Balans VL '!E19/100/3.6*1000000</f>
        <v>0</v>
      </c>
      <c r="K9" s="33"/>
      <c r="L9" s="33"/>
      <c r="M9" s="33"/>
      <c r="N9" s="33">
        <f>C31*'E Balans VL '!Y19/100/3.6*1000000</f>
        <v>2622.9242990805205</v>
      </c>
      <c r="O9" s="33"/>
      <c r="P9" s="33"/>
      <c r="R9" s="32"/>
    </row>
    <row r="10" spans="1:18">
      <c r="A10" s="6" t="s">
        <v>41</v>
      </c>
      <c r="B10" s="37">
        <f t="shared" si="0"/>
        <v>11609.710813</v>
      </c>
      <c r="C10" s="33"/>
      <c r="D10" s="37">
        <f>IF( ISERROR(IND_voed_gas_kWh/1000),0,IND_voed_gas_kWh/1000)*0.902</f>
        <v>2102.0939692478</v>
      </c>
      <c r="E10" s="33">
        <f>C32*'E Balans VL '!I20/100/3.6*1000000</f>
        <v>295.13479030578026</v>
      </c>
      <c r="F10" s="33">
        <f>C32*'E Balans VL '!L20/100/3.6*1000000+C32*'E Balans VL '!N20/100/3.6*1000000</f>
        <v>2627.1032801929573</v>
      </c>
      <c r="G10" s="34"/>
      <c r="H10" s="33"/>
      <c r="I10" s="33"/>
      <c r="J10" s="40">
        <f>C32*'E Balans VL '!D20/100/3.6*1000000+C32*'E Balans VL '!E20/100/3.6*1000000</f>
        <v>0</v>
      </c>
      <c r="K10" s="33"/>
      <c r="L10" s="33"/>
      <c r="M10" s="33"/>
      <c r="N10" s="33">
        <f>C32*'E Balans VL '!Y20/100/3.6*1000000</f>
        <v>4353.9562484646367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1112.1359989</v>
      </c>
      <c r="C12" s="33"/>
      <c r="D12" s="37">
        <f>IF( ISERROR(IND_min_gas_kWh/1000),0,IND_min_gas_kWh/1000)*0.902</f>
        <v>0</v>
      </c>
      <c r="E12" s="33">
        <f>C34*'E Balans VL '!I22/100/3.6*1000000</f>
        <v>23.630102716678486</v>
      </c>
      <c r="F12" s="33">
        <f>C34*'E Balans VL '!L22/100/3.6*1000000+C34*'E Balans VL '!N22/100/3.6*1000000</f>
        <v>181.45446595319152</v>
      </c>
      <c r="G12" s="34"/>
      <c r="H12" s="33"/>
      <c r="I12" s="33"/>
      <c r="J12" s="40">
        <f>C34*'E Balans VL '!D22/100/3.6*1000000+C34*'E Balans VL '!E22/100/3.6*1000000</f>
        <v>1.2957422238192755</v>
      </c>
      <c r="K12" s="33"/>
      <c r="L12" s="33"/>
      <c r="M12" s="33"/>
      <c r="N12" s="33">
        <f>C34*'E Balans VL '!Y22/100/3.6*1000000</f>
        <v>0</v>
      </c>
      <c r="O12" s="33"/>
      <c r="P12" s="33"/>
      <c r="R12" s="32"/>
    </row>
    <row r="13" spans="1:18">
      <c r="A13" s="6" t="s">
        <v>39</v>
      </c>
      <c r="B13" s="37">
        <f t="shared" si="0"/>
        <v>38.981981044000001</v>
      </c>
      <c r="C13" s="33"/>
      <c r="D13" s="37">
        <f>IF( ISERROR(IND_papier_gas_kWh/1000),0,IND_papier_gas_kWh/1000)*0.902</f>
        <v>57.337912989060001</v>
      </c>
      <c r="E13" s="33">
        <f>C35*'E Balans VL '!I23/100/3.6*1000000</f>
        <v>0.16718237614619144</v>
      </c>
      <c r="F13" s="33">
        <f>C35*'E Balans VL '!L23/100/3.6*1000000+C35*'E Balans VL '!N23/100/3.6*1000000</f>
        <v>0.97973817600250102</v>
      </c>
      <c r="G13" s="34"/>
      <c r="H13" s="33"/>
      <c r="I13" s="33"/>
      <c r="J13" s="40">
        <f>C35*'E Balans VL '!D23/100/3.6*1000000+C35*'E Balans VL '!E23/100/3.6*1000000</f>
        <v>2.6096298235249442</v>
      </c>
      <c r="K13" s="33"/>
      <c r="L13" s="33"/>
      <c r="M13" s="33"/>
      <c r="N13" s="33">
        <f>C35*'E Balans VL '!Y23/100/3.6*1000000</f>
        <v>70.956475768854958</v>
      </c>
      <c r="O13" s="33"/>
      <c r="P13" s="33"/>
      <c r="R13" s="32"/>
    </row>
    <row r="14" spans="1:18">
      <c r="A14" s="6" t="s">
        <v>34</v>
      </c>
      <c r="B14" s="37">
        <f t="shared" si="0"/>
        <v>951.34551509999994</v>
      </c>
      <c r="C14" s="33"/>
      <c r="D14" s="37">
        <f>IF( ISERROR(IND_chemie_gas_kWh/1000),0,IND_chemie_gas_kWh/1000)*0.902</f>
        <v>0</v>
      </c>
      <c r="E14" s="33">
        <f>C36*'E Balans VL '!I24/100/3.6*1000000</f>
        <v>2.2807018567148796</v>
      </c>
      <c r="F14" s="33">
        <f>C36*'E Balans VL '!L24/100/3.6*1000000+C36*'E Balans VL '!N24/100/3.6*1000000</f>
        <v>7.6347629570562665</v>
      </c>
      <c r="G14" s="34"/>
      <c r="H14" s="33"/>
      <c r="I14" s="33"/>
      <c r="J14" s="40">
        <f>C36*'E Balans VL '!D24/100/3.6*1000000+C36*'E Balans VL '!E24/100/3.6*1000000</f>
        <v>0</v>
      </c>
      <c r="K14" s="33"/>
      <c r="L14" s="33"/>
      <c r="M14" s="33"/>
      <c r="N14" s="33">
        <f>C36*'E Balans VL '!Y24/100/3.6*1000000</f>
        <v>19.663574256253138</v>
      </c>
      <c r="O14" s="33"/>
      <c r="P14" s="33"/>
      <c r="R14" s="32"/>
    </row>
    <row r="15" spans="1:18">
      <c r="A15" s="6" t="s">
        <v>270</v>
      </c>
      <c r="B15" s="37">
        <f t="shared" si="0"/>
        <v>13725.765792</v>
      </c>
      <c r="C15" s="33"/>
      <c r="D15" s="37">
        <f>IF( ISERROR(IND_rest_gas_kWh/1000),0,IND_rest_gas_kWh/1000)*0.902</f>
        <v>35771.210086700004</v>
      </c>
      <c r="E15" s="33">
        <f>C37*'E Balans VL '!I15/100/3.6*1000000</f>
        <v>744.93697649852083</v>
      </c>
      <c r="F15" s="33">
        <f>C37*'E Balans VL '!L15/100/3.6*1000000+C37*'E Balans VL '!N15/100/3.6*1000000</f>
        <v>2991.5822879384195</v>
      </c>
      <c r="G15" s="34"/>
      <c r="H15" s="33"/>
      <c r="I15" s="33"/>
      <c r="J15" s="40">
        <f>C37*'E Balans VL '!D15/100/3.6*1000000+C37*'E Balans VL '!E15/100/3.6*1000000</f>
        <v>111.27636930244977</v>
      </c>
      <c r="K15" s="33"/>
      <c r="L15" s="33"/>
      <c r="M15" s="33"/>
      <c r="N15" s="33">
        <f>C37*'E Balans VL '!Y15/100/3.6*1000000</f>
        <v>2763.9257861202773</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42804.501616743997</v>
      </c>
      <c r="C18" s="21">
        <f>C5+C16</f>
        <v>0</v>
      </c>
      <c r="D18" s="21">
        <f>MAX((D5+D16),0)</f>
        <v>40765.228109504584</v>
      </c>
      <c r="E18" s="21">
        <f>MAX((E5+E16),0)</f>
        <v>3457.4836724491674</v>
      </c>
      <c r="F18" s="21">
        <f>MAX((F5+F16),0)</f>
        <v>16077.109486924455</v>
      </c>
      <c r="G18" s="21"/>
      <c r="H18" s="21"/>
      <c r="I18" s="21"/>
      <c r="J18" s="21">
        <f>MAX((J5+J16),0)</f>
        <v>115.18174134979398</v>
      </c>
      <c r="K18" s="21"/>
      <c r="L18" s="21">
        <f>MAX((L5+L16),0)</f>
        <v>0</v>
      </c>
      <c r="M18" s="21"/>
      <c r="N18" s="21">
        <f>MAX((N5+N16),0)</f>
        <v>10181.233710097538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0.1374908823315901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5885.2286950501066</v>
      </c>
      <c r="C22" s="23">
        <f ca="1">C18*C20</f>
        <v>0</v>
      </c>
      <c r="D22" s="23">
        <f>D18*D20</f>
        <v>8234.576078119926</v>
      </c>
      <c r="E22" s="23">
        <f>E18*E20</f>
        <v>784.848793645961</v>
      </c>
      <c r="F22" s="23">
        <f>F18*F20</f>
        <v>4292.5882330088298</v>
      </c>
      <c r="G22" s="23"/>
      <c r="H22" s="23"/>
      <c r="I22" s="23"/>
      <c r="J22" s="23">
        <f>J18*J20</f>
        <v>40.774336437827067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6979.4906119999996</v>
      </c>
      <c r="C30" s="39">
        <f>IF(ISERROR(B30*3.6/1000000/'E Balans VL '!Z18*100),0,B30*3.6/1000000/'E Balans VL '!Z18*100)</f>
        <v>1.4788044243478253</v>
      </c>
      <c r="D30" s="237" t="s">
        <v>660</v>
      </c>
    </row>
    <row r="31" spans="1:18">
      <c r="A31" s="6" t="s">
        <v>33</v>
      </c>
      <c r="B31" s="37">
        <f>IF( ISERROR(IND_ander_ele_kWh/1000),0,IND_ander_ele_kWh/1000)</f>
        <v>8387.0709047</v>
      </c>
      <c r="C31" s="39">
        <f>IF(ISERROR(B31*3.6/1000000/'E Balans VL '!Z19*100),0,B31*3.6/1000000/'E Balans VL '!Z19*100)</f>
        <v>0.35303085860832117</v>
      </c>
      <c r="D31" s="237" t="s">
        <v>660</v>
      </c>
    </row>
    <row r="32" spans="1:18">
      <c r="A32" s="171" t="s">
        <v>41</v>
      </c>
      <c r="B32" s="37">
        <f>IF( ISERROR(IND_voed_ele_kWh/1000),0,IND_voed_ele_kWh/1000)</f>
        <v>11609.710813</v>
      </c>
      <c r="C32" s="39">
        <f>IF(ISERROR(B32*3.6/1000000/'E Balans VL '!Z20*100),0,B32*3.6/1000000/'E Balans VL '!Z20*100)</f>
        <v>1.93953354615535</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1112.1359989</v>
      </c>
      <c r="C34" s="39">
        <f>IF(ISERROR(B34*3.6/1000000/'E Balans VL '!Z22*100),0,B34*3.6/1000000/'E Balans VL '!Z22*100)</f>
        <v>0.14096923559230298</v>
      </c>
      <c r="D34" s="237" t="s">
        <v>660</v>
      </c>
    </row>
    <row r="35" spans="1:5">
      <c r="A35" s="171" t="s">
        <v>39</v>
      </c>
      <c r="B35" s="37">
        <f>IF( ISERROR(IND_papier_ele_kWh/1000),0,IND_papier_ele_kWh/1000)</f>
        <v>38.981981044000001</v>
      </c>
      <c r="C35" s="39">
        <f>IF(ISERROR(B35*3.6/1000000/'E Balans VL '!Z22*100),0,B35*3.6/1000000/'E Balans VL '!Z22*100)</f>
        <v>4.941176326529865E-3</v>
      </c>
      <c r="D35" s="237" t="s">
        <v>660</v>
      </c>
    </row>
    <row r="36" spans="1:5">
      <c r="A36" s="171" t="s">
        <v>34</v>
      </c>
      <c r="B36" s="37">
        <f>IF( ISERROR(IND_chemie_ele_kWh/1000),0,IND_chemie_ele_kWh/1000)</f>
        <v>951.34551509999994</v>
      </c>
      <c r="C36" s="39">
        <f>IF(ISERROR(B36*3.6/1000000/'E Balans VL '!Z24*100),0,B36*3.6/1000000/'E Balans VL '!Z24*100)</f>
        <v>3.0899733009170021E-2</v>
      </c>
      <c r="D36" s="237" t="s">
        <v>660</v>
      </c>
    </row>
    <row r="37" spans="1:5">
      <c r="A37" s="171" t="s">
        <v>270</v>
      </c>
      <c r="B37" s="37">
        <f>IF( ISERROR(IND_rest_ele_kWh/1000),0,IND_rest_ele_kWh/1000)</f>
        <v>13725.765792</v>
      </c>
      <c r="C37" s="39">
        <f>IF(ISERROR(B37*3.6/1000000/'E Balans VL '!Z15*100),0,B37*3.6/1000000/'E Balans VL '!Z15*100)</f>
        <v>0.11081342209893061</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1351.35885396</v>
      </c>
      <c r="C5" s="17">
        <f>'Eigen informatie GS &amp; warmtenet'!B60</f>
        <v>0</v>
      </c>
      <c r="D5" s="30">
        <f>IF(ISERROR(SUM(LB_lb_gas_kWh,LB_rest_gas_kWh)/1000),0,SUM(LB_lb_gas_kWh,LB_rest_gas_kWh)/1000)*0.902</f>
        <v>4759.9746912278433</v>
      </c>
      <c r="E5" s="17">
        <f>B17*'E Balans VL '!I25/3.6*1000000/100</f>
        <v>34.846356225510014</v>
      </c>
      <c r="F5" s="17">
        <f>B17*('E Balans VL '!L25/3.6*1000000+'E Balans VL '!N25/3.6*1000000)/100</f>
        <v>4939.4739650160245</v>
      </c>
      <c r="G5" s="18"/>
      <c r="H5" s="17"/>
      <c r="I5" s="17"/>
      <c r="J5" s="17">
        <f>('E Balans VL '!D25+'E Balans VL '!E25)/3.6*1000000*landbouw!B17/100</f>
        <v>194.54596299549533</v>
      </c>
      <c r="K5" s="17"/>
      <c r="L5" s="17">
        <f>L6*(-1)</f>
        <v>0</v>
      </c>
      <c r="M5" s="17"/>
      <c r="N5" s="17">
        <f>N6*(-1)</f>
        <v>49551.428571428572</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-49551.428571428572</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1351.35885396</v>
      </c>
      <c r="C8" s="21">
        <f>C5+C6</f>
        <v>0</v>
      </c>
      <c r="D8" s="21">
        <f>MAX((D5+D6),0)</f>
        <v>4759.9746912278433</v>
      </c>
      <c r="E8" s="21">
        <f>MAX((E5+E6),0)</f>
        <v>34.846356225510014</v>
      </c>
      <c r="F8" s="21">
        <f>MAX((F5+F6),0)</f>
        <v>4939.4739650160245</v>
      </c>
      <c r="G8" s="21"/>
      <c r="H8" s="21"/>
      <c r="I8" s="21"/>
      <c r="J8" s="21">
        <f>MAX((J5+J6),0)</f>
        <v>194.54596299549533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0.1374908823315901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185.79952117756682</v>
      </c>
      <c r="C12" s="23">
        <f ca="1">C8*C10</f>
        <v>0</v>
      </c>
      <c r="D12" s="23">
        <f>D8*D10</f>
        <v>961.51488762802444</v>
      </c>
      <c r="E12" s="23">
        <f>E8*E10</f>
        <v>7.9101228631907734</v>
      </c>
      <c r="F12" s="23">
        <f>F8*F10</f>
        <v>1318.8395486592785</v>
      </c>
      <c r="G12" s="23"/>
      <c r="H12" s="23"/>
      <c r="I12" s="23"/>
      <c r="J12" s="23">
        <f>J8*J10</f>
        <v>68.86927090040534</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0.190550549608697</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541.75607993145127</v>
      </c>
      <c r="C26" s="247">
        <f>B26*'GWP N2O_CH4'!B5</f>
        <v>11376.877678560477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143.3267995245551</v>
      </c>
      <c r="C27" s="247">
        <f>B27*'GWP N2O_CH4'!B5</f>
        <v>3009.8627900156571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7.086633086974893</v>
      </c>
      <c r="C28" s="247">
        <f>B28*'GWP N2O_CH4'!B4</f>
        <v>2196.8562569622168</v>
      </c>
      <c r="D28" s="50"/>
    </row>
    <row r="29" spans="1:4">
      <c r="A29" s="41" t="s">
        <v>277</v>
      </c>
      <c r="B29" s="247">
        <f>B34*'ha_N2O bodem landbouw'!B4</f>
        <v>15.502347797617643</v>
      </c>
      <c r="C29" s="247">
        <f>B29*'GWP N2O_CH4'!B4</f>
        <v>4805.7278172614697</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3.4888706765488411E-3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8.9670992709981723E-5</v>
      </c>
      <c r="C5" s="463" t="s">
        <v>211</v>
      </c>
      <c r="D5" s="448">
        <f>SUM(D6:D11)</f>
        <v>1.9255567351255033E-4</v>
      </c>
      <c r="E5" s="448">
        <f>SUM(E6:E11)</f>
        <v>7.5702199352476406E-4</v>
      </c>
      <c r="F5" s="461" t="s">
        <v>211</v>
      </c>
      <c r="G5" s="448">
        <f>SUM(G6:G11)</f>
        <v>0.26927659906872492</v>
      </c>
      <c r="H5" s="448">
        <f>SUM(H6:H11)</f>
        <v>5.1999239096017218E-2</v>
      </c>
      <c r="I5" s="463" t="s">
        <v>211</v>
      </c>
      <c r="J5" s="463" t="s">
        <v>211</v>
      </c>
      <c r="K5" s="463" t="s">
        <v>211</v>
      </c>
      <c r="L5" s="463" t="s">
        <v>211</v>
      </c>
      <c r="M5" s="448">
        <f>SUM(M6:M11)</f>
        <v>1.0041509492812085E-2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7.6203915782848238E-5</v>
      </c>
      <c r="C6" s="449"/>
      <c r="D6" s="892">
        <f>vkm_2011_GW_PW*SUMIFS(TableVerdeelsleutelVkm[CNG],TableVerdeelsleutelVkm[Voertuigtype],"Lichte voertuigen")*SUMIFS(TableECFTransport[EnergieConsumptieFactor (PJ per km)],TableECFTransport[Index],CONCATENATE($A6,"_CNG_CNG"))</f>
        <v>1.5141851548903634E-4</v>
      </c>
      <c r="E6" s="892">
        <f>vkm_2011_GW_PW*SUMIFS(TableVerdeelsleutelVkm[LPG],TableVerdeelsleutelVkm[Voertuigtype],"Lichte voertuigen")*SUMIFS(TableECFTransport[EnergieConsumptieFactor (PJ per km)],TableECFTransport[Index],CONCATENATE($A6,"_LPG_LPG"))</f>
        <v>5.958861379181294E-4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0.14168127755129559</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4.0993547468211974E-2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5.6923162320076329E-3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7.8293623909525129E-2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2.52921847180908E-5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2.466912294189084E-3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9.1256211855616849E-6</v>
      </c>
      <c r="C8" s="449"/>
      <c r="D8" s="451">
        <f>vkm_2011_NGW_PW*SUMIFS(TableVerdeelsleutelVkm[CNG],TableVerdeelsleutelVkm[Voertuigtype],"Lichte voertuigen")*SUMIFS(TableECFTransport[EnergieConsumptieFactor (PJ per km)],TableECFTransport[Index],CONCATENATE($A8,"_CNG_CNG"))</f>
        <v>3.2106519497348365E-5</v>
      </c>
      <c r="E8" s="451">
        <f>vkm_2011_NGW_PW*SUMIFS(TableVerdeelsleutelVkm[LPG],TableVerdeelsleutelVkm[Voertuigtype],"Lichte voertuigen")*SUMIFS(TableECFTransport[EnergieConsumptieFactor (PJ per km)],TableECFTransport[Index],CONCATENATE($A8,"_LPG_LPG"))</f>
        <v>1.1685204206862461E-4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2.5944438169730494E-2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8.4284315144490321E-3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1.070014020629231E-3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2.4969147511970779E-3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7.6282862809393787E-7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7.867265019265248E-5</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4.3414557415718058E-6</v>
      </c>
      <c r="C10" s="449"/>
      <c r="D10" s="451">
        <f>vkm_2011_SW_PW*SUMIFS(TableVerdeelsleutelVkm[CNG],TableVerdeelsleutelVkm[Voertuigtype],"Lichte voertuigen")*SUMIFS(TableECFTransport[EnergieConsumptieFactor (PJ per km)],TableECFTransport[Index],CONCATENATE($A10,"_CNG_CNG"))</f>
        <v>9.0306385261656303E-6</v>
      </c>
      <c r="E10" s="451">
        <f>vkm_2011_SW_PW*SUMIFS(TableVerdeelsleutelVkm[LPG],TableVerdeelsleutelVkm[Voertuigtype],"Lichte voertuigen")*SUMIFS(TableECFTransport[EnergieConsumptieFactor (PJ per km)],TableECFTransport[Index],CONCATENATE($A10,"_LPG_LPG"))</f>
        <v>4.4283813538010012E-5</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9.4319438335112842E-3</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2.5472273480661878E-3</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3.7349429645047364E-4</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1.1428400853465383E-2</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3.9777519438397943E-6</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3.6009999934301081E-4</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24.908609086106036</v>
      </c>
      <c r="C14" s="21"/>
      <c r="D14" s="21">
        <f t="shared" ref="D14:M14" si="0">((D5)*10^9/3600)+D12</f>
        <v>53.487687086819534</v>
      </c>
      <c r="E14" s="21">
        <f t="shared" si="0"/>
        <v>210.28388709021223</v>
      </c>
      <c r="F14" s="21"/>
      <c r="G14" s="21">
        <f t="shared" si="0"/>
        <v>74799.055296868042</v>
      </c>
      <c r="H14" s="21">
        <f t="shared" si="0"/>
        <v>14444.233082227005</v>
      </c>
      <c r="I14" s="21"/>
      <c r="J14" s="21"/>
      <c r="K14" s="21"/>
      <c r="L14" s="21"/>
      <c r="M14" s="21">
        <f t="shared" si="0"/>
        <v>2789.3081924478015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0.1374908823315901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3.4247066409013809</v>
      </c>
      <c r="C18" s="23"/>
      <c r="D18" s="23">
        <f t="shared" ref="D18:M18" si="1">D14*D16</f>
        <v>10.804512791537547</v>
      </c>
      <c r="E18" s="23">
        <f t="shared" si="1"/>
        <v>47.734442369478181</v>
      </c>
      <c r="F18" s="23"/>
      <c r="G18" s="23">
        <f t="shared" si="1"/>
        <v>19971.34776426377</v>
      </c>
      <c r="H18" s="23">
        <f t="shared" si="1"/>
        <v>3596.6140374745241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1.0144404763243214E-2</v>
      </c>
      <c r="H50" s="321">
        <f t="shared" si="2"/>
        <v>0</v>
      </c>
      <c r="I50" s="321">
        <f t="shared" si="2"/>
        <v>0</v>
      </c>
      <c r="J50" s="321">
        <f t="shared" si="2"/>
        <v>0</v>
      </c>
      <c r="K50" s="321">
        <f t="shared" si="2"/>
        <v>0</v>
      </c>
      <c r="L50" s="321">
        <f t="shared" si="2"/>
        <v>0</v>
      </c>
      <c r="M50" s="321">
        <f t="shared" si="2"/>
        <v>3.1465674087517346E-4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1.0144404763243214E-2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3.1465674087517346E-4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2817.8902120120042</v>
      </c>
      <c r="H54" s="21">
        <f t="shared" si="3"/>
        <v>0</v>
      </c>
      <c r="I54" s="21">
        <f t="shared" si="3"/>
        <v>0</v>
      </c>
      <c r="J54" s="21">
        <f t="shared" si="3"/>
        <v>0</v>
      </c>
      <c r="K54" s="21">
        <f t="shared" si="3"/>
        <v>0</v>
      </c>
      <c r="L54" s="21">
        <f t="shared" si="3"/>
        <v>0</v>
      </c>
      <c r="M54" s="21">
        <f t="shared" si="3"/>
        <v>87.404650243103745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0.1374908823315901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752.37668660720522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36749.574992799993</v>
      </c>
      <c r="D10" s="1012">
        <f ca="1">tertiair!C16</f>
        <v>22802.142857142859</v>
      </c>
      <c r="E10" s="1012">
        <f ca="1">tertiair!D16</f>
        <v>38385.715661858398</v>
      </c>
      <c r="F10" s="1012">
        <f>tertiair!E16</f>
        <v>388.83261844653913</v>
      </c>
      <c r="G10" s="1012">
        <f ca="1">tertiair!F16</f>
        <v>5489.5877863298847</v>
      </c>
      <c r="H10" s="1012">
        <f>tertiair!G16</f>
        <v>0</v>
      </c>
      <c r="I10" s="1012">
        <f>tertiair!H16</f>
        <v>0</v>
      </c>
      <c r="J10" s="1012">
        <f>tertiair!I16</f>
        <v>0</v>
      </c>
      <c r="K10" s="1012">
        <f>tertiair!J16</f>
        <v>0</v>
      </c>
      <c r="L10" s="1012">
        <f>tertiair!K16</f>
        <v>0</v>
      </c>
      <c r="M10" s="1012">
        <f ca="1">tertiair!L16</f>
        <v>0</v>
      </c>
      <c r="N10" s="1012">
        <f>tertiair!M16</f>
        <v>0</v>
      </c>
      <c r="O10" s="1012">
        <f ca="1">tertiair!N16</f>
        <v>0</v>
      </c>
      <c r="P10" s="1012">
        <f>tertiair!O16</f>
        <v>4.6900000000000004</v>
      </c>
      <c r="Q10" s="1013">
        <f>tertiair!P16</f>
        <v>76.266666666666666</v>
      </c>
      <c r="R10" s="700">
        <f ca="1">SUM(C10:Q10)</f>
        <v>103896.81058324434</v>
      </c>
      <c r="S10" s="67"/>
    </row>
    <row r="11" spans="1:19" s="473" customFormat="1">
      <c r="A11" s="809" t="s">
        <v>225</v>
      </c>
      <c r="B11" s="814"/>
      <c r="C11" s="1012">
        <f>huishoudens!B8</f>
        <v>26878.830070576598</v>
      </c>
      <c r="D11" s="1012">
        <f>huishoudens!C8</f>
        <v>0</v>
      </c>
      <c r="E11" s="1012">
        <f>huishoudens!D8</f>
        <v>69561.415389796006</v>
      </c>
      <c r="F11" s="1012">
        <f>huishoudens!E8</f>
        <v>2816.5222377006812</v>
      </c>
      <c r="G11" s="1012">
        <f>huishoudens!F8</f>
        <v>0</v>
      </c>
      <c r="H11" s="1012">
        <f>huishoudens!G8</f>
        <v>0</v>
      </c>
      <c r="I11" s="1012">
        <f>huishoudens!H8</f>
        <v>0</v>
      </c>
      <c r="J11" s="1012">
        <f>huishoudens!I8</f>
        <v>0</v>
      </c>
      <c r="K11" s="1012">
        <f>huishoudens!J8</f>
        <v>0</v>
      </c>
      <c r="L11" s="1012">
        <f>huishoudens!K8</f>
        <v>0</v>
      </c>
      <c r="M11" s="1012">
        <f>huishoudens!L8</f>
        <v>0</v>
      </c>
      <c r="N11" s="1012">
        <f>huishoudens!M8</f>
        <v>0</v>
      </c>
      <c r="O11" s="1012">
        <f>huishoudens!N8</f>
        <v>16426.741560637794</v>
      </c>
      <c r="P11" s="1012">
        <f>huishoudens!O8</f>
        <v>186.03666666666666</v>
      </c>
      <c r="Q11" s="1013">
        <f>huishoudens!P8</f>
        <v>819.86666666666667</v>
      </c>
      <c r="R11" s="700">
        <f>SUM(C11:Q11)</f>
        <v>116689.41259204442</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42804.501616743997</v>
      </c>
      <c r="D13" s="1012">
        <f>industrie!C18</f>
        <v>0</v>
      </c>
      <c r="E13" s="1012">
        <f>industrie!D18</f>
        <v>40765.228109504584</v>
      </c>
      <c r="F13" s="1012">
        <f>industrie!E18</f>
        <v>3457.4836724491674</v>
      </c>
      <c r="G13" s="1012">
        <f>industrie!F18</f>
        <v>16077.109486924455</v>
      </c>
      <c r="H13" s="1012">
        <f>industrie!G18</f>
        <v>0</v>
      </c>
      <c r="I13" s="1012">
        <f>industrie!H18</f>
        <v>0</v>
      </c>
      <c r="J13" s="1012">
        <f>industrie!I18</f>
        <v>0</v>
      </c>
      <c r="K13" s="1012">
        <f>industrie!J18</f>
        <v>115.18174134979398</v>
      </c>
      <c r="L13" s="1012">
        <f>industrie!K18</f>
        <v>0</v>
      </c>
      <c r="M13" s="1012">
        <f>industrie!L18</f>
        <v>0</v>
      </c>
      <c r="N13" s="1012">
        <f>industrie!M18</f>
        <v>0</v>
      </c>
      <c r="O13" s="1012">
        <f>industrie!N18</f>
        <v>10181.233710097538</v>
      </c>
      <c r="P13" s="1012">
        <f>industrie!O18</f>
        <v>0</v>
      </c>
      <c r="Q13" s="1013">
        <f>industrie!P18</f>
        <v>0</v>
      </c>
      <c r="R13" s="700">
        <f>SUM(C13:Q13)</f>
        <v>113400.73833706953</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106432.90668012059</v>
      </c>
      <c r="D16" s="732">
        <f t="shared" ref="D16:R16" ca="1" si="0">SUM(D9:D15)</f>
        <v>22802.142857142859</v>
      </c>
      <c r="E16" s="732">
        <f t="shared" ca="1" si="0"/>
        <v>148712.35916115899</v>
      </c>
      <c r="F16" s="732">
        <f t="shared" si="0"/>
        <v>6662.8385285963877</v>
      </c>
      <c r="G16" s="732">
        <f t="shared" ca="1" si="0"/>
        <v>21566.69727325434</v>
      </c>
      <c r="H16" s="732">
        <f t="shared" si="0"/>
        <v>0</v>
      </c>
      <c r="I16" s="732">
        <f t="shared" si="0"/>
        <v>0</v>
      </c>
      <c r="J16" s="732">
        <f t="shared" si="0"/>
        <v>0</v>
      </c>
      <c r="K16" s="732">
        <f t="shared" si="0"/>
        <v>115.18174134979398</v>
      </c>
      <c r="L16" s="732">
        <f t="shared" si="0"/>
        <v>0</v>
      </c>
      <c r="M16" s="732">
        <f t="shared" ca="1" si="0"/>
        <v>0</v>
      </c>
      <c r="N16" s="732">
        <f t="shared" si="0"/>
        <v>0</v>
      </c>
      <c r="O16" s="732">
        <f t="shared" ca="1" si="0"/>
        <v>26607.975270735333</v>
      </c>
      <c r="P16" s="732">
        <f t="shared" si="0"/>
        <v>190.72666666666666</v>
      </c>
      <c r="Q16" s="732">
        <f t="shared" si="0"/>
        <v>896.13333333333333</v>
      </c>
      <c r="R16" s="732">
        <f t="shared" ca="1" si="0"/>
        <v>333986.96151235828</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2817.8902120120042</v>
      </c>
      <c r="I19" s="1012">
        <f>transport!H54</f>
        <v>0</v>
      </c>
      <c r="J19" s="1012">
        <f>transport!I54</f>
        <v>0</v>
      </c>
      <c r="K19" s="1012">
        <f>transport!J54</f>
        <v>0</v>
      </c>
      <c r="L19" s="1012">
        <f>transport!K54</f>
        <v>0</v>
      </c>
      <c r="M19" s="1012">
        <f>transport!L54</f>
        <v>0</v>
      </c>
      <c r="N19" s="1012">
        <f>transport!M54</f>
        <v>87.404650243103745</v>
      </c>
      <c r="O19" s="1012">
        <f>transport!N54</f>
        <v>0</v>
      </c>
      <c r="P19" s="1012">
        <f>transport!O54</f>
        <v>0</v>
      </c>
      <c r="Q19" s="1013">
        <f>transport!P54</f>
        <v>0</v>
      </c>
      <c r="R19" s="700">
        <f>SUM(C19:Q19)</f>
        <v>2905.294862255108</v>
      </c>
      <c r="S19" s="67"/>
    </row>
    <row r="20" spans="1:19" s="473" customFormat="1">
      <c r="A20" s="809" t="s">
        <v>307</v>
      </c>
      <c r="B20" s="814"/>
      <c r="C20" s="1012">
        <f>transport!B14</f>
        <v>24.908609086106036</v>
      </c>
      <c r="D20" s="1012">
        <f>transport!C14</f>
        <v>0</v>
      </c>
      <c r="E20" s="1012">
        <f>transport!D14</f>
        <v>53.487687086819534</v>
      </c>
      <c r="F20" s="1012">
        <f>transport!E14</f>
        <v>210.28388709021223</v>
      </c>
      <c r="G20" s="1012">
        <f>transport!F14</f>
        <v>0</v>
      </c>
      <c r="H20" s="1012">
        <f>transport!G14</f>
        <v>74799.055296868042</v>
      </c>
      <c r="I20" s="1012">
        <f>transport!H14</f>
        <v>14444.233082227005</v>
      </c>
      <c r="J20" s="1012">
        <f>transport!I14</f>
        <v>0</v>
      </c>
      <c r="K20" s="1012">
        <f>transport!J14</f>
        <v>0</v>
      </c>
      <c r="L20" s="1012">
        <f>transport!K14</f>
        <v>0</v>
      </c>
      <c r="M20" s="1012">
        <f>transport!L14</f>
        <v>0</v>
      </c>
      <c r="N20" s="1012">
        <f>transport!M14</f>
        <v>2789.3081924478015</v>
      </c>
      <c r="O20" s="1012">
        <f>transport!N14</f>
        <v>0</v>
      </c>
      <c r="P20" s="1012">
        <f>transport!O14</f>
        <v>0</v>
      </c>
      <c r="Q20" s="1013">
        <f>transport!P14</f>
        <v>0</v>
      </c>
      <c r="R20" s="700">
        <f>SUM(C20:Q20)</f>
        <v>92321.276754805978</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24.908609086106036</v>
      </c>
      <c r="D22" s="812">
        <f t="shared" ref="D22:R22" si="1">SUM(D18:D21)</f>
        <v>0</v>
      </c>
      <c r="E22" s="812">
        <f t="shared" si="1"/>
        <v>53.487687086819534</v>
      </c>
      <c r="F22" s="812">
        <f t="shared" si="1"/>
        <v>210.28388709021223</v>
      </c>
      <c r="G22" s="812">
        <f t="shared" si="1"/>
        <v>0</v>
      </c>
      <c r="H22" s="812">
        <f t="shared" si="1"/>
        <v>77616.945508880046</v>
      </c>
      <c r="I22" s="812">
        <f t="shared" si="1"/>
        <v>14444.233082227005</v>
      </c>
      <c r="J22" s="812">
        <f t="shared" si="1"/>
        <v>0</v>
      </c>
      <c r="K22" s="812">
        <f t="shared" si="1"/>
        <v>0</v>
      </c>
      <c r="L22" s="812">
        <f t="shared" si="1"/>
        <v>0</v>
      </c>
      <c r="M22" s="812">
        <f t="shared" si="1"/>
        <v>0</v>
      </c>
      <c r="N22" s="812">
        <f t="shared" si="1"/>
        <v>2876.7128426909053</v>
      </c>
      <c r="O22" s="812">
        <f t="shared" si="1"/>
        <v>0</v>
      </c>
      <c r="P22" s="812">
        <f t="shared" si="1"/>
        <v>0</v>
      </c>
      <c r="Q22" s="812">
        <f t="shared" si="1"/>
        <v>0</v>
      </c>
      <c r="R22" s="812">
        <f t="shared" si="1"/>
        <v>95226.571617061083</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1351.35885396</v>
      </c>
      <c r="D24" s="1012">
        <f>+landbouw!C8</f>
        <v>0</v>
      </c>
      <c r="E24" s="1012">
        <f>+landbouw!D8</f>
        <v>4759.9746912278433</v>
      </c>
      <c r="F24" s="1012">
        <f>+landbouw!E8</f>
        <v>34.846356225510014</v>
      </c>
      <c r="G24" s="1012">
        <f>+landbouw!F8</f>
        <v>4939.4739650160245</v>
      </c>
      <c r="H24" s="1012">
        <f>+landbouw!G8</f>
        <v>0</v>
      </c>
      <c r="I24" s="1012">
        <f>+landbouw!H8</f>
        <v>0</v>
      </c>
      <c r="J24" s="1012">
        <f>+landbouw!I8</f>
        <v>0</v>
      </c>
      <c r="K24" s="1012">
        <f>+landbouw!J8</f>
        <v>194.54596299549533</v>
      </c>
      <c r="L24" s="1012">
        <f>+landbouw!K8</f>
        <v>0</v>
      </c>
      <c r="M24" s="1012">
        <f>+landbouw!L8</f>
        <v>0</v>
      </c>
      <c r="N24" s="1012">
        <f>+landbouw!M8</f>
        <v>0</v>
      </c>
      <c r="O24" s="1012">
        <f>+landbouw!N8</f>
        <v>0</v>
      </c>
      <c r="P24" s="1012">
        <f>+landbouw!O8</f>
        <v>0</v>
      </c>
      <c r="Q24" s="1013">
        <f>+landbouw!P8</f>
        <v>0</v>
      </c>
      <c r="R24" s="700">
        <f>SUM(C24:Q24)</f>
        <v>11280.199829424871</v>
      </c>
      <c r="S24" s="67"/>
    </row>
    <row r="25" spans="1:19" s="473" customFormat="1" ht="15" thickBot="1">
      <c r="A25" s="831" t="s">
        <v>848</v>
      </c>
      <c r="B25" s="1015"/>
      <c r="C25" s="1016">
        <f>IF(Onbekend_ele_kWh="---",0,Onbekend_ele_kWh)/1000+IF(REST_rest_ele_kWh="---",0,REST_rest_ele_kWh)/1000</f>
        <v>1819.3692824</v>
      </c>
      <c r="D25" s="1016"/>
      <c r="E25" s="1016">
        <f>IF(onbekend_gas_kWh="---",0,onbekend_gas_kWh)/1000+IF(REST_rest_gas_kWh="---",0,REST_rest_gas_kWh)/1000</f>
        <v>1605.6536371</v>
      </c>
      <c r="F25" s="1016"/>
      <c r="G25" s="1016"/>
      <c r="H25" s="1016"/>
      <c r="I25" s="1016"/>
      <c r="J25" s="1016"/>
      <c r="K25" s="1016"/>
      <c r="L25" s="1016"/>
      <c r="M25" s="1016"/>
      <c r="N25" s="1016"/>
      <c r="O25" s="1016"/>
      <c r="P25" s="1016"/>
      <c r="Q25" s="1017"/>
      <c r="R25" s="700">
        <f>SUM(C25:Q25)</f>
        <v>3425.0229195000002</v>
      </c>
      <c r="S25" s="67"/>
    </row>
    <row r="26" spans="1:19" s="473" customFormat="1" ht="15.75" thickBot="1">
      <c r="A26" s="705" t="s">
        <v>849</v>
      </c>
      <c r="B26" s="817"/>
      <c r="C26" s="812">
        <f>SUM(C24:C25)</f>
        <v>3170.72813636</v>
      </c>
      <c r="D26" s="812">
        <f t="shared" ref="D26:R26" si="2">SUM(D24:D25)</f>
        <v>0</v>
      </c>
      <c r="E26" s="812">
        <f t="shared" si="2"/>
        <v>6365.6283283278435</v>
      </c>
      <c r="F26" s="812">
        <f t="shared" si="2"/>
        <v>34.846356225510014</v>
      </c>
      <c r="G26" s="812">
        <f t="shared" si="2"/>
        <v>4939.4739650160245</v>
      </c>
      <c r="H26" s="812">
        <f t="shared" si="2"/>
        <v>0</v>
      </c>
      <c r="I26" s="812">
        <f t="shared" si="2"/>
        <v>0</v>
      </c>
      <c r="J26" s="812">
        <f t="shared" si="2"/>
        <v>0</v>
      </c>
      <c r="K26" s="812">
        <f t="shared" si="2"/>
        <v>194.54596299549533</v>
      </c>
      <c r="L26" s="812">
        <f t="shared" si="2"/>
        <v>0</v>
      </c>
      <c r="M26" s="812">
        <f t="shared" si="2"/>
        <v>0</v>
      </c>
      <c r="N26" s="812">
        <f t="shared" si="2"/>
        <v>0</v>
      </c>
      <c r="O26" s="812">
        <f t="shared" si="2"/>
        <v>0</v>
      </c>
      <c r="P26" s="812">
        <f t="shared" si="2"/>
        <v>0</v>
      </c>
      <c r="Q26" s="812">
        <f t="shared" si="2"/>
        <v>0</v>
      </c>
      <c r="R26" s="812">
        <f t="shared" si="2"/>
        <v>14705.222748924873</v>
      </c>
      <c r="S26" s="67"/>
    </row>
    <row r="27" spans="1:19" s="473" customFormat="1" ht="17.25" thickTop="1" thickBot="1">
      <c r="A27" s="706" t="s">
        <v>116</v>
      </c>
      <c r="B27" s="805"/>
      <c r="C27" s="707">
        <f ca="1">C22+C16+C26</f>
        <v>109628.54342556671</v>
      </c>
      <c r="D27" s="707">
        <f t="shared" ref="D27:R27" ca="1" si="3">D22+D16+D26</f>
        <v>22802.142857142859</v>
      </c>
      <c r="E27" s="707">
        <f t="shared" ca="1" si="3"/>
        <v>155131.47517657367</v>
      </c>
      <c r="F27" s="707">
        <f t="shared" si="3"/>
        <v>6907.9687719121102</v>
      </c>
      <c r="G27" s="707">
        <f t="shared" ca="1" si="3"/>
        <v>26506.171238270363</v>
      </c>
      <c r="H27" s="707">
        <f t="shared" si="3"/>
        <v>77616.945508880046</v>
      </c>
      <c r="I27" s="707">
        <f t="shared" si="3"/>
        <v>14444.233082227005</v>
      </c>
      <c r="J27" s="707">
        <f t="shared" si="3"/>
        <v>0</v>
      </c>
      <c r="K27" s="707">
        <f t="shared" si="3"/>
        <v>309.72770434528934</v>
      </c>
      <c r="L27" s="707">
        <f t="shared" si="3"/>
        <v>0</v>
      </c>
      <c r="M27" s="707">
        <f t="shared" ca="1" si="3"/>
        <v>0</v>
      </c>
      <c r="N27" s="707">
        <f t="shared" si="3"/>
        <v>2876.7128426909053</v>
      </c>
      <c r="O27" s="707">
        <f t="shared" ca="1" si="3"/>
        <v>26607.975270735333</v>
      </c>
      <c r="P27" s="707">
        <f t="shared" si="3"/>
        <v>190.72666666666666</v>
      </c>
      <c r="Q27" s="707">
        <f t="shared" si="3"/>
        <v>896.13333333333333</v>
      </c>
      <c r="R27" s="707">
        <f t="shared" ca="1" si="3"/>
        <v>443918.75587834424</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5052.7314910710111</v>
      </c>
      <c r="D40" s="1012">
        <f ca="1">tertiair!C20</f>
        <v>0</v>
      </c>
      <c r="E40" s="1012">
        <f ca="1">tertiair!D20</f>
        <v>7753.9145636953972</v>
      </c>
      <c r="F40" s="1012">
        <f>tertiair!E20</f>
        <v>88.265004387364385</v>
      </c>
      <c r="G40" s="1012">
        <f ca="1">tertiair!F20</f>
        <v>1465.7199389500793</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14360.63099810385</v>
      </c>
    </row>
    <row r="41" spans="1:18">
      <c r="A41" s="822" t="s">
        <v>225</v>
      </c>
      <c r="B41" s="829"/>
      <c r="C41" s="1012">
        <f ca="1">huishoudens!B12</f>
        <v>3695.5940624444524</v>
      </c>
      <c r="D41" s="1012">
        <f ca="1">huishoudens!C12</f>
        <v>0</v>
      </c>
      <c r="E41" s="1012">
        <f>huishoudens!D12</f>
        <v>14051.405908738794</v>
      </c>
      <c r="F41" s="1012">
        <f>huishoudens!E12</f>
        <v>639.35054795805468</v>
      </c>
      <c r="G41" s="1012">
        <f>huishoudens!F12</f>
        <v>0</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18386.350519141302</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5885.2286950501066</v>
      </c>
      <c r="D43" s="1012">
        <f ca="1">industrie!C22</f>
        <v>0</v>
      </c>
      <c r="E43" s="1012">
        <f>industrie!D22</f>
        <v>8234.576078119926</v>
      </c>
      <c r="F43" s="1012">
        <f>industrie!E22</f>
        <v>784.848793645961</v>
      </c>
      <c r="G43" s="1012">
        <f>industrie!F22</f>
        <v>4292.5882330088298</v>
      </c>
      <c r="H43" s="1012">
        <f>industrie!G22</f>
        <v>0</v>
      </c>
      <c r="I43" s="1012">
        <f>industrie!H22</f>
        <v>0</v>
      </c>
      <c r="J43" s="1012">
        <f>industrie!I22</f>
        <v>0</v>
      </c>
      <c r="K43" s="1012">
        <f>industrie!J22</f>
        <v>40.774336437827067</v>
      </c>
      <c r="L43" s="1012">
        <f>industrie!K22</f>
        <v>0</v>
      </c>
      <c r="M43" s="1012">
        <f>industrie!L22</f>
        <v>0</v>
      </c>
      <c r="N43" s="1012">
        <f>industrie!M22</f>
        <v>0</v>
      </c>
      <c r="O43" s="1012">
        <f>industrie!N22</f>
        <v>0</v>
      </c>
      <c r="P43" s="1012">
        <f>industrie!O22</f>
        <v>0</v>
      </c>
      <c r="Q43" s="774">
        <f>industrie!P22</f>
        <v>0</v>
      </c>
      <c r="R43" s="849">
        <f t="shared" ca="1" si="4"/>
        <v>19238.016136262646</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14633.554248565571</v>
      </c>
      <c r="D46" s="732">
        <f t="shared" ref="D46:Q46" ca="1" si="5">SUM(D39:D45)</f>
        <v>0</v>
      </c>
      <c r="E46" s="732">
        <f t="shared" ca="1" si="5"/>
        <v>30039.89655055412</v>
      </c>
      <c r="F46" s="732">
        <f t="shared" si="5"/>
        <v>1512.46434599138</v>
      </c>
      <c r="G46" s="732">
        <f t="shared" ca="1" si="5"/>
        <v>5758.308171958909</v>
      </c>
      <c r="H46" s="732">
        <f t="shared" si="5"/>
        <v>0</v>
      </c>
      <c r="I46" s="732">
        <f t="shared" si="5"/>
        <v>0</v>
      </c>
      <c r="J46" s="732">
        <f t="shared" si="5"/>
        <v>0</v>
      </c>
      <c r="K46" s="732">
        <f t="shared" si="5"/>
        <v>40.774336437827067</v>
      </c>
      <c r="L46" s="732">
        <f t="shared" si="5"/>
        <v>0</v>
      </c>
      <c r="M46" s="732">
        <f t="shared" ca="1" si="5"/>
        <v>0</v>
      </c>
      <c r="N46" s="732">
        <f t="shared" si="5"/>
        <v>0</v>
      </c>
      <c r="O46" s="732">
        <f t="shared" ca="1" si="5"/>
        <v>0</v>
      </c>
      <c r="P46" s="732">
        <f t="shared" si="5"/>
        <v>0</v>
      </c>
      <c r="Q46" s="732">
        <f t="shared" si="5"/>
        <v>0</v>
      </c>
      <c r="R46" s="732">
        <f ca="1">SUM(R39:R45)</f>
        <v>51984.997653507802</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752.37668660720522</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752.37668660720522</v>
      </c>
    </row>
    <row r="50" spans="1:18">
      <c r="A50" s="825" t="s">
        <v>307</v>
      </c>
      <c r="B50" s="835"/>
      <c r="C50" s="703">
        <f ca="1">transport!B18</f>
        <v>3.4247066409013809</v>
      </c>
      <c r="D50" s="703">
        <f>transport!C18</f>
        <v>0</v>
      </c>
      <c r="E50" s="703">
        <f>transport!D18</f>
        <v>10.804512791537547</v>
      </c>
      <c r="F50" s="703">
        <f>transport!E18</f>
        <v>47.734442369478181</v>
      </c>
      <c r="G50" s="703">
        <f>transport!F18</f>
        <v>0</v>
      </c>
      <c r="H50" s="703">
        <f>transport!G18</f>
        <v>19971.34776426377</v>
      </c>
      <c r="I50" s="703">
        <f>transport!H18</f>
        <v>3596.6140374745241</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23629.92546354021</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3.4247066409013809</v>
      </c>
      <c r="D52" s="732">
        <f t="shared" ref="D52:Q52" ca="1" si="6">SUM(D48:D51)</f>
        <v>0</v>
      </c>
      <c r="E52" s="732">
        <f t="shared" si="6"/>
        <v>10.804512791537547</v>
      </c>
      <c r="F52" s="732">
        <f t="shared" si="6"/>
        <v>47.734442369478181</v>
      </c>
      <c r="G52" s="732">
        <f t="shared" si="6"/>
        <v>0</v>
      </c>
      <c r="H52" s="732">
        <f t="shared" si="6"/>
        <v>20723.724450870974</v>
      </c>
      <c r="I52" s="732">
        <f t="shared" si="6"/>
        <v>3596.6140374745241</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24382.302150147414</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185.79952117756682</v>
      </c>
      <c r="D54" s="703">
        <f ca="1">+landbouw!C12</f>
        <v>0</v>
      </c>
      <c r="E54" s="703">
        <f>+landbouw!D12</f>
        <v>961.51488762802444</v>
      </c>
      <c r="F54" s="703">
        <f>+landbouw!E12</f>
        <v>7.9101228631907734</v>
      </c>
      <c r="G54" s="703">
        <f>+landbouw!F12</f>
        <v>1318.8395486592785</v>
      </c>
      <c r="H54" s="703">
        <f>+landbouw!G12</f>
        <v>0</v>
      </c>
      <c r="I54" s="703">
        <f>+landbouw!H12</f>
        <v>0</v>
      </c>
      <c r="J54" s="703">
        <f>+landbouw!I12</f>
        <v>0</v>
      </c>
      <c r="K54" s="703">
        <f>+landbouw!J12</f>
        <v>68.86927090040534</v>
      </c>
      <c r="L54" s="703">
        <f>+landbouw!K12</f>
        <v>0</v>
      </c>
      <c r="M54" s="703">
        <f>+landbouw!L12</f>
        <v>0</v>
      </c>
      <c r="N54" s="703">
        <f>+landbouw!M12</f>
        <v>0</v>
      </c>
      <c r="O54" s="703">
        <f>+landbouw!N12</f>
        <v>0</v>
      </c>
      <c r="P54" s="703">
        <f>+landbouw!O12</f>
        <v>0</v>
      </c>
      <c r="Q54" s="704">
        <f>+landbouw!P12</f>
        <v>0</v>
      </c>
      <c r="R54" s="731">
        <f ca="1">SUM(C54:Q54)</f>
        <v>2542.9333512284657</v>
      </c>
    </row>
    <row r="55" spans="1:18" ht="15" thickBot="1">
      <c r="A55" s="825" t="s">
        <v>848</v>
      </c>
      <c r="B55" s="835"/>
      <c r="C55" s="703">
        <f ca="1">C25*'EF ele_warmte'!B12</f>
        <v>250.14668792416791</v>
      </c>
      <c r="D55" s="703"/>
      <c r="E55" s="703">
        <f>E25*EF_CO2_aardgas</f>
        <v>324.34203469420004</v>
      </c>
      <c r="F55" s="703"/>
      <c r="G55" s="703"/>
      <c r="H55" s="703"/>
      <c r="I55" s="703"/>
      <c r="J55" s="703"/>
      <c r="K55" s="703"/>
      <c r="L55" s="703"/>
      <c r="M55" s="703"/>
      <c r="N55" s="703"/>
      <c r="O55" s="703"/>
      <c r="P55" s="703"/>
      <c r="Q55" s="704"/>
      <c r="R55" s="731">
        <f ca="1">SUM(C55:Q55)</f>
        <v>574.488722618368</v>
      </c>
    </row>
    <row r="56" spans="1:18" ht="15.75" thickBot="1">
      <c r="A56" s="823" t="s">
        <v>849</v>
      </c>
      <c r="B56" s="836"/>
      <c r="C56" s="732">
        <f ca="1">SUM(C54:C55)</f>
        <v>435.94620910173472</v>
      </c>
      <c r="D56" s="732">
        <f t="shared" ref="D56:Q56" ca="1" si="7">SUM(D54:D55)</f>
        <v>0</v>
      </c>
      <c r="E56" s="732">
        <f t="shared" si="7"/>
        <v>1285.8569223222244</v>
      </c>
      <c r="F56" s="732">
        <f t="shared" si="7"/>
        <v>7.9101228631907734</v>
      </c>
      <c r="G56" s="732">
        <f t="shared" si="7"/>
        <v>1318.8395486592785</v>
      </c>
      <c r="H56" s="732">
        <f t="shared" si="7"/>
        <v>0</v>
      </c>
      <c r="I56" s="732">
        <f t="shared" si="7"/>
        <v>0</v>
      </c>
      <c r="J56" s="732">
        <f t="shared" si="7"/>
        <v>0</v>
      </c>
      <c r="K56" s="732">
        <f t="shared" si="7"/>
        <v>68.86927090040534</v>
      </c>
      <c r="L56" s="732">
        <f t="shared" si="7"/>
        <v>0</v>
      </c>
      <c r="M56" s="732">
        <f t="shared" si="7"/>
        <v>0</v>
      </c>
      <c r="N56" s="732">
        <f t="shared" si="7"/>
        <v>0</v>
      </c>
      <c r="O56" s="732">
        <f t="shared" si="7"/>
        <v>0</v>
      </c>
      <c r="P56" s="732">
        <f t="shared" si="7"/>
        <v>0</v>
      </c>
      <c r="Q56" s="733">
        <f t="shared" si="7"/>
        <v>0</v>
      </c>
      <c r="R56" s="734">
        <f ca="1">SUM(R54:R55)</f>
        <v>3117.4220738468339</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15072.925164308206</v>
      </c>
      <c r="D61" s="740">
        <f t="shared" ref="D61:Q61" ca="1" si="8">D46+D52+D56</f>
        <v>0</v>
      </c>
      <c r="E61" s="740">
        <f t="shared" ca="1" si="8"/>
        <v>31336.557985667885</v>
      </c>
      <c r="F61" s="740">
        <f t="shared" si="8"/>
        <v>1568.1089112240488</v>
      </c>
      <c r="G61" s="740">
        <f t="shared" ca="1" si="8"/>
        <v>7077.147720618188</v>
      </c>
      <c r="H61" s="740">
        <f t="shared" si="8"/>
        <v>20723.724450870974</v>
      </c>
      <c r="I61" s="740">
        <f t="shared" si="8"/>
        <v>3596.6140374745241</v>
      </c>
      <c r="J61" s="740">
        <f t="shared" si="8"/>
        <v>0</v>
      </c>
      <c r="K61" s="740">
        <f t="shared" si="8"/>
        <v>109.64360733823241</v>
      </c>
      <c r="L61" s="740">
        <f t="shared" si="8"/>
        <v>0</v>
      </c>
      <c r="M61" s="740">
        <f t="shared" ca="1" si="8"/>
        <v>0</v>
      </c>
      <c r="N61" s="740">
        <f t="shared" si="8"/>
        <v>0</v>
      </c>
      <c r="O61" s="740">
        <f t="shared" ca="1" si="8"/>
        <v>0</v>
      </c>
      <c r="P61" s="740">
        <f t="shared" si="8"/>
        <v>0</v>
      </c>
      <c r="Q61" s="740">
        <f t="shared" si="8"/>
        <v>0</v>
      </c>
      <c r="R61" s="740">
        <f ca="1">R46+R52+R56</f>
        <v>79484.721877502045</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0.1374908823315901</v>
      </c>
      <c r="D63" s="781">
        <f t="shared" ca="1" si="9"/>
        <v>0</v>
      </c>
      <c r="E63" s="1023">
        <f t="shared" ca="1" si="9"/>
        <v>0.20200000000000001</v>
      </c>
      <c r="F63" s="781">
        <f t="shared" si="9"/>
        <v>0.22699999999999998</v>
      </c>
      <c r="G63" s="781">
        <f t="shared" ca="1" si="9"/>
        <v>0.26700000000000007</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8120.7621391042248</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15961.5</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18778.23529411765</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17343</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49551.428571428572</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41425.262139104227</v>
      </c>
      <c r="C78" s="755">
        <f>SUM(C72:C77)</f>
        <v>0</v>
      </c>
      <c r="D78" s="756">
        <f t="shared" ref="D78:H78" si="10">SUM(D76:D77)</f>
        <v>0</v>
      </c>
      <c r="E78" s="756">
        <f t="shared" si="10"/>
        <v>0</v>
      </c>
      <c r="F78" s="756">
        <f t="shared" si="10"/>
        <v>0</v>
      </c>
      <c r="G78" s="756">
        <f t="shared" si="10"/>
        <v>0</v>
      </c>
      <c r="H78" s="756">
        <f t="shared" si="10"/>
        <v>0</v>
      </c>
      <c r="I78" s="756">
        <f>SUM(I76:I77)</f>
        <v>0</v>
      </c>
      <c r="J78" s="756">
        <f>SUM(J76:J77)</f>
        <v>68329.66386554623</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22802.142857142859</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26826.050420168071</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22802.142857142859</v>
      </c>
      <c r="C90" s="755">
        <f>SUM(C87:C89)</f>
        <v>0</v>
      </c>
      <c r="D90" s="755">
        <f t="shared" ref="D90:H90" si="12">SUM(D87:D89)</f>
        <v>0</v>
      </c>
      <c r="E90" s="755">
        <f t="shared" si="12"/>
        <v>0</v>
      </c>
      <c r="F90" s="755">
        <f t="shared" si="12"/>
        <v>0</v>
      </c>
      <c r="G90" s="755">
        <f t="shared" si="12"/>
        <v>0</v>
      </c>
      <c r="H90" s="755">
        <f t="shared" si="12"/>
        <v>0</v>
      </c>
      <c r="I90" s="755">
        <f>SUM(I87:I89)</f>
        <v>0</v>
      </c>
      <c r="J90" s="755">
        <f>SUM(J87:J89)</f>
        <v>26826.050420168071</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8120.7621391042248</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15961.5</v>
      </c>
      <c r="C8" s="570">
        <f>B101</f>
        <v>0</v>
      </c>
      <c r="D8" s="1043"/>
      <c r="E8" s="1043">
        <f>E101</f>
        <v>0</v>
      </c>
      <c r="F8" s="1044"/>
      <c r="G8" s="571"/>
      <c r="H8" s="1043">
        <f>I101</f>
        <v>0</v>
      </c>
      <c r="I8" s="1043">
        <f>G101+F101</f>
        <v>0</v>
      </c>
      <c r="J8" s="1043">
        <f>H101+D101+C101</f>
        <v>18778.23529411765</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17343</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49551.428571428572</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41425.262139104227</v>
      </c>
      <c r="C10" s="583">
        <f t="shared" ref="C10:L10" si="0">SUM(C8:C9)</f>
        <v>0</v>
      </c>
      <c r="D10" s="583">
        <f t="shared" si="0"/>
        <v>0</v>
      </c>
      <c r="E10" s="583">
        <f t="shared" si="0"/>
        <v>0</v>
      </c>
      <c r="F10" s="583">
        <f t="shared" si="0"/>
        <v>0</v>
      </c>
      <c r="G10" s="583">
        <f t="shared" si="0"/>
        <v>0</v>
      </c>
      <c r="H10" s="583">
        <f t="shared" si="0"/>
        <v>0</v>
      </c>
      <c r="I10" s="583">
        <f t="shared" si="0"/>
        <v>0</v>
      </c>
      <c r="J10" s="583">
        <f t="shared" si="0"/>
        <v>68329.66386554623</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22802.142857142859</v>
      </c>
      <c r="C17" s="595">
        <f>B102</f>
        <v>0</v>
      </c>
      <c r="D17" s="596"/>
      <c r="E17" s="596">
        <f>E102</f>
        <v>0</v>
      </c>
      <c r="F17" s="1049"/>
      <c r="G17" s="597"/>
      <c r="H17" s="595">
        <f>I102</f>
        <v>0</v>
      </c>
      <c r="I17" s="596">
        <f>G102+F102</f>
        <v>0</v>
      </c>
      <c r="J17" s="596">
        <f>H102+D102+C102</f>
        <v>26826.050420168071</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22802.142857142859</v>
      </c>
      <c r="C20" s="582">
        <f>SUM(C17:C19)</f>
        <v>0</v>
      </c>
      <c r="D20" s="582">
        <f t="shared" ref="D20:L20" si="1">SUM(D17:D19)</f>
        <v>0</v>
      </c>
      <c r="E20" s="582">
        <f t="shared" si="1"/>
        <v>0</v>
      </c>
      <c r="F20" s="582">
        <f t="shared" si="1"/>
        <v>0</v>
      </c>
      <c r="G20" s="582">
        <f t="shared" si="1"/>
        <v>0</v>
      </c>
      <c r="H20" s="582">
        <f t="shared" si="1"/>
        <v>0</v>
      </c>
      <c r="I20" s="582">
        <f t="shared" si="1"/>
        <v>0</v>
      </c>
      <c r="J20" s="582">
        <f t="shared" si="1"/>
        <v>26826.050420168071</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63.75">
      <c r="A28" s="605"/>
      <c r="B28" s="796">
        <v>11057</v>
      </c>
      <c r="C28" s="796">
        <v>2390</v>
      </c>
      <c r="D28" s="653" t="s">
        <v>890</v>
      </c>
      <c r="E28" s="652" t="s">
        <v>891</v>
      </c>
      <c r="F28" s="652" t="s">
        <v>892</v>
      </c>
      <c r="G28" s="652" t="s">
        <v>893</v>
      </c>
      <c r="H28" s="652" t="s">
        <v>894</v>
      </c>
      <c r="I28" s="652" t="s">
        <v>891</v>
      </c>
      <c r="J28" s="795">
        <v>40029</v>
      </c>
      <c r="K28" s="795">
        <v>39022</v>
      </c>
      <c r="L28" s="652" t="s">
        <v>895</v>
      </c>
      <c r="M28" s="652">
        <v>3547</v>
      </c>
      <c r="N28" s="652">
        <v>15961.5</v>
      </c>
      <c r="O28" s="652">
        <v>22802.142857142859</v>
      </c>
      <c r="P28" s="652">
        <v>0</v>
      </c>
      <c r="Q28" s="652">
        <v>45604.285714285717</v>
      </c>
      <c r="R28" s="652">
        <v>0</v>
      </c>
      <c r="S28" s="652">
        <v>0</v>
      </c>
      <c r="T28" s="652">
        <v>0</v>
      </c>
      <c r="U28" s="652">
        <v>0</v>
      </c>
      <c r="V28" s="652">
        <v>0</v>
      </c>
      <c r="W28" s="652">
        <v>0</v>
      </c>
      <c r="X28" s="652">
        <v>1600</v>
      </c>
      <c r="Y28" s="652" t="s">
        <v>50</v>
      </c>
      <c r="Z28" s="654" t="s">
        <v>156</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3547</v>
      </c>
      <c r="N58" s="610">
        <f>SUM(N28:N57)</f>
        <v>15961.5</v>
      </c>
      <c r="O58" s="610">
        <f t="shared" ref="O58:W58" si="2">SUM(O28:O57)</f>
        <v>22802.142857142859</v>
      </c>
      <c r="P58" s="610">
        <f t="shared" si="2"/>
        <v>0</v>
      </c>
      <c r="Q58" s="610">
        <f t="shared" si="2"/>
        <v>45604.285714285717</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3547</v>
      </c>
      <c r="N60" s="610">
        <f ca="1">SUMIF($Z$28:AD57,"tertiair",N28:N57)</f>
        <v>15961.5</v>
      </c>
      <c r="O60" s="610">
        <f ca="1">SUMIF($Z$28:AE57,"tertiair",O28:O57)</f>
        <v>22802.142857142859</v>
      </c>
      <c r="P60" s="610">
        <f ca="1">SUMIF($Z$28:AF57,"tertiair",P28:P57)</f>
        <v>0</v>
      </c>
      <c r="Q60" s="610">
        <f ca="1">SUMIF($Z$28:AG57,"tertiair",Q28:Q57)</f>
        <v>45604.285714285717</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38.25">
      <c r="A64" s="607"/>
      <c r="B64" s="796">
        <v>11057</v>
      </c>
      <c r="C64" s="796">
        <v>2390</v>
      </c>
      <c r="D64" s="655" t="s">
        <v>896</v>
      </c>
      <c r="E64" s="655" t="s">
        <v>897</v>
      </c>
      <c r="F64" s="655" t="s">
        <v>898</v>
      </c>
      <c r="G64" s="655" t="s">
        <v>899</v>
      </c>
      <c r="H64" s="655" t="s">
        <v>900</v>
      </c>
      <c r="I64" s="655" t="s">
        <v>897</v>
      </c>
      <c r="J64" s="795">
        <v>39859</v>
      </c>
      <c r="K64" s="795">
        <v>38018</v>
      </c>
      <c r="L64" s="655" t="s">
        <v>901</v>
      </c>
      <c r="M64" s="655">
        <v>3854</v>
      </c>
      <c r="N64" s="655">
        <v>17343</v>
      </c>
      <c r="O64" s="655">
        <v>0</v>
      </c>
      <c r="P64" s="655">
        <v>0</v>
      </c>
      <c r="Q64" s="655">
        <v>49551.428571428572</v>
      </c>
      <c r="R64" s="655">
        <v>0</v>
      </c>
      <c r="S64" s="655">
        <v>0</v>
      </c>
      <c r="T64" s="655">
        <v>0</v>
      </c>
      <c r="U64" s="655">
        <v>0</v>
      </c>
      <c r="V64" s="655">
        <v>0</v>
      </c>
      <c r="W64" s="655">
        <v>0</v>
      </c>
      <c r="X64" s="655">
        <v>10</v>
      </c>
      <c r="Y64" s="655" t="s">
        <v>112</v>
      </c>
      <c r="Z64" s="656" t="s">
        <v>112</v>
      </c>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3854</v>
      </c>
      <c r="N89" s="610">
        <f t="shared" ref="N89:W89" si="5">SUM(N64:N88)</f>
        <v>17343</v>
      </c>
      <c r="O89" s="610">
        <f t="shared" si="5"/>
        <v>0</v>
      </c>
      <c r="P89" s="610">
        <f t="shared" si="5"/>
        <v>0</v>
      </c>
      <c r="Q89" s="610">
        <f t="shared" si="5"/>
        <v>49551.428571428572</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3854</v>
      </c>
      <c r="N92" s="615">
        <f t="shared" si="8"/>
        <v>17343</v>
      </c>
      <c r="O92" s="615">
        <f t="shared" si="8"/>
        <v>0</v>
      </c>
      <c r="P92" s="615">
        <f t="shared" si="8"/>
        <v>0</v>
      </c>
      <c r="Q92" s="615">
        <f t="shared" si="8"/>
        <v>49551.428571428572</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0.41176470588235298</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18778.23529411765</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26826.050420168071</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26878.830070576598</v>
      </c>
      <c r="C4" s="477">
        <f>huishoudens!C8</f>
        <v>0</v>
      </c>
      <c r="D4" s="477">
        <f>huishoudens!D8</f>
        <v>69561.415389796006</v>
      </c>
      <c r="E4" s="477">
        <f>huishoudens!E8</f>
        <v>2816.5222377006812</v>
      </c>
      <c r="F4" s="477">
        <f>huishoudens!F8</f>
        <v>0</v>
      </c>
      <c r="G4" s="477">
        <f>huishoudens!G8</f>
        <v>0</v>
      </c>
      <c r="H4" s="477">
        <f>huishoudens!H8</f>
        <v>0</v>
      </c>
      <c r="I4" s="477">
        <f>huishoudens!I8</f>
        <v>0</v>
      </c>
      <c r="J4" s="477">
        <f>huishoudens!J8</f>
        <v>0</v>
      </c>
      <c r="K4" s="477">
        <f>huishoudens!K8</f>
        <v>0</v>
      </c>
      <c r="L4" s="477">
        <f>huishoudens!L8</f>
        <v>0</v>
      </c>
      <c r="M4" s="477">
        <f>huishoudens!M8</f>
        <v>0</v>
      </c>
      <c r="N4" s="477">
        <f>huishoudens!N8</f>
        <v>16426.741560637794</v>
      </c>
      <c r="O4" s="477">
        <f>huishoudens!O8</f>
        <v>186.03666666666666</v>
      </c>
      <c r="P4" s="478">
        <f>huishoudens!P8</f>
        <v>819.86666666666667</v>
      </c>
      <c r="Q4" s="479">
        <f>SUM(B4:P4)</f>
        <v>116689.41259204442</v>
      </c>
    </row>
    <row r="5" spans="1:17">
      <c r="A5" s="476" t="s">
        <v>156</v>
      </c>
      <c r="B5" s="477">
        <f ca="1">tertiair!B16</f>
        <v>36209.607992799996</v>
      </c>
      <c r="C5" s="477">
        <f ca="1">tertiair!C16</f>
        <v>22802.142857142859</v>
      </c>
      <c r="D5" s="477">
        <f ca="1">tertiair!D16</f>
        <v>38385.715661858398</v>
      </c>
      <c r="E5" s="477">
        <f>tertiair!E16</f>
        <v>388.83261844653913</v>
      </c>
      <c r="F5" s="477">
        <f ca="1">tertiair!F16</f>
        <v>5489.5877863298847</v>
      </c>
      <c r="G5" s="477">
        <f>tertiair!G16</f>
        <v>0</v>
      </c>
      <c r="H5" s="477">
        <f>tertiair!H16</f>
        <v>0</v>
      </c>
      <c r="I5" s="477">
        <f>tertiair!I16</f>
        <v>0</v>
      </c>
      <c r="J5" s="477">
        <f>tertiair!J16</f>
        <v>0</v>
      </c>
      <c r="K5" s="477">
        <f>tertiair!K16</f>
        <v>0</v>
      </c>
      <c r="L5" s="477">
        <f ca="1">tertiair!L16</f>
        <v>0</v>
      </c>
      <c r="M5" s="477">
        <f>tertiair!M16</f>
        <v>0</v>
      </c>
      <c r="N5" s="477">
        <f ca="1">tertiair!N16</f>
        <v>0</v>
      </c>
      <c r="O5" s="477">
        <f>tertiair!O16</f>
        <v>4.6900000000000004</v>
      </c>
      <c r="P5" s="478">
        <f>tertiair!P16</f>
        <v>76.266666666666666</v>
      </c>
      <c r="Q5" s="476">
        <f t="shared" ref="Q5:Q14" ca="1" si="0">SUM(B5:P5)</f>
        <v>103356.84358324434</v>
      </c>
    </row>
    <row r="6" spans="1:17">
      <c r="A6" s="476" t="s">
        <v>194</v>
      </c>
      <c r="B6" s="477">
        <f>'openbare verlichting'!B8</f>
        <v>539.96699999999998</v>
      </c>
      <c r="C6" s="477"/>
      <c r="D6" s="477"/>
      <c r="E6" s="477"/>
      <c r="F6" s="477"/>
      <c r="G6" s="477"/>
      <c r="H6" s="477"/>
      <c r="I6" s="477"/>
      <c r="J6" s="477"/>
      <c r="K6" s="477"/>
      <c r="L6" s="477"/>
      <c r="M6" s="477"/>
      <c r="N6" s="477"/>
      <c r="O6" s="477"/>
      <c r="P6" s="478"/>
      <c r="Q6" s="476">
        <f t="shared" si="0"/>
        <v>539.96699999999998</v>
      </c>
    </row>
    <row r="7" spans="1:17">
      <c r="A7" s="476" t="s">
        <v>112</v>
      </c>
      <c r="B7" s="477">
        <f>landbouw!B8</f>
        <v>1351.35885396</v>
      </c>
      <c r="C7" s="477">
        <f>landbouw!C8</f>
        <v>0</v>
      </c>
      <c r="D7" s="477">
        <f>landbouw!D8</f>
        <v>4759.9746912278433</v>
      </c>
      <c r="E7" s="477">
        <f>landbouw!E8</f>
        <v>34.846356225510014</v>
      </c>
      <c r="F7" s="477">
        <f>landbouw!F8</f>
        <v>4939.4739650160245</v>
      </c>
      <c r="G7" s="477">
        <f>landbouw!G8</f>
        <v>0</v>
      </c>
      <c r="H7" s="477">
        <f>landbouw!H8</f>
        <v>0</v>
      </c>
      <c r="I7" s="477">
        <f>landbouw!I8</f>
        <v>0</v>
      </c>
      <c r="J7" s="477">
        <f>landbouw!J8</f>
        <v>194.54596299549533</v>
      </c>
      <c r="K7" s="477">
        <f>landbouw!K8</f>
        <v>0</v>
      </c>
      <c r="L7" s="477">
        <f>landbouw!L8</f>
        <v>0</v>
      </c>
      <c r="M7" s="477">
        <f>landbouw!M8</f>
        <v>0</v>
      </c>
      <c r="N7" s="477">
        <f>landbouw!N8</f>
        <v>0</v>
      </c>
      <c r="O7" s="477">
        <f>landbouw!O8</f>
        <v>0</v>
      </c>
      <c r="P7" s="478">
        <f>landbouw!P8</f>
        <v>0</v>
      </c>
      <c r="Q7" s="476">
        <f t="shared" si="0"/>
        <v>11280.199829424871</v>
      </c>
    </row>
    <row r="8" spans="1:17">
      <c r="A8" s="476" t="s">
        <v>638</v>
      </c>
      <c r="B8" s="477">
        <f>industrie!B18</f>
        <v>42804.501616743997</v>
      </c>
      <c r="C8" s="477">
        <f>industrie!C18</f>
        <v>0</v>
      </c>
      <c r="D8" s="477">
        <f>industrie!D18</f>
        <v>40765.228109504584</v>
      </c>
      <c r="E8" s="477">
        <f>industrie!E18</f>
        <v>3457.4836724491674</v>
      </c>
      <c r="F8" s="477">
        <f>industrie!F18</f>
        <v>16077.109486924455</v>
      </c>
      <c r="G8" s="477">
        <f>industrie!G18</f>
        <v>0</v>
      </c>
      <c r="H8" s="477">
        <f>industrie!H18</f>
        <v>0</v>
      </c>
      <c r="I8" s="477">
        <f>industrie!I18</f>
        <v>0</v>
      </c>
      <c r="J8" s="477">
        <f>industrie!J18</f>
        <v>115.18174134979398</v>
      </c>
      <c r="K8" s="477">
        <f>industrie!K18</f>
        <v>0</v>
      </c>
      <c r="L8" s="477">
        <f>industrie!L18</f>
        <v>0</v>
      </c>
      <c r="M8" s="477">
        <f>industrie!M18</f>
        <v>0</v>
      </c>
      <c r="N8" s="477">
        <f>industrie!N18</f>
        <v>10181.233710097538</v>
      </c>
      <c r="O8" s="477">
        <f>industrie!O18</f>
        <v>0</v>
      </c>
      <c r="P8" s="478">
        <f>industrie!P18</f>
        <v>0</v>
      </c>
      <c r="Q8" s="476">
        <f t="shared" si="0"/>
        <v>113400.73833706953</v>
      </c>
    </row>
    <row r="9" spans="1:17" s="482" customFormat="1">
      <c r="A9" s="480" t="s">
        <v>564</v>
      </c>
      <c r="B9" s="481">
        <f>transport!B14</f>
        <v>24.908609086106036</v>
      </c>
      <c r="C9" s="481">
        <f>transport!C14</f>
        <v>0</v>
      </c>
      <c r="D9" s="481">
        <f>transport!D14</f>
        <v>53.487687086819534</v>
      </c>
      <c r="E9" s="481">
        <f>transport!E14</f>
        <v>210.28388709021223</v>
      </c>
      <c r="F9" s="481">
        <f>transport!F14</f>
        <v>0</v>
      </c>
      <c r="G9" s="481">
        <f>transport!G14</f>
        <v>74799.055296868042</v>
      </c>
      <c r="H9" s="481">
        <f>transport!H14</f>
        <v>14444.233082227005</v>
      </c>
      <c r="I9" s="481">
        <f>transport!I14</f>
        <v>0</v>
      </c>
      <c r="J9" s="481">
        <f>transport!J14</f>
        <v>0</v>
      </c>
      <c r="K9" s="481">
        <f>transport!K14</f>
        <v>0</v>
      </c>
      <c r="L9" s="481">
        <f>transport!L14</f>
        <v>0</v>
      </c>
      <c r="M9" s="481">
        <f>transport!M14</f>
        <v>2789.3081924478015</v>
      </c>
      <c r="N9" s="481">
        <f>transport!N14</f>
        <v>0</v>
      </c>
      <c r="O9" s="481">
        <f>transport!O14</f>
        <v>0</v>
      </c>
      <c r="P9" s="481">
        <f>transport!P14</f>
        <v>0</v>
      </c>
      <c r="Q9" s="480">
        <f>SUM(B9:P9)</f>
        <v>92321.276754805978</v>
      </c>
    </row>
    <row r="10" spans="1:17">
      <c r="A10" s="476" t="s">
        <v>554</v>
      </c>
      <c r="B10" s="477">
        <f>transport!B54</f>
        <v>0</v>
      </c>
      <c r="C10" s="477">
        <f>transport!C54</f>
        <v>0</v>
      </c>
      <c r="D10" s="477">
        <f>transport!D54</f>
        <v>0</v>
      </c>
      <c r="E10" s="477">
        <f>transport!E54</f>
        <v>0</v>
      </c>
      <c r="F10" s="477">
        <f>transport!F54</f>
        <v>0</v>
      </c>
      <c r="G10" s="477">
        <f>transport!G54</f>
        <v>2817.8902120120042</v>
      </c>
      <c r="H10" s="477">
        <f>transport!H54</f>
        <v>0</v>
      </c>
      <c r="I10" s="477">
        <f>transport!I54</f>
        <v>0</v>
      </c>
      <c r="J10" s="477">
        <f>transport!J54</f>
        <v>0</v>
      </c>
      <c r="K10" s="477">
        <f>transport!K54</f>
        <v>0</v>
      </c>
      <c r="L10" s="477">
        <f>transport!L54</f>
        <v>0</v>
      </c>
      <c r="M10" s="477">
        <f>transport!M54</f>
        <v>87.404650243103745</v>
      </c>
      <c r="N10" s="477">
        <f>transport!N54</f>
        <v>0</v>
      </c>
      <c r="O10" s="477">
        <f>transport!O54</f>
        <v>0</v>
      </c>
      <c r="P10" s="478">
        <f>transport!P54</f>
        <v>0</v>
      </c>
      <c r="Q10" s="476">
        <f t="shared" si="0"/>
        <v>2905.294862255108</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1819.3692824</v>
      </c>
      <c r="C14" s="484"/>
      <c r="D14" s="484">
        <f>'SEAP template'!E25</f>
        <v>1605.6536371</v>
      </c>
      <c r="E14" s="484"/>
      <c r="F14" s="484"/>
      <c r="G14" s="484"/>
      <c r="H14" s="484"/>
      <c r="I14" s="484"/>
      <c r="J14" s="484"/>
      <c r="K14" s="484"/>
      <c r="L14" s="484"/>
      <c r="M14" s="484"/>
      <c r="N14" s="484"/>
      <c r="O14" s="484"/>
      <c r="P14" s="485"/>
      <c r="Q14" s="476">
        <f t="shared" si="0"/>
        <v>3425.0229195000002</v>
      </c>
    </row>
    <row r="15" spans="1:17" s="486" customFormat="1">
      <c r="A15" s="1038" t="s">
        <v>558</v>
      </c>
      <c r="B15" s="978">
        <f ca="1">SUM(B4:B14)</f>
        <v>109628.54342556671</v>
      </c>
      <c r="C15" s="978">
        <f t="shared" ref="C15:Q15" ca="1" si="1">SUM(C4:C14)</f>
        <v>22802.142857142859</v>
      </c>
      <c r="D15" s="978">
        <f t="shared" ca="1" si="1"/>
        <v>155131.47517657367</v>
      </c>
      <c r="E15" s="978">
        <f t="shared" si="1"/>
        <v>6907.9687719121102</v>
      </c>
      <c r="F15" s="978">
        <f t="shared" ca="1" si="1"/>
        <v>26506.171238270363</v>
      </c>
      <c r="G15" s="978">
        <f t="shared" si="1"/>
        <v>77616.945508880046</v>
      </c>
      <c r="H15" s="978">
        <f t="shared" si="1"/>
        <v>14444.233082227005</v>
      </c>
      <c r="I15" s="978">
        <f t="shared" si="1"/>
        <v>0</v>
      </c>
      <c r="J15" s="978">
        <f t="shared" si="1"/>
        <v>309.72770434528934</v>
      </c>
      <c r="K15" s="978">
        <f t="shared" si="1"/>
        <v>0</v>
      </c>
      <c r="L15" s="978">
        <f t="shared" ca="1" si="1"/>
        <v>0</v>
      </c>
      <c r="M15" s="978">
        <f t="shared" si="1"/>
        <v>2876.7128426909053</v>
      </c>
      <c r="N15" s="978">
        <f t="shared" ca="1" si="1"/>
        <v>26607.975270735333</v>
      </c>
      <c r="O15" s="978">
        <f t="shared" si="1"/>
        <v>190.72666666666666</v>
      </c>
      <c r="P15" s="978">
        <f t="shared" si="1"/>
        <v>896.13333333333333</v>
      </c>
      <c r="Q15" s="978">
        <f t="shared" ca="1" si="1"/>
        <v>443918.75587834429</v>
      </c>
    </row>
    <row r="17" spans="1:17">
      <c r="A17" s="487" t="s">
        <v>559</v>
      </c>
      <c r="B17" s="786">
        <f ca="1">huishoudens!B10</f>
        <v>0.1374908823315901</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3695.5940624444524</v>
      </c>
      <c r="C22" s="477">
        <f t="shared" ref="C22:C32" ca="1" si="3">C4*$C$17</f>
        <v>0</v>
      </c>
      <c r="D22" s="477">
        <f t="shared" ref="D22:D32" si="4">D4*$D$17</f>
        <v>14051.405908738794</v>
      </c>
      <c r="E22" s="477">
        <f t="shared" ref="E22:E32" si="5">E4*$E$17</f>
        <v>639.35054795805468</v>
      </c>
      <c r="F22" s="477">
        <f t="shared" ref="F22:F32" si="6">F4*$F$17</f>
        <v>0</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18386.350519141302</v>
      </c>
    </row>
    <row r="23" spans="1:17">
      <c r="A23" s="476" t="s">
        <v>156</v>
      </c>
      <c r="B23" s="477">
        <f t="shared" ca="1" si="2"/>
        <v>4978.490951811069</v>
      </c>
      <c r="C23" s="477">
        <f t="shared" ca="1" si="3"/>
        <v>0</v>
      </c>
      <c r="D23" s="477">
        <f t="shared" ca="1" si="4"/>
        <v>7753.9145636953972</v>
      </c>
      <c r="E23" s="477">
        <f t="shared" si="5"/>
        <v>88.265004387364385</v>
      </c>
      <c r="F23" s="477">
        <f t="shared" ca="1" si="6"/>
        <v>1465.7199389500793</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14286.390458843911</v>
      </c>
    </row>
    <row r="24" spans="1:17">
      <c r="A24" s="476" t="s">
        <v>194</v>
      </c>
      <c r="B24" s="477">
        <f t="shared" ca="1" si="2"/>
        <v>74.240539259941713</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74.240539259941713</v>
      </c>
    </row>
    <row r="25" spans="1:17">
      <c r="A25" s="476" t="s">
        <v>112</v>
      </c>
      <c r="B25" s="477">
        <f t="shared" ca="1" si="2"/>
        <v>185.79952117756682</v>
      </c>
      <c r="C25" s="477">
        <f t="shared" ca="1" si="3"/>
        <v>0</v>
      </c>
      <c r="D25" s="477">
        <f t="shared" si="4"/>
        <v>961.51488762802444</v>
      </c>
      <c r="E25" s="477">
        <f t="shared" si="5"/>
        <v>7.9101228631907734</v>
      </c>
      <c r="F25" s="477">
        <f t="shared" si="6"/>
        <v>1318.8395486592785</v>
      </c>
      <c r="G25" s="477">
        <f t="shared" si="7"/>
        <v>0</v>
      </c>
      <c r="H25" s="477">
        <f t="shared" si="8"/>
        <v>0</v>
      </c>
      <c r="I25" s="477">
        <f t="shared" si="9"/>
        <v>0</v>
      </c>
      <c r="J25" s="477">
        <f t="shared" si="10"/>
        <v>68.86927090040534</v>
      </c>
      <c r="K25" s="477">
        <f t="shared" si="11"/>
        <v>0</v>
      </c>
      <c r="L25" s="477">
        <f t="shared" si="12"/>
        <v>0</v>
      </c>
      <c r="M25" s="477">
        <f t="shared" si="13"/>
        <v>0</v>
      </c>
      <c r="N25" s="477">
        <f t="shared" si="14"/>
        <v>0</v>
      </c>
      <c r="O25" s="477">
        <f t="shared" si="15"/>
        <v>0</v>
      </c>
      <c r="P25" s="478">
        <f t="shared" si="16"/>
        <v>0</v>
      </c>
      <c r="Q25" s="476">
        <f t="shared" ca="1" si="17"/>
        <v>2542.9333512284657</v>
      </c>
    </row>
    <row r="26" spans="1:17">
      <c r="A26" s="476" t="s">
        <v>638</v>
      </c>
      <c r="B26" s="477">
        <f t="shared" ca="1" si="2"/>
        <v>5885.2286950501066</v>
      </c>
      <c r="C26" s="477">
        <f t="shared" ca="1" si="3"/>
        <v>0</v>
      </c>
      <c r="D26" s="477">
        <f t="shared" si="4"/>
        <v>8234.576078119926</v>
      </c>
      <c r="E26" s="477">
        <f t="shared" si="5"/>
        <v>784.848793645961</v>
      </c>
      <c r="F26" s="477">
        <f t="shared" si="6"/>
        <v>4292.5882330088298</v>
      </c>
      <c r="G26" s="477">
        <f t="shared" si="7"/>
        <v>0</v>
      </c>
      <c r="H26" s="477">
        <f t="shared" si="8"/>
        <v>0</v>
      </c>
      <c r="I26" s="477">
        <f t="shared" si="9"/>
        <v>0</v>
      </c>
      <c r="J26" s="477">
        <f t="shared" si="10"/>
        <v>40.774336437827067</v>
      </c>
      <c r="K26" s="477">
        <f t="shared" si="11"/>
        <v>0</v>
      </c>
      <c r="L26" s="477">
        <f t="shared" si="12"/>
        <v>0</v>
      </c>
      <c r="M26" s="477">
        <f t="shared" si="13"/>
        <v>0</v>
      </c>
      <c r="N26" s="477">
        <f t="shared" si="14"/>
        <v>0</v>
      </c>
      <c r="O26" s="477">
        <f t="shared" si="15"/>
        <v>0</v>
      </c>
      <c r="P26" s="478">
        <f t="shared" si="16"/>
        <v>0</v>
      </c>
      <c r="Q26" s="476">
        <f t="shared" ca="1" si="17"/>
        <v>19238.016136262646</v>
      </c>
    </row>
    <row r="27" spans="1:17" s="482" customFormat="1">
      <c r="A27" s="480" t="s">
        <v>564</v>
      </c>
      <c r="B27" s="780">
        <f t="shared" ca="1" si="2"/>
        <v>3.4247066409013809</v>
      </c>
      <c r="C27" s="481">
        <f t="shared" ca="1" si="3"/>
        <v>0</v>
      </c>
      <c r="D27" s="481">
        <f t="shared" si="4"/>
        <v>10.804512791537547</v>
      </c>
      <c r="E27" s="481">
        <f t="shared" si="5"/>
        <v>47.734442369478181</v>
      </c>
      <c r="F27" s="481">
        <f t="shared" si="6"/>
        <v>0</v>
      </c>
      <c r="G27" s="481">
        <f t="shared" si="7"/>
        <v>19971.34776426377</v>
      </c>
      <c r="H27" s="481">
        <f t="shared" si="8"/>
        <v>3596.6140374745241</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23629.92546354021</v>
      </c>
    </row>
    <row r="28" spans="1:17">
      <c r="A28" s="476" t="s">
        <v>554</v>
      </c>
      <c r="B28" s="477">
        <f t="shared" ca="1" si="2"/>
        <v>0</v>
      </c>
      <c r="C28" s="477">
        <f t="shared" ca="1" si="3"/>
        <v>0</v>
      </c>
      <c r="D28" s="477">
        <f t="shared" si="4"/>
        <v>0</v>
      </c>
      <c r="E28" s="477">
        <f t="shared" si="5"/>
        <v>0</v>
      </c>
      <c r="F28" s="477">
        <f t="shared" si="6"/>
        <v>0</v>
      </c>
      <c r="G28" s="477">
        <f t="shared" si="7"/>
        <v>752.37668660720522</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752.37668660720522</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250.14668792416791</v>
      </c>
      <c r="C32" s="477">
        <f t="shared" ca="1" si="3"/>
        <v>0</v>
      </c>
      <c r="D32" s="477">
        <f t="shared" si="4"/>
        <v>324.34203469420004</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574.488722618368</v>
      </c>
    </row>
    <row r="33" spans="1:17" s="486" customFormat="1">
      <c r="A33" s="1038" t="s">
        <v>558</v>
      </c>
      <c r="B33" s="978">
        <f ca="1">SUM(B22:B32)</f>
        <v>15072.925164308203</v>
      </c>
      <c r="C33" s="978">
        <f t="shared" ref="C33:Q33" ca="1" si="18">SUM(C22:C32)</f>
        <v>0</v>
      </c>
      <c r="D33" s="978">
        <f t="shared" ca="1" si="18"/>
        <v>31336.557985667881</v>
      </c>
      <c r="E33" s="978">
        <f t="shared" si="18"/>
        <v>1568.1089112240488</v>
      </c>
      <c r="F33" s="978">
        <f t="shared" ca="1" si="18"/>
        <v>7077.147720618188</v>
      </c>
      <c r="G33" s="978">
        <f t="shared" si="18"/>
        <v>20723.724450870974</v>
      </c>
      <c r="H33" s="978">
        <f t="shared" si="18"/>
        <v>3596.6140374745241</v>
      </c>
      <c r="I33" s="978">
        <f t="shared" si="18"/>
        <v>0</v>
      </c>
      <c r="J33" s="978">
        <f t="shared" si="18"/>
        <v>109.64360733823241</v>
      </c>
      <c r="K33" s="978">
        <f t="shared" si="18"/>
        <v>0</v>
      </c>
      <c r="L33" s="978">
        <f t="shared" ca="1" si="18"/>
        <v>0</v>
      </c>
      <c r="M33" s="978">
        <f t="shared" si="18"/>
        <v>0</v>
      </c>
      <c r="N33" s="978">
        <f t="shared" ca="1" si="18"/>
        <v>0</v>
      </c>
      <c r="O33" s="978">
        <f t="shared" si="18"/>
        <v>0</v>
      </c>
      <c r="P33" s="978">
        <f t="shared" si="18"/>
        <v>0</v>
      </c>
      <c r="Q33" s="978">
        <f t="shared" ca="1" si="18"/>
        <v>79484.721877502045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8120.7621391042248</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15961.5</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18778.23529411765</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17343</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49551.428571428572</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41425.262139104227</v>
      </c>
      <c r="C10" s="1059">
        <f>SUM(C4:C9)</f>
        <v>0</v>
      </c>
      <c r="D10" s="1059">
        <f t="shared" ref="D10:H10" si="0">SUM(D8:D9)</f>
        <v>0</v>
      </c>
      <c r="E10" s="1059">
        <f t="shared" si="0"/>
        <v>0</v>
      </c>
      <c r="F10" s="1059">
        <f t="shared" si="0"/>
        <v>0</v>
      </c>
      <c r="G10" s="1059">
        <f t="shared" si="0"/>
        <v>0</v>
      </c>
      <c r="H10" s="1059">
        <f t="shared" si="0"/>
        <v>0</v>
      </c>
      <c r="I10" s="1059">
        <f>SUM(I8:I9)</f>
        <v>0</v>
      </c>
      <c r="J10" s="1059">
        <f>SUM(J8:J9)</f>
        <v>68329.66386554623</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0.1374908823315901</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22802.142857142859</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26826.050420168071</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22802.142857142859</v>
      </c>
      <c r="C20" s="1059">
        <f>SUM(C17:C19)</f>
        <v>0</v>
      </c>
      <c r="D20" s="1059">
        <f t="shared" ref="D20:H20" si="2">SUM(D17:D19)</f>
        <v>0</v>
      </c>
      <c r="E20" s="1059">
        <f t="shared" si="2"/>
        <v>0</v>
      </c>
      <c r="F20" s="1059">
        <f t="shared" si="2"/>
        <v>0</v>
      </c>
      <c r="G20" s="1059">
        <f t="shared" si="2"/>
        <v>0</v>
      </c>
      <c r="H20" s="1059">
        <f t="shared" si="2"/>
        <v>0</v>
      </c>
      <c r="I20" s="1059">
        <f>SUM(I17:I19)</f>
        <v>0</v>
      </c>
      <c r="J20" s="1059">
        <f>SUM(J17:J19)</f>
        <v>26826.050420168071</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0.1374908823315901</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2</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3.1266666666666669</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2019-08-12T08:22:29Z</dcterms:modified>
</cp:coreProperties>
</file>