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Q24"/>
  <c r="P24"/>
  <c r="N24"/>
  <c r="N26" s="1"/>
  <c r="L24"/>
  <c r="J24"/>
  <c r="J26" s="1"/>
  <c r="I24"/>
  <c r="I26" s="1"/>
  <c r="H24"/>
  <c r="H26" s="1"/>
  <c r="Q50"/>
  <c r="Q52" s="1"/>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H56"/>
  <c r="I56"/>
  <c r="R44"/>
  <c r="E25"/>
  <c r="E55" s="1"/>
  <c r="C25"/>
  <c r="B14" i="48" s="1"/>
  <c r="Q26" i="14"/>
  <c r="P26"/>
  <c r="L26"/>
  <c r="L22"/>
  <c r="P22"/>
  <c r="O22"/>
  <c r="R12"/>
  <c r="O78" l="1"/>
  <c r="O9" i="59"/>
  <c r="O10" s="1"/>
  <c r="O18"/>
  <c r="O20" s="1"/>
  <c r="O90" i="14"/>
  <c r="N20" i="59"/>
  <c r="L78" i="14"/>
  <c r="L8" i="59"/>
  <c r="L10" s="1"/>
  <c r="H90" i="14"/>
  <c r="H18" i="59"/>
  <c r="H20" s="1"/>
  <c r="H78" i="14"/>
  <c r="H8" i="59"/>
  <c r="H10" s="1"/>
  <c r="K10"/>
  <c r="P29" i="48"/>
  <c r="L10" i="18"/>
  <c r="K90" i="14"/>
  <c r="E20" i="59"/>
  <c r="E88" i="14"/>
  <c r="E18" i="59" s="1"/>
  <c r="O29" i="48"/>
  <c r="P31"/>
  <c r="K10" i="18"/>
  <c r="F20"/>
  <c r="N90" i="14"/>
  <c r="E10" i="59"/>
  <c r="E77" i="14"/>
  <c r="E9" i="59" s="1"/>
  <c r="B17" i="18"/>
  <c r="B20" s="1"/>
  <c r="C98"/>
  <c r="K20" i="59"/>
  <c r="P25" i="48"/>
  <c r="R25" i="14"/>
  <c r="F13" i="15"/>
  <c r="G78" i="14"/>
  <c r="N10" i="59"/>
  <c r="L20"/>
  <c r="B8" i="18"/>
  <c r="B10" s="1"/>
  <c r="O19"/>
  <c r="L13" i="15"/>
  <c r="N13"/>
  <c r="Q77" i="14"/>
  <c r="P9" i="59" s="1"/>
  <c r="O9" i="18"/>
  <c r="O18"/>
  <c r="B89" i="14"/>
  <c r="B19" i="59" s="1"/>
  <c r="G88" i="14"/>
  <c r="F89"/>
  <c r="I101" i="18"/>
  <c r="H8" s="1"/>
  <c r="E101"/>
  <c r="E8" s="1"/>
  <c r="H101"/>
  <c r="D101"/>
  <c r="G101"/>
  <c r="C101"/>
  <c r="F101"/>
  <c r="B101"/>
  <c r="C8" s="1"/>
  <c r="I102"/>
  <c r="H17" s="1"/>
  <c r="E102"/>
  <c r="E17" s="1"/>
  <c r="H102"/>
  <c r="D102"/>
  <c r="G102"/>
  <c r="C102"/>
  <c r="F102"/>
  <c r="B102"/>
  <c r="C17" s="1"/>
  <c r="B77" i="14"/>
  <c r="B9" i="59" s="1"/>
  <c r="Q14" i="48"/>
  <c r="O24"/>
  <c r="O30"/>
  <c r="P24"/>
  <c r="P30"/>
  <c r="E90" i="14"/>
  <c r="N78"/>
  <c r="G90" l="1"/>
  <c r="G18" i="59"/>
  <c r="G20" s="1"/>
  <c r="C89" i="14"/>
  <c r="C19" i="59" s="1"/>
  <c r="F19"/>
  <c r="Q88" i="14"/>
  <c r="P18" i="59" s="1"/>
  <c r="E78" i="14"/>
  <c r="B88"/>
  <c r="B18" i="59" s="1"/>
  <c r="C77" i="14"/>
  <c r="C9" i="59" s="1"/>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H32" i="48"/>
  <c r="H28"/>
  <c r="H29"/>
  <c r="H26"/>
  <c r="H22"/>
  <c r="H30"/>
  <c r="H25"/>
  <c r="H24"/>
  <c r="H23"/>
  <c r="G32"/>
  <c r="G29"/>
  <c r="G25"/>
  <c r="G24"/>
  <c r="G26"/>
  <c r="G22"/>
  <c r="G30"/>
  <c r="G23"/>
  <c r="B4"/>
  <c r="C11" i="14"/>
  <c r="F32" i="48"/>
  <c r="F27"/>
  <c r="F28"/>
  <c r="F31"/>
  <c r="F24"/>
  <c r="F30"/>
  <c r="F29"/>
  <c r="N32"/>
  <c r="N28"/>
  <c r="N27"/>
  <c r="N24"/>
  <c r="N31"/>
  <c r="N29"/>
  <c r="N30"/>
  <c r="B10"/>
  <c r="C19" i="14"/>
  <c r="J28" i="48"/>
  <c r="J29"/>
  <c r="J32"/>
  <c r="J31"/>
  <c r="J24"/>
  <c r="J30"/>
  <c r="J27"/>
  <c r="I27"/>
  <c r="I22"/>
  <c r="I32"/>
  <c r="I31"/>
  <c r="I25"/>
  <c r="I29"/>
  <c r="I26"/>
  <c r="I24"/>
  <c r="I30"/>
  <c r="I28"/>
  <c r="E11" i="14"/>
  <c r="D4" i="48"/>
  <c r="D22" s="1"/>
  <c r="D11" i="14"/>
  <c r="C4" i="48"/>
  <c r="E32"/>
  <c r="E28"/>
  <c r="E31"/>
  <c r="E30"/>
  <c r="E29"/>
  <c r="E24"/>
  <c r="M32"/>
  <c r="M26"/>
  <c r="M22"/>
  <c r="M30"/>
  <c r="M24"/>
  <c r="M25"/>
  <c r="M29"/>
  <c r="M23"/>
  <c r="L10" i="14"/>
  <c r="L16" s="1"/>
  <c r="L27" s="1"/>
  <c r="K5" i="48"/>
  <c r="D32"/>
  <c r="D30"/>
  <c r="D28"/>
  <c r="D24"/>
  <c r="D29"/>
  <c r="D31"/>
  <c r="L27"/>
  <c r="L32"/>
  <c r="L22"/>
  <c r="L30"/>
  <c r="L29"/>
  <c r="L28"/>
  <c r="L24"/>
  <c r="L31"/>
  <c r="P5"/>
  <c r="P23" s="1"/>
  <c r="Q10" i="14"/>
  <c r="K28" i="48"/>
  <c r="K25"/>
  <c r="K32"/>
  <c r="K31"/>
  <c r="K29"/>
  <c r="K22"/>
  <c r="K24"/>
  <c r="K26"/>
  <c r="K30"/>
  <c r="K27"/>
  <c r="C24" i="14"/>
  <c r="C26" s="1"/>
  <c r="B7" i="48"/>
  <c r="N46" i="14"/>
  <c r="J15" i="16"/>
  <c r="L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J46" i="14"/>
  <c r="J61" s="1"/>
  <c r="H18"/>
  <c r="G13" i="48"/>
  <c r="H13"/>
  <c r="H31" s="1"/>
  <c r="I18" i="14"/>
  <c r="P8" i="48"/>
  <c r="P26" s="1"/>
  <c r="Q13" i="14"/>
  <c r="F4" i="48"/>
  <c r="F22" s="1"/>
  <c r="G11" i="14"/>
  <c r="I5" i="48"/>
  <c r="J10" i="14"/>
  <c r="J16" s="1"/>
  <c r="J27" s="1"/>
  <c r="P15" i="48"/>
  <c r="P22"/>
  <c r="P33" s="1"/>
  <c r="F20" i="14"/>
  <c r="F22" s="1"/>
  <c r="E9" i="48"/>
  <c r="E27" s="1"/>
  <c r="K23"/>
  <c r="K33" s="1"/>
  <c r="K15"/>
  <c r="E20" i="14"/>
  <c r="E22" s="1"/>
  <c r="D9" i="48"/>
  <c r="D27" s="1"/>
  <c r="O5"/>
  <c r="O23" s="1"/>
  <c r="P10" i="14"/>
  <c r="K24"/>
  <c r="K26" s="1"/>
  <c r="J7" i="48"/>
  <c r="J25" s="1"/>
  <c r="C22" i="14"/>
  <c r="C20"/>
  <c r="B9" i="48"/>
  <c r="Q16" i="14"/>
  <c r="Q27"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H19" i="14" l="1"/>
  <c r="R19" s="1"/>
  <c r="G10" i="48"/>
  <c r="J63" i="14"/>
  <c r="N4" i="48"/>
  <c r="N22" s="1"/>
  <c r="O11" i="14"/>
  <c r="J4" i="48"/>
  <c r="K11" i="14"/>
  <c r="E7" i="48"/>
  <c r="E25" s="1"/>
  <c r="F24" i="14"/>
  <c r="F26" s="1"/>
  <c r="R18"/>
  <c r="N20"/>
  <c r="M9" i="48"/>
  <c r="O22" i="16"/>
  <c r="P43" i="14" s="1"/>
  <c r="O8" i="48"/>
  <c r="O26" s="1"/>
  <c r="P13" i="14"/>
  <c r="G31" i="48"/>
  <c r="Q13"/>
  <c r="P46" i="14"/>
  <c r="P61" s="1"/>
  <c r="N52"/>
  <c r="N61" s="1"/>
  <c r="Q63"/>
  <c r="P16"/>
  <c r="P27" s="1"/>
  <c r="O15" i="48"/>
  <c r="O33"/>
  <c r="E12" i="13"/>
  <c r="F41" i="14" s="1"/>
  <c r="F11"/>
  <c r="E4" i="48"/>
  <c r="H20" i="14"/>
  <c r="R20" s="1"/>
  <c r="G9" i="48"/>
  <c r="Q9" s="1"/>
  <c r="I20" i="14"/>
  <c r="H9" i="48"/>
  <c r="M10"/>
  <c r="M28" s="1"/>
  <c r="N19" i="14"/>
  <c r="N22" s="1"/>
  <c r="N27" s="1"/>
  <c r="I23" i="48"/>
  <c r="I33" s="1"/>
  <c r="I15"/>
  <c r="I22" i="14"/>
  <c r="I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K10" l="1"/>
  <c r="J5" i="48"/>
  <c r="J23" s="1"/>
  <c r="H27"/>
  <c r="H33" s="1"/>
  <c r="H15"/>
  <c r="I63" i="14"/>
  <c r="H22"/>
  <c r="H27" s="1"/>
  <c r="P63"/>
  <c r="R22"/>
  <c r="E5" i="48"/>
  <c r="E23" s="1"/>
  <c r="F10" i="14"/>
  <c r="G27" i="48"/>
  <c r="G33" s="1"/>
  <c r="G15"/>
  <c r="G28"/>
  <c r="Q10"/>
  <c r="M27"/>
  <c r="M33" s="1"/>
  <c r="M15"/>
  <c r="J22"/>
  <c r="E22"/>
  <c r="Q4"/>
  <c r="N63" i="14"/>
  <c r="R24"/>
  <c r="R26" s="1"/>
  <c r="R11"/>
  <c r="Q7" i="48"/>
  <c r="E20" i="15"/>
  <c r="F40" i="14" s="1"/>
  <c r="J18" i="16"/>
  <c r="E18"/>
  <c r="E22" s="1"/>
  <c r="F43" i="14" s="1"/>
  <c r="F18" i="16"/>
  <c r="F22" s="1"/>
  <c r="G43" i="14" s="1"/>
  <c r="N18" i="16"/>
  <c r="G18" i="22"/>
  <c r="H50" i="14" s="1"/>
  <c r="H52" s="1"/>
  <c r="H61" s="1"/>
  <c r="H63" s="1"/>
  <c r="H18" i="22"/>
  <c r="I50" i="14" s="1"/>
  <c r="I52" s="1"/>
  <c r="I61" s="1"/>
  <c r="F46" l="1"/>
  <c r="F61" s="1"/>
  <c r="J22" i="16"/>
  <c r="K43" i="14" s="1"/>
  <c r="K46" s="1"/>
  <c r="K61" s="1"/>
  <c r="K13"/>
  <c r="K16" s="1"/>
  <c r="K27" s="1"/>
  <c r="J8" i="48"/>
  <c r="E8"/>
  <c r="F13" i="14"/>
  <c r="F16" s="1"/>
  <c r="F27" s="1"/>
  <c r="N8" i="48"/>
  <c r="N26" s="1"/>
  <c r="O13" i="14"/>
  <c r="N22" i="16"/>
  <c r="O43" i="14" s="1"/>
  <c r="G13"/>
  <c r="R13" s="1"/>
  <c r="F8" i="48"/>
  <c r="J26" l="1"/>
  <c r="J33" s="1"/>
  <c r="J15"/>
  <c r="E26"/>
  <c r="E33" s="1"/>
  <c r="E15"/>
  <c r="F6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<sst xmlns="http://schemas.openxmlformats.org/spreadsheetml/2006/main" count="2464" uniqueCount="917">
  <si>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</si>
  <si>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</si>
  <si>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</si>
  <si>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</si>
  <si>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</si>
  <si>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</si>
  <si>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</si>
  <si>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</si>
  <si>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</si>
  <si>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</si>
  <si>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</si>
  <si>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</si>
  <si>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</si>
  <si>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</si>
  <si>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</si>
  <si>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</si>
  <si>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</si>
  <si>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</si>
  <si>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</si>
  <si>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</si>
  <si>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</si>
  <si>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</si>
  <si>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</si>
  <si>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</si>
  <si>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</si>
  <si>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</si>
  <si>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</si>
  <si>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</si>
  <si>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</si>
  <si>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</si>
  <si>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</si>
  <si>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</si>
  <si>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</si>
  <si>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</si>
  <si>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</si>
  <si>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</si>
  <si>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</si>
  <si>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</si>
  <si>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</si>
  <si>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</si>
  <si>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</si>
  <si>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</si>
  <si>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</si>
  <si>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</si>
  <si>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</si>
  <si>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</si>
  <si>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</si>
  <si>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</si>
  <si>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</si>
  <si>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</si>
  <si>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</si>
  <si>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</si>
  <si>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</si>
  <si>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</si>
  <si>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</si>
  <si>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</si>
  <si>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</si>
  <si>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</si>
  <si>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</si>
  <si>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</si>
  <si>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</si>
  <si>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</si>
  <si>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</si>
  <si>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</si>
  <si>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</si>
  <si>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</si>
  <si>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</si>
  <si>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</si>
  <si>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</si>
  <si>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</si>
  <si>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</si>
  <si>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</si>
  <si>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</si>
  <si>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</si>
  <si>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</si>
  <si>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</si>
  <si>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</si>
  <si>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</si>
  <si>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</si>
  <si>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</si>
  <si>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</si>
  <si>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</si>
  <si>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</si>
  <si>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</si>
  <si>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</si>
  <si>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</si>
  <si>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</si>
  <si>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</si>
  <si>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</si>
  <si>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</si>
  <si>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</si>
  <si>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</si>
  <si>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</si>
  <si>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</si>
  <si>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</si>
  <si>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</si>
  <si>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</si>
  <si>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</si>
  <si>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</si>
  <si>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</si>
  <si>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</si>
  <si>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</si>
  <si>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</si>
  <si>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</si>
  <si>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</si>
  <si>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</si>
  <si>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</si>
  <si>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</si>
  <si>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</si>
  <si>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</si>
  <si>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</si>
  <si>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</si>
  <si>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</si>
  <si>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</si>
  <si>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</si>
  <si>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</si>
  <si>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</si>
  <si>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</si>
  <si>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</si>
  <si>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</si>
  <si>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</si>
  <si>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</si>
  <si>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</si>
  <si>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</si>
  <si>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</si>
  <si>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</si>
  <si>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</si>
  <si>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</si>
  <si>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</si>
  <si>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</si>
  <si>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</si>
  <si>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</si>
  <si>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</si>
  <si>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</si>
  <si>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</si>
  <si>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</si>
  <si>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</si>
  <si>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</si>
  <si>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</si>
  <si>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</si>
  <si>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</si>
  <si>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</si>
  <si>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</si>
  <si>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</si>
  <si>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</si>
  <si>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</si>
  <si>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</si>
  <si>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</si>
  <si>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</si>
  <si>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</si>
  <si>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</si>
  <si>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</si>
  <si>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</si>
  <si>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</si>
  <si>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</si>
  <si>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</si>
  <si>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</si>
  <si>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</si>
  <si>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</si>
  <si>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</si>
  <si>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</si>
  <si>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</si>
  <si>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</si>
  <si>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</si>
  <si>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</si>
  <si>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</si>
  <si>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</si>
  <si>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</si>
  <si>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</si>
  <si>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</si>
  <si>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</si>
  <si>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</si>
  <si>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</si>
  <si>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</si>
  <si>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</si>
  <si>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</si>
  <si>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</si>
  <si>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</si>
  <si>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</si>
  <si>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</si>
  <si>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</si>
  <si>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</si>
  <si>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</si>
  <si>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</si>
  <si>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</si>
  <si>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</si>
  <si>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</si>
  <si>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</si>
  <si>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</si>
  <si>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</si>
  <si>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</si>
  <si>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</si>
  <si>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</si>
  <si>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</si>
  <si>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</si>
  <si>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</si>
  <si>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</si>
  <si>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</si>
  <si>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</si>
  <si>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</si>
  <si>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</si>
  <si>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</si>
  <si>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</si>
  <si>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</si>
  <si>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</si>
  <si>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</si>
  <si>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</si>
  <si>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</si>
  <si>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</si>
  <si>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</si>
  <si>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</si>
  <si>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</si>
  <si>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</si>
  <si>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</si>
  <si>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</si>
  <si>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</si>
  <si>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</si>
  <si>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</si>
  <si>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</si>
  <si>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</si>
  <si>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</si>
  <si>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</si>
  <si>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</si>
  <si>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</si>
  <si>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</si>
  <si>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</si>
  <si>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</si>
  <si>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</si>
  <si>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</si>
  <si>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</si>
  <si>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</si>
  <si>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</si>
  <si>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</si>
  <si>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</si>
  <si>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</si>
  <si>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</si>
  <si>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</si>
  <si>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</si>
  <si>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</si>
  <si>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</si>
  <si>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</si>
  <si>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</si>
  <si>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</si>
  <si>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</si>
  <si>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</si>
  <si>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</si>
  <si>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</si>
  <si>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</si>
  <si>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</si>
  <si>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</si>
  <si>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</si>
  <si>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</si>
  <si>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</si>
  <si>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</si>
  <si>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</si>
  <si>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</si>
  <si>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</si>
  <si>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</si>
  <si>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</si>
  <si>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</si>
  <si>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</si>
  <si>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</si>
  <si>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</si>
  <si>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</si>
  <si>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</si>
  <si>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</si>
  <si>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</si>
  <si>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</si>
  <si>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</si>
  <si>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</si>
  <si>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</si>
  <si>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</si>
  <si>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</si>
  <si>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</si>
  <si>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</si>
  <si>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</si>
  <si>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</si>
  <si>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</si>
  <si>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</si>
  <si>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</si>
  <si>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</si>
  <si>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</si>
  <si>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</si>
  <si>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</si>
  <si>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</si>
  <si>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</si>
  <si>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</si>
  <si>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</si>
  <si>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</si>
  <si>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</si>
  <si>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</si>
  <si>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</si>
  <si>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</si>
  <si>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</si>
  <si>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</si>
  <si>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</si>
  <si>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</si>
  <si>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</si>
  <si>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</si>
  <si>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</si>
  <si>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</si>
  <si>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</si>
  <si>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</si>
  <si>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</si>
  <si>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</si>
  <si>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</si>
  <si>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</si>
  <si>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</si>
  <si>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</si>
  <si>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</si>
  <si>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</si>
  <si>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</si>
  <si>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</si>
  <si>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</si>
  <si>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</si>
  <si>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</si>
  <si>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</si>
  <si>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</si>
  <si>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</si>
  <si>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</si>
  <si>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</si>
  <si>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</si>
  <si>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</si>
  <si>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</si>
  <si>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</si>
  <si>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</si>
  <si>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</si>
  <si>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</si>
  <si>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</si>
  <si>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</si>
  <si>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</si>
  <si>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</si>
  <si>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</si>
  <si>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</si>
  <si>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</si>
  <si>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</si>
  <si>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</si>
  <si>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</si>
  <si>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</si>
  <si>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</si>
  <si>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</si>
  <si>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</si>
  <si>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</si>
  <si>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</si>
  <si>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</si>
  <si>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</si>
  <si>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</si>
  <si>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</si>
  <si>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</si>
  <si>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</si>
  <si>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</si>
  <si>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</si>
  <si>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</si>
  <si>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</si>
  <si>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</si>
  <si>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</si>
  <si>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</si>
  <si>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</si>
  <si>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</si>
  <si>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</si>
  <si>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</si>
  <si>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</si>
  <si>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</si>
  <si>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</si>
  <si>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</si>
  <si>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</si>
  <si>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</si>
  <si>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</si>
  <si>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</si>
  <si>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</si>
  <si>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</si>
  <si>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</si>
  <si>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</si>
  <si>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</si>
  <si>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</si>
  <si>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</si>
  <si>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</si>
  <si>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</si>
  <si>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</si>
  <si>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</si>
  <si>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</si>
  <si>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</si>
  <si>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</si>
  <si>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</si>
  <si>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</si>
  <si>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</si>
  <si>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</si>
  <si>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</si>
  <si>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</si>
  <si>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</si>
  <si>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</si>
  <si>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</si>
  <si>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</si>
  <si>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</si>
  <si>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</si>
  <si>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</si>
  <si>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</si>
  <si>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</si>
  <si>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</si>
  <si>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</si>
  <si>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</si>
  <si>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</si>
  <si>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</si>
  <si>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</si>
  <si>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</si>
  <si>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</si>
  <si>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</si>
  <si>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</si>
  <si>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</si>
  <si>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</si>
  <si>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</si>
  <si>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</si>
  <si>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</si>
  <si>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</si>
  <si>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</si>
  <si>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</si>
  <si>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</si>
  <si>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</si>
  <si>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</si>
  <si>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</si>
  <si>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</si>
  <si>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</si>
  <si>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</si>
  <si>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</si>
  <si>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</si>
  <si>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</si>
  <si>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</si>
  <si>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</si>
  <si>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</si>
  <si>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</si>
  <si>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</si>
  <si>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</si>
  <si>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</si>
  <si>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</si>
  <si>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</si>
  <si>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</si>
  <si>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</si>
  <si>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</si>
  <si>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</si>
  <si>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</si>
  <si>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</si>
  <si>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</si>
  <si>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</si>
  <si>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</si>
  <si>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</si>
  <si>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</si>
  <si>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</si>
  <si>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</si>
  <si>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</si>
  <si>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</si>
  <si>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</si>
  <si>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</si>
  <si>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</si>
  <si>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</si>
  <si>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</si>
  <si>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</si>
  <si>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</si>
  <si>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</si>
  <si>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</si>
  <si>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</si>
  <si>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</si>
  <si>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</si>
  <si>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</si>
  <si>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</si>
  <si>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</si>
  <si>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</si>
  <si>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</si>
  <si>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</si>
  <si>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</si>
  <si>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</si>
  <si>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</si>
  <si>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</si>
  <si>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</si>
  <si>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</si>
  <si>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</si>
  <si>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</si>
  <si>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</si>
  <si>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</si>
  <si>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</si>
  <si>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</si>
  <si>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</si>
  <si>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</si>
  <si>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</si>
  <si>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</si>
  <si>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</si>
  <si>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</si>
  <si>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</si>
  <si>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</si>
  <si>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</si>
  <si>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</si>
  <si>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</si>
  <si>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</si>
  <si>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</si>
  <si>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</si>
  <si>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</si>
  <si>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</si>
  <si>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</si>
  <si>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</si>
  <si>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</si>
  <si>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</si>
  <si>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</si>
  <si>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</si>
  <si>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</si>
  <si>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</si>
  <si>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</si>
  <si>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</si>
  <si>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</si>
  <si>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</si>
  <si>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</si>
  <si>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</si>
  <si>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</si>
  <si>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</si>
  <si>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</si>
  <si>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</si>
  <si>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</si>
  <si>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</si>
  <si>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</si>
  <si>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</si>
  <si>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</si>
  <si>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</si>
  <si>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</si>
  <si>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</si>
  <si>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</si>
  <si>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</si>
  <si>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</si>
  <si>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</si>
  <si>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</si>
  <si>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</si>
  <si>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</si>
  <si>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</si>
  <si>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</si>
  <si>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</si>
  <si>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</si>
  <si>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</si>
  <si>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</si>
  <si>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</si>
  <si>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</si>
  <si>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</si>
  <si>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</si>
  <si>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</si>
  <si>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</si>
  <si>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</si>
  <si>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</si>
  <si>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</si>
  <si>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</si>
  <si>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</si>
  <si>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</si>
  <si>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</si>
  <si>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</si>
  <si>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</si>
  <si>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</si>
  <si>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</si>
  <si>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</si>
  <si>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</si>
  <si>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</si>
  <si>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</si>
  <si>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</si>
  <si>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</si>
  <si>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</si>
  <si>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</si>
  <si>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</si>
  <si>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</si>
  <si>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</si>
  <si>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</si>
  <si>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</si>
  <si>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</si>
  <si>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</si>
  <si>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</si>
  <si>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</si>
  <si>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</si>
  <si>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</si>
  <si>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</si>
  <si>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</si>
  <si>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</si>
  <si>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</si>
  <si>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</si>
  <si>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</si>
  <si>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</si>
  <si>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</si>
  <si>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</si>
  <si>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</si>
  <si>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</si>
  <si>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</si>
  <si>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</si>
  <si>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</si>
  <si>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</si>
  <si>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</si>
  <si>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</si>
  <si>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</si>
  <si>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</si>
  <si>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</si>
  <si>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</si>
  <si>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</si>
  <si>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</si>
  <si>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</si>
  <si>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</si>
  <si>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</si>
  <si>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</si>
  <si>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</si>
  <si>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</si>
  <si>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</si>
  <si>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</si>
  <si>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</si>
  <si>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</si>
  <si>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</si>
  <si>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</si>
  <si>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</si>
  <si>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</si>
  <si>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</si>
  <si>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</si>
  <si>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</si>
  <si>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</si>
  <si>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</si>
  <si>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</si>
  <si>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</si>
  <si>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</si>
  <si>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</si>
  <si>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</si>
  <si>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</si>
  <si>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</si>
  <si>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</si>
  <si>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</si>
  <si>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</si>
  <si>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</si>
  <si>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</si>
  <si>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</si>
  <si>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</si>
  <si>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</si>
  <si>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</si>
  <si>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</si>
  <si>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</si>
  <si>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</si>
  <si>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</si>
  <si>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</si>
  <si>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</si>
  <si>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</si>
  <si>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</si>
  <si>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</si>
  <si>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</si>
  <si>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</si>
  <si>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</si>
  <si>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</si>
  <si>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</si>
  <si>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</si>
  <si>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</si>
  <si>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</si>
  <si>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</si>
  <si>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</si>
  <si>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</si>
  <si>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</si>
  <si>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</si>
  <si>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</si>
  <si>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</si>
  <si>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</si>
  <si>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</si>
  <si>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</si>
  <si>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</si>
  <si>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</si>
  <si>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</si>
  <si>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</si>
  <si>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</si>
  <si>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</si>
  <si>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</si>
  <si>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</si>
  <si>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</si>
  <si>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</si>
  <si>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</si>
  <si>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</si>
  <si>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</si>
  <si>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</si>
  <si>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</si>
  <si>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</si>
  <si>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</si>
  <si>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</si>
  <si>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</si>
  <si>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</si>
  <si>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</si>
  <si>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</si>
  <si>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</si>
  <si>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</si>
  <si>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</si>
  <si>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</si>
  <si>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</si>
  <si>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</si>
  <si>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</si>
  <si>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</si>
  <si>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</si>
  <si>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</si>
  <si>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</si>
  <si>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</si>
  <si>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</si>
  <si>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</si>
  <si>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</si>
  <si>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</si>
  <si>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</si>
  <si>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</si>
  <si>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</si>
  <si>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</si>
  <si>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</si>
  <si>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</si>
  <si>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</si>
  <si>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</si>
  <si>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</si>
  <si>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</si>
  <si>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</si>
  <si>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</si>
  <si>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</si>
  <si>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</si>
  <si>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</si>
  <si>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</si>
  <si>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</si>
  <si>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</si>
  <si>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</si>
  <si>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</si>
  <si>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</si>
  <si>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</si>
  <si>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</si>
  <si>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</si>
  <si>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</si>
  <si>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</si>
  <si>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</si>
  <si>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</si>
  <si>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</si>
  <si>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</si>
  <si>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</si>
  <si>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</si>
  <si>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</si>
  <si>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</si>
  <si>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</si>
  <si>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</si>
  <si>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</si>
  <si>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</si>
  <si>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</si>
  <si>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</si>
  <si>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</si>
  <si>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</si>
  <si>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</si>
  <si>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</si>
  <si>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</si>
  <si>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</si>
  <si>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</si>
  <si>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</si>
  <si>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</si>
  <si>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</si>
  <si>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</si>
  <si>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</si>
  <si>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</si>
  <si>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</si>
  <si>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</si>
  <si>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</si>
  <si>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</si>
  <si>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</si>
  <si>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</si>
  <si>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</si>
  <si>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</si>
  <si>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</si>
  <si>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</si>
  <si>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</si>
  <si>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</si>
  <si>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</si>
  <si>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</si>
  <si>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</si>
  <si>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</si>
  <si>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</si>
  <si>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</si>
  <si>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</si>
  <si>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</si>
  <si>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</si>
  <si>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</si>
  <si>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</si>
  <si>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</si>
  <si>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</si>
  <si>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</si>
  <si>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</si>
  <si>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</si>
  <si>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</si>
  <si>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</si>
  <si>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</si>
  <si>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</si>
  <si>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</si>
  <si>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</si>
  <si>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</si>
  <si>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</si>
  <si>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</si>
  <si>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</si>
  <si>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</si>
  <si>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</si>
  <si>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</si>
  <si>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</si>
  <si>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</si>
  <si>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</si>
  <si>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</si>
  <si>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</si>
  <si>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</si>
  <si>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</si>
  <si>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</si>
  <si>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</si>
  <si>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</si>
  <si>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</si>
  <si>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</si>
  <si>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</si>
  <si>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</si>
  <si>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</si>
  <si>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</si>
  <si>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</si>
  <si>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</si>
  <si>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</si>
  <si>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</si>
  <si>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</si>
  <si>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</si>
  <si>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</si>
  <si>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</si>
  <si>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</si>
  <si>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</si>
  <si>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</si>
  <si>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</si>
  <si>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</si>
  <si>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</si>
  <si>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</si>
  <si>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</si>
  <si>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</si>
  <si>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</si>
  <si>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</si>
  <si>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</si>
  <si>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</si>
  <si>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</si>
  <si>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</si>
  <si>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</si>
  <si>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</si>
  <si>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</si>
  <si>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</si>
  <si>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</si>
  <si>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</si>
  <si>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</si>
  <si>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</si>
  <si>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</si>
  <si>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</si>
  <si>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</si>
  <si>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</si>
  <si>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</si>
  <si>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</si>
  <si>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</si>
  <si>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</si>
  <si>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</si>
  <si>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</si>
  <si>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</si>
  <si>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</si>
  <si>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</si>
  <si>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</si>
  <si>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</si>
  <si>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</si>
  <si>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</si>
  <si>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</si>
  <si>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</si>
  <si>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</si>
  <si>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</si>
  <si>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</si>
  <si>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</si>
  <si>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</si>
  <si>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</si>
  <si>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</si>
  <si>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</si>
  <si>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</si>
  <si>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</si>
  <si>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</si>
  <si>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</si>
  <si>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</si>
  <si>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</si>
  <si>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</si>
  <si>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</si>
  <si>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</si>
  <si>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</si>
  <si>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</si>
  <si>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</si>
  <si>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</si>
  <si>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</si>
  <si>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</si>
  <si>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</si>
  <si>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</si>
  <si>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</si>
  <si>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</si>
  <si>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</si>
  <si>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11053</t>
  </si>
  <si>
    <t>WUUSTWEZEL</t>
  </si>
  <si>
    <t>Paarden&amp;pony's 200 - 600 kg</t>
  </si>
  <si>
    <t>Paarden&amp;pony's &lt; 200 kg</t>
  </si>
  <si>
    <t>referentietaak LNE (2017); Jaarverslag De Lijn (2015)</t>
  </si>
  <si>
    <t>op basis van VEA (maart 2018) en Inventaris Hernieuwbare Energiebronnen (juni 2018)</t>
  </si>
  <si>
    <t>VEA (januari 2017)</t>
  </si>
  <si>
    <t>VEA (juni 2018)</t>
  </si>
  <si>
    <t>Isidoor nv</t>
  </si>
  <si>
    <t>Blaktweg 1, 2990 Loenhout</t>
  </si>
  <si>
    <t>WKK-0066 Groeikracht de Blackt</t>
  </si>
  <si>
    <t>interne verbrandingsmotor</t>
  </si>
  <si>
    <t>WKK interne verbrandinsgmotor (gas)</t>
  </si>
  <si>
    <t>IVEKA</t>
  </si>
  <si>
    <t>V.W. Tuinderijen bvba</t>
  </si>
  <si>
    <t>Schauwbosweg 10, 2990 Loenhout</t>
  </si>
  <si>
    <t>WKK-0124 V.W. Tuinderijen</t>
  </si>
  <si>
    <t>De Sprong bvba</t>
  </si>
  <si>
    <t>Heivelden 30, 2990 Wuustwezel</t>
  </si>
  <si>
    <t>WKK-0171 De Sprong</t>
  </si>
  <si>
    <t>Vissers Neel</t>
  </si>
  <si>
    <t>Heikenweg 29, 2990 Wuustwezel</t>
  </si>
  <si>
    <t>WKK-0163 Vissers Neel</t>
  </si>
  <si>
    <t>Heikenweg 29, 2990 Loenhout</t>
  </si>
  <si>
    <t>Varico BVBA</t>
  </si>
  <si>
    <t>Sint Lenaartseweg 210 , 2990 Loenhout</t>
  </si>
  <si>
    <t>WKK-0296 Varico</t>
  </si>
  <si>
    <t>Biolectric nv</t>
  </si>
  <si>
    <t>Jan de Malschelaan 4 B, 9140 Temse</t>
  </si>
  <si>
    <t>WKK-0442 Filip Van Loon</t>
  </si>
  <si>
    <t>Tereik 93 , 2990 Wuustwezel</t>
  </si>
  <si>
    <t>WKK-0443 Jan Aernouts</t>
  </si>
  <si>
    <t>Vaasweg 6 , 2990 Loenhout</t>
  </si>
  <si>
    <t>WKK-0444 Hugo Vissers</t>
  </si>
  <si>
    <t>Heikenweg 63 , 2990 Wuustwezel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</si>
</sst>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156294.01977352315</c:v>
                </c:pt>
                <c:pt idx="1">
                  <c:v>34470.467038100331</c:v>
                </c:pt>
                <c:pt idx="2">
                  <c:v>1326.09</c:v>
                </c:pt>
                <c:pt idx="3">
                  <c:v>139686.67134684167</c:v>
                </c:pt>
                <c:pt idx="4">
                  <c:v>14353.849043160604</c:v>
                </c:pt>
                <c:pt idx="5">
                  <c:v>209534.8041425393</c:v>
                </c:pt>
                <c:pt idx="6">
                  <c:v>2010.6376080861776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156294.01977352315</c:v>
                </c:pt>
                <c:pt idx="1">
                  <c:v>34470.467038100331</c:v>
                </c:pt>
                <c:pt idx="2">
                  <c:v>1326.09</c:v>
                </c:pt>
                <c:pt idx="3">
                  <c:v>139686.67134684167</c:v>
                </c:pt>
                <c:pt idx="4">
                  <c:v>14353.849043160604</c:v>
                </c:pt>
                <c:pt idx="5">
                  <c:v>209534.8041425393</c:v>
                </c:pt>
                <c:pt idx="6">
                  <c:v>2010.6376080861776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23493.021455408358</c:v>
                </c:pt>
                <c:pt idx="2">
                  <c:v>5832.1286822656966</c:v>
                </c:pt>
                <c:pt idx="3">
                  <c:v>166.45560250077716</c:v>
                </c:pt>
                <c:pt idx="4">
                  <c:v>33287.654609708465</c:v>
                </c:pt>
                <c:pt idx="5">
                  <c:v>2403.3186712430502</c:v>
                </c:pt>
                <c:pt idx="6">
                  <c:v>53766.273876107647</c:v>
                </c:pt>
                <c:pt idx="7">
                  <c:v>520.68961439786642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62624"/>
        <c:axId val="184001280"/>
      </c:barChart>
      <c:catAx>
        <c:axId val="183962624"/>
        <c:scaling>
          <c:orientation val="minMax"/>
        </c:scaling>
        <c:axPos val="b"/>
        <c:numFmt formatCode="General" sourceLinked="0"/>
        <c:tickLblPos val="nextTo"/>
        <c:crossAx val="184001280"/>
        <c:crosses val="autoZero"/>
        <c:auto val="1"/>
        <c:lblAlgn val="ctr"/>
        <c:lblOffset val="100"/>
      </c:catAx>
      <c:valAx>
        <c:axId val="184001280"/>
        <c:scaling>
          <c:orientation val="minMax"/>
        </c:scaling>
        <c:axPos val="l"/>
        <c:majorGridlines/>
        <c:numFmt formatCode="#,##0" sourceLinked="1"/>
        <c:tickLblPos val="nextTo"/>
        <c:crossAx val="18396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23493.021455408358</c:v>
                </c:pt>
                <c:pt idx="2">
                  <c:v>5832.1286822656966</c:v>
                </c:pt>
                <c:pt idx="3">
                  <c:v>166.45560250077716</c:v>
                </c:pt>
                <c:pt idx="4">
                  <c:v>33287.654609708465</c:v>
                </c:pt>
                <c:pt idx="5">
                  <c:v>2403.3186712430502</c:v>
                </c:pt>
                <c:pt idx="6">
                  <c:v>53766.273876107647</c:v>
                </c:pt>
                <c:pt idx="7">
                  <c:v>520.68961439786642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11053</v>
      </c>
      <c r="B6" s="415"/>
      <c r="C6" s="416"/>
    </row>
    <row r="7" spans="1:7" s="413" customFormat="1" ht="15.75" customHeight="1">
      <c r="A7" s="417" t="str">
        <f>txtMunicipality</f>
        <v>WUUSTWEZEL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0.12552360888082797</v>
      </c>
      <c r="C17" s="524">
        <f ca="1">'EF ele_warmte'!B22</f>
        <v>0.23711358076567554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0.12552360888082797</v>
      </c>
      <c r="C29" s="525">
        <f ca="1">'EF ele_warmte'!B22</f>
        <v>0.23711358076567554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7835</v>
      </c>
      <c r="C9" s="342">
        <v>8404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5861.25</v>
      </c>
    </row>
    <row r="15" spans="1:6">
      <c r="A15" s="348" t="s">
        <v>184</v>
      </c>
      <c r="B15" s="334">
        <v>4562</v>
      </c>
    </row>
    <row r="16" spans="1:6">
      <c r="A16" s="348" t="s">
        <v>6</v>
      </c>
      <c r="B16" s="334">
        <v>7781</v>
      </c>
    </row>
    <row r="17" spans="1:6">
      <c r="A17" s="348" t="s">
        <v>7</v>
      </c>
      <c r="B17" s="334">
        <v>762</v>
      </c>
    </row>
    <row r="18" spans="1:6">
      <c r="A18" s="348" t="s">
        <v>8</v>
      </c>
      <c r="B18" s="334">
        <v>4271</v>
      </c>
    </row>
    <row r="19" spans="1:6">
      <c r="A19" s="348" t="s">
        <v>9</v>
      </c>
      <c r="B19" s="334">
        <v>4157</v>
      </c>
    </row>
    <row r="20" spans="1:6">
      <c r="A20" s="348" t="s">
        <v>10</v>
      </c>
      <c r="B20" s="334">
        <v>2094</v>
      </c>
    </row>
    <row r="21" spans="1:6">
      <c r="A21" s="348" t="s">
        <v>11</v>
      </c>
      <c r="B21" s="334">
        <v>44787</v>
      </c>
    </row>
    <row r="22" spans="1:6">
      <c r="A22" s="348" t="s">
        <v>12</v>
      </c>
      <c r="B22" s="334">
        <v>97138</v>
      </c>
    </row>
    <row r="23" spans="1:6">
      <c r="A23" s="348" t="s">
        <v>13</v>
      </c>
      <c r="B23" s="334">
        <v>1895</v>
      </c>
    </row>
    <row r="24" spans="1:6">
      <c r="A24" s="348" t="s">
        <v>14</v>
      </c>
      <c r="B24" s="334">
        <v>71</v>
      </c>
    </row>
    <row r="25" spans="1:6">
      <c r="A25" s="348" t="s">
        <v>15</v>
      </c>
      <c r="B25" s="334">
        <v>12022</v>
      </c>
    </row>
    <row r="26" spans="1:6">
      <c r="A26" s="348" t="s">
        <v>16</v>
      </c>
      <c r="B26" s="334">
        <v>412</v>
      </c>
    </row>
    <row r="27" spans="1:6">
      <c r="A27" s="348" t="s">
        <v>17</v>
      </c>
      <c r="B27" s="334">
        <v>3483</v>
      </c>
    </row>
    <row r="28" spans="1:6" s="356" customFormat="1">
      <c r="A28" s="355" t="s">
        <v>18</v>
      </c>
      <c r="B28" s="355">
        <v>1249076</v>
      </c>
    </row>
    <row r="29" spans="1:6">
      <c r="A29" s="355" t="s">
        <v>884</v>
      </c>
      <c r="B29" s="355">
        <v>412</v>
      </c>
      <c r="C29" s="356"/>
      <c r="D29" s="356"/>
      <c r="E29" s="356"/>
      <c r="F29" s="356"/>
    </row>
    <row r="30" spans="1:6">
      <c r="A30" s="355" t="s">
        <v>885</v>
      </c>
      <c r="B30" s="341">
        <v>103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4570910.4523</v>
      </c>
    </row>
    <row r="36" spans="1:6">
      <c r="A36" s="348" t="s">
        <v>25</v>
      </c>
      <c r="B36" s="348" t="s">
        <v>27</v>
      </c>
      <c r="C36" s="334">
        <v>0</v>
      </c>
      <c r="D36" s="334">
        <v>0</v>
      </c>
      <c r="E36" s="334">
        <v>3</v>
      </c>
      <c r="F36" s="334">
        <v>5509.2595633999999</v>
      </c>
    </row>
    <row r="37" spans="1:6">
      <c r="A37" s="348" t="s">
        <v>25</v>
      </c>
      <c r="B37" s="348" t="s">
        <v>28</v>
      </c>
      <c r="C37" s="334">
        <v>0</v>
      </c>
      <c r="D37" s="334">
        <v>0</v>
      </c>
      <c r="E37" s="334">
        <v>0</v>
      </c>
      <c r="F37" s="334">
        <v>0</v>
      </c>
    </row>
    <row r="38" spans="1:6">
      <c r="A38" s="348" t="s">
        <v>25</v>
      </c>
      <c r="B38" s="348" t="s">
        <v>29</v>
      </c>
      <c r="C38" s="334">
        <v>3</v>
      </c>
      <c r="D38" s="334">
        <v>47975259.289999999</v>
      </c>
      <c r="E38" s="334">
        <v>3</v>
      </c>
      <c r="F38" s="334">
        <v>184047.80861000001</v>
      </c>
    </row>
    <row r="39" spans="1:6">
      <c r="A39" s="348" t="s">
        <v>30</v>
      </c>
      <c r="B39" s="348" t="s">
        <v>31</v>
      </c>
      <c r="C39" s="334">
        <v>5143</v>
      </c>
      <c r="D39" s="334">
        <v>88281126.005999997</v>
      </c>
      <c r="E39" s="334">
        <v>7542</v>
      </c>
      <c r="F39" s="334">
        <v>33887382.263999999</v>
      </c>
    </row>
    <row r="40" spans="1:6">
      <c r="A40" s="348" t="s">
        <v>30</v>
      </c>
      <c r="B40" s="348" t="s">
        <v>29</v>
      </c>
      <c r="C40" s="334">
        <v>0</v>
      </c>
      <c r="D40" s="334">
        <v>0</v>
      </c>
      <c r="E40" s="334">
        <v>0</v>
      </c>
      <c r="F40" s="334">
        <v>0</v>
      </c>
    </row>
    <row r="41" spans="1:6">
      <c r="A41" s="348" t="s">
        <v>32</v>
      </c>
      <c r="B41" s="348" t="s">
        <v>33</v>
      </c>
      <c r="C41" s="334">
        <v>93</v>
      </c>
      <c r="D41" s="334">
        <v>1886145.7938000001</v>
      </c>
      <c r="E41" s="334">
        <v>233</v>
      </c>
      <c r="F41" s="334">
        <v>2478733.4833999998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695088.30533</v>
      </c>
      <c r="E44" s="334">
        <v>29</v>
      </c>
      <c r="F44" s="334">
        <v>753703.62480999995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69998.444583000004</v>
      </c>
    </row>
    <row r="48" spans="1:6">
      <c r="A48" s="348" t="s">
        <v>32</v>
      </c>
      <c r="B48" s="348" t="s">
        <v>29</v>
      </c>
      <c r="C48" s="334">
        <v>20</v>
      </c>
      <c r="D48" s="334">
        <v>1084999.0368999999</v>
      </c>
      <c r="E48" s="334">
        <v>29</v>
      </c>
      <c r="F48" s="334">
        <v>1826944.4957000001</v>
      </c>
    </row>
    <row r="49" spans="1:6">
      <c r="A49" s="348" t="s">
        <v>32</v>
      </c>
      <c r="B49" s="348" t="s">
        <v>40</v>
      </c>
      <c r="C49" s="334">
        <v>0</v>
      </c>
      <c r="D49" s="334">
        <v>0</v>
      </c>
      <c r="E49" s="334">
        <v>0</v>
      </c>
      <c r="F49" s="334">
        <v>0</v>
      </c>
    </row>
    <row r="50" spans="1:6">
      <c r="A50" s="348" t="s">
        <v>32</v>
      </c>
      <c r="B50" s="348" t="s">
        <v>41</v>
      </c>
      <c r="C50" s="334">
        <v>6</v>
      </c>
      <c r="D50" s="334">
        <v>444902.29064999998</v>
      </c>
      <c r="E50" s="334">
        <v>10</v>
      </c>
      <c r="F50" s="334">
        <v>348124.23232000001</v>
      </c>
    </row>
    <row r="51" spans="1:6">
      <c r="A51" s="348" t="s">
        <v>42</v>
      </c>
      <c r="B51" s="348" t="s">
        <v>43</v>
      </c>
      <c r="C51" s="334">
        <v>29</v>
      </c>
      <c r="D51" s="334">
        <v>130174193.84</v>
      </c>
      <c r="E51" s="334">
        <v>354</v>
      </c>
      <c r="F51" s="334">
        <v>11343428.117000001</v>
      </c>
    </row>
    <row r="52" spans="1:6">
      <c r="A52" s="348" t="s">
        <v>42</v>
      </c>
      <c r="B52" s="348" t="s">
        <v>29</v>
      </c>
      <c r="C52" s="334">
        <v>9</v>
      </c>
      <c r="D52" s="334">
        <v>8629635.0120999999</v>
      </c>
      <c r="E52" s="334">
        <v>8</v>
      </c>
      <c r="F52" s="334">
        <v>335983.28029000002</v>
      </c>
    </row>
    <row r="53" spans="1:6">
      <c r="A53" s="348" t="s">
        <v>44</v>
      </c>
      <c r="B53" s="348" t="s">
        <v>45</v>
      </c>
      <c r="C53" s="334">
        <v>101</v>
      </c>
      <c r="D53" s="334">
        <v>2489214.0888999999</v>
      </c>
      <c r="E53" s="334">
        <v>330</v>
      </c>
      <c r="F53" s="334">
        <v>2033684.0067</v>
      </c>
    </row>
    <row r="54" spans="1:6">
      <c r="A54" s="348" t="s">
        <v>46</v>
      </c>
      <c r="B54" s="348" t="s">
        <v>47</v>
      </c>
      <c r="C54" s="334">
        <v>0</v>
      </c>
      <c r="D54" s="334">
        <v>0</v>
      </c>
      <c r="E54" s="334">
        <v>1</v>
      </c>
      <c r="F54" s="334">
        <v>1326090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1032702.433</v>
      </c>
      <c r="E57" s="334">
        <v>76</v>
      </c>
      <c r="F57" s="334">
        <v>1504930.2290000001</v>
      </c>
    </row>
    <row r="58" spans="1:6">
      <c r="A58" s="348" t="s">
        <v>49</v>
      </c>
      <c r="B58" s="348" t="s">
        <v>51</v>
      </c>
      <c r="C58" s="334">
        <v>19</v>
      </c>
      <c r="D58" s="334">
        <v>1128984.0667999999</v>
      </c>
      <c r="E58" s="334">
        <v>36</v>
      </c>
      <c r="F58" s="334">
        <v>456107.92424999998</v>
      </c>
    </row>
    <row r="59" spans="1:6">
      <c r="A59" s="348" t="s">
        <v>49</v>
      </c>
      <c r="B59" s="348" t="s">
        <v>52</v>
      </c>
      <c r="C59" s="334">
        <v>95</v>
      </c>
      <c r="D59" s="334">
        <v>2611963.8988000001</v>
      </c>
      <c r="E59" s="334">
        <v>196</v>
      </c>
      <c r="F59" s="334">
        <v>4866897.5329999998</v>
      </c>
    </row>
    <row r="60" spans="1:6">
      <c r="A60" s="348" t="s">
        <v>49</v>
      </c>
      <c r="B60" s="348" t="s">
        <v>53</v>
      </c>
      <c r="C60" s="334">
        <v>55</v>
      </c>
      <c r="D60" s="334">
        <v>2176781.0754</v>
      </c>
      <c r="E60" s="334">
        <v>80</v>
      </c>
      <c r="F60" s="334">
        <v>1526804.3204999999</v>
      </c>
    </row>
    <row r="61" spans="1:6">
      <c r="A61" s="348" t="s">
        <v>49</v>
      </c>
      <c r="B61" s="348" t="s">
        <v>54</v>
      </c>
      <c r="C61" s="334">
        <v>137</v>
      </c>
      <c r="D61" s="334">
        <v>5745899.8391000004</v>
      </c>
      <c r="E61" s="334">
        <v>227</v>
      </c>
      <c r="F61" s="334">
        <v>2531923.9608999998</v>
      </c>
    </row>
    <row r="62" spans="1:6">
      <c r="A62" s="348" t="s">
        <v>49</v>
      </c>
      <c r="B62" s="348" t="s">
        <v>55</v>
      </c>
      <c r="C62" s="334">
        <v>8</v>
      </c>
      <c r="D62" s="334">
        <v>1122501.977</v>
      </c>
      <c r="E62" s="334">
        <v>15</v>
      </c>
      <c r="F62" s="334">
        <v>333360.45632</v>
      </c>
    </row>
    <row r="63" spans="1:6">
      <c r="A63" s="348" t="s">
        <v>49</v>
      </c>
      <c r="B63" s="348" t="s">
        <v>29</v>
      </c>
      <c r="C63" s="334">
        <v>92</v>
      </c>
      <c r="D63" s="334">
        <v>3108545.4284000001</v>
      </c>
      <c r="E63" s="334">
        <v>104</v>
      </c>
      <c r="F63" s="334">
        <v>2658987.2801000001</v>
      </c>
    </row>
    <row r="64" spans="1:6">
      <c r="A64" s="348" t="s">
        <v>56</v>
      </c>
      <c r="B64" s="348" t="s">
        <v>57</v>
      </c>
      <c r="C64" s="334">
        <v>0</v>
      </c>
      <c r="D64" s="334">
        <v>0</v>
      </c>
      <c r="E64" s="334">
        <v>0</v>
      </c>
      <c r="F64" s="334">
        <v>0</v>
      </c>
    </row>
    <row r="65" spans="1:6">
      <c r="A65" s="348" t="s">
        <v>56</v>
      </c>
      <c r="B65" s="348" t="s">
        <v>29</v>
      </c>
      <c r="C65" s="334">
        <v>2</v>
      </c>
      <c r="D65" s="334">
        <v>26971.635698999999</v>
      </c>
      <c r="E65" s="334">
        <v>3</v>
      </c>
      <c r="F65" s="334">
        <v>48128.260883000003</v>
      </c>
    </row>
    <row r="66" spans="1:6">
      <c r="A66" s="348" t="s">
        <v>56</v>
      </c>
      <c r="B66" s="348" t="s">
        <v>58</v>
      </c>
      <c r="C66" s="334">
        <v>0</v>
      </c>
      <c r="D66" s="334">
        <v>0</v>
      </c>
      <c r="E66" s="334">
        <v>17</v>
      </c>
      <c r="F66" s="334">
        <v>554411.63289000001</v>
      </c>
    </row>
    <row r="67" spans="1:6">
      <c r="A67" s="355" t="s">
        <v>56</v>
      </c>
      <c r="B67" s="355" t="s">
        <v>59</v>
      </c>
      <c r="C67" s="334">
        <v>0</v>
      </c>
      <c r="D67" s="334">
        <v>0</v>
      </c>
      <c r="E67" s="334">
        <v>0</v>
      </c>
      <c r="F67" s="334">
        <v>0</v>
      </c>
    </row>
    <row r="68" spans="1:6">
      <c r="A68" s="341" t="s">
        <v>56</v>
      </c>
      <c r="B68" s="341" t="s">
        <v>60</v>
      </c>
      <c r="C68" s="334">
        <v>6</v>
      </c>
      <c r="D68" s="334">
        <v>144166.31489000001</v>
      </c>
      <c r="E68" s="334">
        <v>20</v>
      </c>
      <c r="F68" s="334">
        <v>482367.50413999998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69612989</v>
      </c>
      <c r="E73" s="475">
        <v>71417085.865879759</v>
      </c>
    </row>
    <row r="74" spans="1:6">
      <c r="A74" s="348" t="s">
        <v>64</v>
      </c>
      <c r="B74" s="348" t="s">
        <v>667</v>
      </c>
      <c r="C74" s="1294" t="s">
        <v>669</v>
      </c>
      <c r="D74" s="475">
        <v>5190643.0748336734</v>
      </c>
      <c r="E74" s="475">
        <v>5321146.1952479538</v>
      </c>
    </row>
    <row r="75" spans="1:6">
      <c r="A75" s="348" t="s">
        <v>65</v>
      </c>
      <c r="B75" s="348" t="s">
        <v>666</v>
      </c>
      <c r="C75" s="1294" t="s">
        <v>670</v>
      </c>
      <c r="D75" s="475">
        <v>13483526</v>
      </c>
      <c r="E75" s="475">
        <v>13803917.346296448</v>
      </c>
    </row>
    <row r="76" spans="1:6">
      <c r="A76" s="348" t="s">
        <v>65</v>
      </c>
      <c r="B76" s="348" t="s">
        <v>667</v>
      </c>
      <c r="C76" s="1294" t="s">
        <v>671</v>
      </c>
      <c r="D76" s="475">
        <v>351211.07483367343</v>
      </c>
      <c r="E76" s="475">
        <v>365730.90179776796</v>
      </c>
    </row>
    <row r="77" spans="1:6">
      <c r="A77" s="348" t="s">
        <v>66</v>
      </c>
      <c r="B77" s="348" t="s">
        <v>666</v>
      </c>
      <c r="C77" s="1294" t="s">
        <v>672</v>
      </c>
      <c r="D77" s="475">
        <v>99451742</v>
      </c>
      <c r="E77" s="475">
        <v>106731567.66134788</v>
      </c>
    </row>
    <row r="78" spans="1:6">
      <c r="A78" s="341" t="s">
        <v>66</v>
      </c>
      <c r="B78" s="341" t="s">
        <v>667</v>
      </c>
      <c r="C78" s="341" t="s">
        <v>673</v>
      </c>
      <c r="D78" s="1295">
        <v>28436296</v>
      </c>
      <c r="E78" s="1295">
        <v>28614396.876292225</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540029.85033265315</v>
      </c>
      <c r="C83" s="475">
        <v>540029.85033265315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42508.81621003797</v>
      </c>
    </row>
    <row r="91" spans="1:6">
      <c r="A91" s="348" t="s">
        <v>68</v>
      </c>
      <c r="B91" s="334">
        <v>5362.4142135283691</v>
      </c>
    </row>
    <row r="92" spans="1:6">
      <c r="A92" s="341" t="s">
        <v>69</v>
      </c>
      <c r="B92" s="342">
        <v>3987.4111377371255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3580</v>
      </c>
    </row>
    <row r="98" spans="1:6">
      <c r="A98" s="348" t="s">
        <v>72</v>
      </c>
      <c r="B98" s="334">
        <v>5</v>
      </c>
    </row>
    <row r="99" spans="1:6">
      <c r="A99" s="348" t="s">
        <v>73</v>
      </c>
      <c r="B99" s="334">
        <v>229</v>
      </c>
    </row>
    <row r="100" spans="1:6">
      <c r="A100" s="348" t="s">
        <v>74</v>
      </c>
      <c r="B100" s="334">
        <v>824</v>
      </c>
    </row>
    <row r="101" spans="1:6">
      <c r="A101" s="348" t="s">
        <v>75</v>
      </c>
      <c r="B101" s="334">
        <v>181</v>
      </c>
    </row>
    <row r="102" spans="1:6">
      <c r="A102" s="348" t="s">
        <v>76</v>
      </c>
      <c r="B102" s="334">
        <v>79</v>
      </c>
    </row>
    <row r="103" spans="1:6">
      <c r="A103" s="348" t="s">
        <v>77</v>
      </c>
      <c r="B103" s="334">
        <v>142</v>
      </c>
    </row>
    <row r="104" spans="1:6">
      <c r="A104" s="348" t="s">
        <v>78</v>
      </c>
      <c r="B104" s="334">
        <v>1224</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3</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45</v>
      </c>
      <c r="C123" s="334">
        <v>20</v>
      </c>
    </row>
    <row r="124" spans="1:6">
      <c r="A124" s="341" t="s">
        <v>89</v>
      </c>
      <c r="B124" s="334">
        <v>3</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153</v>
      </c>
    </row>
    <row r="130" spans="1:6">
      <c r="A130" s="348" t="s">
        <v>295</v>
      </c>
      <c r="B130" s="334">
        <v>1</v>
      </c>
    </row>
    <row r="131" spans="1:6">
      <c r="A131" s="348" t="s">
        <v>296</v>
      </c>
      <c r="B131" s="334">
        <v>4</v>
      </c>
    </row>
    <row r="132" spans="1:6">
      <c r="A132" s="341" t="s">
        <v>297</v>
      </c>
      <c r="B132" s="342">
        <v>40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73688.275356511236</v>
      </c>
      <c r="C3" s="43" t="s">
        <v>170</v>
      </c>
      <c r="D3" s="43"/>
      <c r="E3" s="154"/>
      <c r="F3" s="43"/>
      <c r="G3" s="43"/>
      <c r="H3" s="43"/>
      <c r="I3" s="43"/>
      <c r="J3" s="43"/>
      <c r="K3" s="96"/>
    </row>
    <row r="4" spans="1:11">
      <c r="A4" s="383" t="s">
        <v>171</v>
      </c>
      <c r="B4" s="49">
        <f>IF(ISERROR('SEAP template'!B78+'SEAP template'!C78),0,'SEAP template'!B78+'SEAP template'!C78)</f>
        <v>110192.59156130347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13831.771764705883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0.12552360888082797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19759.673949579828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83334.21428571429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0.23711358076567554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1326.09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1326.09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0.12552360888082797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166.45560250077716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33887.382264</v>
      </c>
      <c r="C5" s="17">
        <f>IF(ISERROR('Eigen informatie GS &amp; warmtenet'!B57),0,'Eigen informatie GS &amp; warmtenet'!B57)</f>
        <v>0</v>
      </c>
      <c r="D5" s="30">
        <f>(SUM(HH_hh_gas_kWh,HH_rest_gas_kWh)/1000)*0.902</f>
        <v>79629.575657411988</v>
      </c>
      <c r="E5" s="17">
        <f>B46*B57</f>
        <v>10929.828506228041</v>
      </c>
      <c r="F5" s="17">
        <f>B51*B62</f>
        <v>0</v>
      </c>
      <c r="G5" s="18"/>
      <c r="H5" s="17"/>
      <c r="I5" s="17"/>
      <c r="J5" s="17">
        <f>B50*B61+C50*C61</f>
        <v>0</v>
      </c>
      <c r="K5" s="17"/>
      <c r="L5" s="17"/>
      <c r="M5" s="17"/>
      <c r="N5" s="17">
        <f>B48*B59+C48*C59</f>
        <v>24534.932465688082</v>
      </c>
      <c r="O5" s="17">
        <f>B69*B70*B71</f>
        <v>272.02000000000004</v>
      </c>
      <c r="P5" s="17">
        <f>B77*B78*B79/1000-B77*B78*B79/1000/B80</f>
        <v>1677.8666666666668</v>
      </c>
    </row>
    <row r="6" spans="1:16">
      <c r="A6" s="16" t="s">
        <v>624</v>
      </c>
      <c r="B6" s="788">
        <f>kWh_PV_kleiner_dan_10kW</f>
        <v>5362.4142135283691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39249.796477528369</v>
      </c>
      <c r="C8" s="21">
        <f>C5</f>
        <v>0</v>
      </c>
      <c r="D8" s="21">
        <f>D5</f>
        <v>79629.575657411988</v>
      </c>
      <c r="E8" s="21">
        <f>E5</f>
        <v>10929.828506228041</v>
      </c>
      <c r="F8" s="21">
        <f>F5</f>
        <v>0</v>
      </c>
      <c r="G8" s="21"/>
      <c r="H8" s="21"/>
      <c r="I8" s="21"/>
      <c r="J8" s="21">
        <f>J5</f>
        <v>0</v>
      </c>
      <c r="K8" s="21"/>
      <c r="L8" s="21">
        <f>L5</f>
        <v>0</v>
      </c>
      <c r="M8" s="21">
        <f>M5</f>
        <v>0</v>
      </c>
      <c r="N8" s="21">
        <f>N5</f>
        <v>24534.932465688082</v>
      </c>
      <c r="O8" s="21">
        <f>O5</f>
        <v>272.02000000000004</v>
      </c>
      <c r="P8" s="21">
        <f>P5</f>
        <v>1677.8666666666668</v>
      </c>
    </row>
    <row r="9" spans="1:16">
      <c r="B9" s="19"/>
      <c r="C9" s="19"/>
      <c r="D9" s="258"/>
      <c r="E9" s="19"/>
      <c r="F9" s="19"/>
      <c r="G9" s="19"/>
      <c r="H9" s="19"/>
      <c r="I9" s="19"/>
      <c r="J9" s="19"/>
      <c r="K9" s="19"/>
      <c r="L9" s="19"/>
      <c r="M9" s="19"/>
      <c r="N9" s="19"/>
      <c r="O9" s="19"/>
      <c r="P9" s="19"/>
    </row>
    <row r="10" spans="1:16">
      <c r="A10" s="24" t="s">
        <v>214</v>
      </c>
      <c r="B10" s="25">
        <f ca="1">'EF ele_warmte'!B12</f>
        <v>0.12552360888082797</v>
      </c>
      <c r="C10" s="25">
        <f ca="1">'EF ele_warmte'!B22</f>
        <v>0.23711358076567554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4926.7761016973709</v>
      </c>
      <c r="C12" s="23">
        <f ca="1">C10*C8</f>
        <v>0</v>
      </c>
      <c r="D12" s="23">
        <f>D8*D10</f>
        <v>16085.174282797223</v>
      </c>
      <c r="E12" s="23">
        <f>E10*E8</f>
        <v>2481.0710709137652</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3580</v>
      </c>
      <c r="C18" s="166" t="s">
        <v>111</v>
      </c>
      <c r="D18" s="228"/>
      <c r="E18" s="15"/>
    </row>
    <row r="19" spans="1:7">
      <c r="A19" s="171" t="s">
        <v>72</v>
      </c>
      <c r="B19" s="37">
        <f>aantalw2001_ander</f>
        <v>5</v>
      </c>
      <c r="C19" s="166" t="s">
        <v>111</v>
      </c>
      <c r="D19" s="229"/>
      <c r="E19" s="15"/>
    </row>
    <row r="20" spans="1:7">
      <c r="A20" s="171" t="s">
        <v>73</v>
      </c>
      <c r="B20" s="37">
        <f>aantalw2001_propaan</f>
        <v>229</v>
      </c>
      <c r="C20" s="167">
        <f>IF(ISERROR(B20/SUM($B$20,$B$21,$B$22)*100),0,B20/SUM($B$20,$B$21,$B$22)*100)</f>
        <v>18.557536466774714</v>
      </c>
      <c r="D20" s="229"/>
      <c r="E20" s="15"/>
    </row>
    <row r="21" spans="1:7">
      <c r="A21" s="171" t="s">
        <v>74</v>
      </c>
      <c r="B21" s="37">
        <f>aantalw2001_elektriciteit</f>
        <v>824</v>
      </c>
      <c r="C21" s="167">
        <f>IF(ISERROR(B21/SUM($B$20,$B$21,$B$22)*100),0,B21/SUM($B$20,$B$21,$B$22)*100)</f>
        <v>66.774716369529983</v>
      </c>
      <c r="D21" s="229"/>
      <c r="E21" s="15"/>
    </row>
    <row r="22" spans="1:7">
      <c r="A22" s="171" t="s">
        <v>75</v>
      </c>
      <c r="B22" s="37">
        <f>aantalw2001_hout</f>
        <v>181</v>
      </c>
      <c r="C22" s="167">
        <f>IF(ISERROR(B22/SUM($B$20,$B$21,$B$22)*100),0,B22/SUM($B$20,$B$21,$B$22)*100)</f>
        <v>14.667747163695299</v>
      </c>
      <c r="D22" s="229"/>
      <c r="E22" s="15"/>
    </row>
    <row r="23" spans="1:7">
      <c r="A23" s="171" t="s">
        <v>76</v>
      </c>
      <c r="B23" s="37">
        <f>aantalw2001_niet_gespec</f>
        <v>79</v>
      </c>
      <c r="C23" s="166" t="s">
        <v>111</v>
      </c>
      <c r="D23" s="228"/>
      <c r="E23" s="15"/>
    </row>
    <row r="24" spans="1:7">
      <c r="A24" s="171" t="s">
        <v>77</v>
      </c>
      <c r="B24" s="37">
        <f>aantalw2001_steenkool</f>
        <v>142</v>
      </c>
      <c r="C24" s="166" t="s">
        <v>111</v>
      </c>
      <c r="D24" s="229"/>
      <c r="E24" s="15"/>
    </row>
    <row r="25" spans="1:7">
      <c r="A25" s="171" t="s">
        <v>78</v>
      </c>
      <c r="B25" s="37">
        <f>aantalw2001_stookolie</f>
        <v>1224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7835</v>
      </c>
      <c r="C28" s="36"/>
      <c r="D28" s="228"/>
    </row>
    <row r="29" spans="1:7" s="15" customFormat="1">
      <c r="A29" s="230" t="s">
        <v>699</v>
      </c>
      <c r="B29" s="37">
        <f>SUM(HH_hh_gas_aantal,HH_rest_gas_aantal)</f>
        <v>5143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5143</v>
      </c>
      <c r="C32" s="167">
        <f>IF(ISERROR(B32/SUM($B$32,$B$34,$B$35,$B$36,$B$38,$B$39)*100),0,B32/SUM($B$32,$B$34,$B$35,$B$36,$B$38,$B$39)*100)</f>
        <v>66.386988511681949</v>
      </c>
      <c r="D32" s="233"/>
      <c r="G32" s="15"/>
    </row>
    <row r="33" spans="1:7">
      <c r="A33" s="171" t="s">
        <v>72</v>
      </c>
      <c r="B33" s="34" t="s">
        <v>111</v>
      </c>
      <c r="C33" s="167"/>
      <c r="D33" s="233"/>
      <c r="G33" s="15"/>
    </row>
    <row r="34" spans="1:7">
      <c r="A34" s="171" t="s">
        <v>73</v>
      </c>
      <c r="B34" s="33">
        <f>IF((($B$28-$B$32-$B$39-$B$77-$B$38)*C20/100)&lt;0,0,($B$28-$B$32-$B$39-$B$77-$B$38)*C20/100)</f>
        <v>483.23824959481351</v>
      </c>
      <c r="C34" s="167">
        <f>IF(ISERROR(B34/SUM($B$32,$B$34,$B$35,$B$36,$B$38,$B$39)*100),0,B34/SUM($B$32,$B$34,$B$35,$B$36,$B$38,$B$39)*100)</f>
        <v>6.2377468645257972</v>
      </c>
      <c r="D34" s="233"/>
      <c r="G34" s="15"/>
    </row>
    <row r="35" spans="1:7">
      <c r="A35" s="171" t="s">
        <v>74</v>
      </c>
      <c r="B35" s="33">
        <f>IF((($B$28-$B$32-$B$39-$B$77-$B$38)*C21/100)&lt;0,0,($B$28-$B$32-$B$39-$B$77-$B$38)*C21/100)</f>
        <v>1738.8136142625608</v>
      </c>
      <c r="C35" s="167">
        <f>IF(ISERROR(B35/SUM($B$32,$B$34,$B$35,$B$36,$B$38,$B$39)*100),0,B35/SUM($B$32,$B$34,$B$35,$B$36,$B$38,$B$39)*100)</f>
        <v>22.444993084581913</v>
      </c>
      <c r="D35" s="233"/>
      <c r="G35" s="15"/>
    </row>
    <row r="36" spans="1:7">
      <c r="A36" s="171" t="s">
        <v>75</v>
      </c>
      <c r="B36" s="33">
        <f>IF((($B$28-$B$32-$B$39-$B$77-$B$38)*C22/100)&lt;0,0,($B$28-$B$32-$B$39-$B$77-$B$38)*C22/100)</f>
        <v>381.94813614262557</v>
      </c>
      <c r="C36" s="167">
        <f>IF(ISERROR(B36/SUM($B$32,$B$34,$B$35,$B$36,$B$38,$B$39)*100),0,B36/SUM($B$32,$B$34,$B$35,$B$36,$B$38,$B$39)*100)</f>
        <v>4.9302715392103469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5143</v>
      </c>
      <c r="C44" s="34" t="s">
        <v>111</v>
      </c>
      <c r="D44" s="174"/>
    </row>
    <row r="45" spans="1:7">
      <c r="A45" s="171" t="s">
        <v>72</v>
      </c>
      <c r="B45" s="33" t="str">
        <f t="shared" si="0"/>
        <v>-</v>
      </c>
      <c r="C45" s="34" t="s">
        <v>111</v>
      </c>
      <c r="D45" s="174"/>
    </row>
    <row r="46" spans="1:7">
      <c r="A46" s="171" t="s">
        <v>73</v>
      </c>
      <c r="B46" s="33">
        <f t="shared" si="0"/>
        <v>483.23824959481351</v>
      </c>
      <c r="C46" s="34" t="s">
        <v>111</v>
      </c>
      <c r="D46" s="174"/>
    </row>
    <row r="47" spans="1:7">
      <c r="A47" s="171" t="s">
        <v>74</v>
      </c>
      <c r="B47" s="33">
        <f t="shared" si="0"/>
        <v>1738.8136142625608</v>
      </c>
      <c r="C47" s="34" t="s">
        <v>111</v>
      </c>
      <c r="D47" s="174"/>
    </row>
    <row r="48" spans="1:7">
      <c r="A48" s="171" t="s">
        <v>75</v>
      </c>
      <c r="B48" s="33">
        <f t="shared" si="0"/>
        <v>381.94813614262557</v>
      </c>
      <c r="C48" s="33">
        <f>B48*10</f>
        <v>3819.4813614262557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13879.011704069999</v>
      </c>
      <c r="C5" s="17">
        <f>IF(ISERROR('Eigen informatie GS &amp; warmtenet'!B58),0,'Eigen informatie GS &amp; warmtenet'!B58)</f>
        <v>0</v>
      </c>
      <c r="D5" s="30">
        <f>SUM(D6:D12)</f>
        <v>15268.495604087004</v>
      </c>
      <c r="E5" s="17">
        <f>SUM(E6:E12)</f>
        <v>287.004684260776</v>
      </c>
      <c r="F5" s="17">
        <f>SUM(F6:F12)</f>
        <v>3522.8422101828037</v>
      </c>
      <c r="G5" s="18"/>
      <c r="H5" s="17"/>
      <c r="I5" s="17"/>
      <c r="J5" s="17">
        <f>SUM(J6:J12)</f>
        <v>0</v>
      </c>
      <c r="K5" s="17"/>
      <c r="L5" s="17"/>
      <c r="M5" s="17"/>
      <c r="N5" s="17">
        <f>SUM(N6:N12)</f>
        <v>1435.2828354997482</v>
      </c>
      <c r="O5" s="17">
        <f>B38*B39*B40</f>
        <v>1.5633333333333335</v>
      </c>
      <c r="P5" s="17">
        <f>B46*B47*B48/1000-B46*B47*B48/1000/B49</f>
        <v>76.266666666666666</v>
      </c>
      <c r="R5" s="32"/>
    </row>
    <row r="6" spans="1:18">
      <c r="A6" s="32" t="s">
        <v>54</v>
      </c>
      <c r="B6" s="37">
        <f>B26</f>
        <v>2531.9239608999997</v>
      </c>
      <c r="C6" s="33"/>
      <c r="D6" s="37">
        <f>IF(ISERROR(TER_kantoor_gas_kWh/1000),0,TER_kantoor_gas_kWh/1000)*0.902</f>
        <v>5182.8016548682008</v>
      </c>
      <c r="E6" s="33">
        <f>$C$26*'E Balans VL '!I12/100/3.6*1000000</f>
        <v>33.146003526250958</v>
      </c>
      <c r="F6" s="33">
        <f>$C$26*('E Balans VL '!L12+'E Balans VL '!N12)/100/3.6*1000000</f>
        <v>645.61444610463889</v>
      </c>
      <c r="G6" s="34"/>
      <c r="H6" s="33"/>
      <c r="I6" s="33"/>
      <c r="J6" s="33">
        <f>$C$26*('E Balans VL '!D12+'E Balans VL '!E12)/100/3.6*1000000</f>
        <v>0</v>
      </c>
      <c r="K6" s="33"/>
      <c r="L6" s="33"/>
      <c r="M6" s="33"/>
      <c r="N6" s="33">
        <f>$C$26*'E Balans VL '!Y12/100/3.6*1000000</f>
        <v>2.5404500792213707</v>
      </c>
      <c r="O6" s="33"/>
      <c r="P6" s="33"/>
      <c r="R6" s="32"/>
    </row>
    <row r="7" spans="1:18">
      <c r="A7" s="32" t="s">
        <v>53</v>
      </c>
      <c r="B7" s="37">
        <f t="shared" ref="B7:B12" si="0">B27</f>
        <v>1526.8043204999999</v>
      </c>
      <c r="C7" s="33"/>
      <c r="D7" s="37">
        <f>IF(ISERROR(TER_horeca_gas_kWh/1000),0,TER_horeca_gas_kWh/1000)*0.902</f>
        <v>1963.4565300108002</v>
      </c>
      <c r="E7" s="33">
        <f>$C$27*'E Balans VL '!I9/100/3.6*1000000</f>
        <v>50.527935769417567</v>
      </c>
      <c r="F7" s="33">
        <f>$C$27*('E Balans VL '!L9+'E Balans VL '!N9)/100/3.6*1000000</f>
        <v>656.5200063920712</v>
      </c>
      <c r="G7" s="34"/>
      <c r="H7" s="33"/>
      <c r="I7" s="33"/>
      <c r="J7" s="33">
        <f>$C$27*('E Balans VL '!D9+'E Balans VL '!E9)/100/3.6*1000000</f>
        <v>0</v>
      </c>
      <c r="K7" s="33"/>
      <c r="L7" s="33"/>
      <c r="M7" s="33"/>
      <c r="N7" s="33">
        <f>$C$27*'E Balans VL '!Y9/100/3.6*1000000</f>
        <v>0.36752397157621797</v>
      </c>
      <c r="O7" s="33"/>
      <c r="P7" s="33"/>
      <c r="R7" s="32"/>
    </row>
    <row r="8" spans="1:18">
      <c r="A8" s="6" t="s">
        <v>52</v>
      </c>
      <c r="B8" s="37">
        <f t="shared" si="0"/>
        <v>4866.8975329999994</v>
      </c>
      <c r="C8" s="33"/>
      <c r="D8" s="37">
        <f>IF(ISERROR(TER_handel_gas_kWh/1000),0,TER_handel_gas_kWh/1000)*0.902</f>
        <v>2355.9914367176002</v>
      </c>
      <c r="E8" s="33">
        <f>$C$28*'E Balans VL '!I13/100/3.6*1000000</f>
        <v>153.60672253955423</v>
      </c>
      <c r="F8" s="33">
        <f>$C$28*('E Balans VL '!L13+'E Balans VL '!N13)/100/3.6*1000000</f>
        <v>954.48430696608204</v>
      </c>
      <c r="G8" s="34"/>
      <c r="H8" s="33"/>
      <c r="I8" s="33"/>
      <c r="J8" s="33">
        <f>$C$28*('E Balans VL '!D13+'E Balans VL '!E13)/100/3.6*1000000</f>
        <v>0</v>
      </c>
      <c r="K8" s="33"/>
      <c r="L8" s="33"/>
      <c r="M8" s="33"/>
      <c r="N8" s="33">
        <f>$C$28*'E Balans VL '!Y13/100/3.6*1000000</f>
        <v>5.7760624751149585</v>
      </c>
      <c r="O8" s="33"/>
      <c r="P8" s="33"/>
      <c r="R8" s="32"/>
    </row>
    <row r="9" spans="1:18">
      <c r="A9" s="32" t="s">
        <v>51</v>
      </c>
      <c r="B9" s="37">
        <f t="shared" si="0"/>
        <v>456.10792425</v>
      </c>
      <c r="C9" s="33"/>
      <c r="D9" s="37">
        <f>IF(ISERROR(TER_gezond_gas_kWh/1000),0,TER_gezond_gas_kWh/1000)*0.902</f>
        <v>1018.3436282535999</v>
      </c>
      <c r="E9" s="33">
        <f>$C$29*'E Balans VL '!I10/100/3.6*1000000</f>
        <v>5.8395157445264634E-2</v>
      </c>
      <c r="F9" s="33">
        <f>$C$29*('E Balans VL '!L10+'E Balans VL '!N10)/100/3.6*1000000</f>
        <v>95.02639785634841</v>
      </c>
      <c r="G9" s="34"/>
      <c r="H9" s="33"/>
      <c r="I9" s="33"/>
      <c r="J9" s="33">
        <f>$C$29*('E Balans VL '!D10+'E Balans VL '!E10)/100/3.6*1000000</f>
        <v>0</v>
      </c>
      <c r="K9" s="33"/>
      <c r="L9" s="33"/>
      <c r="M9" s="33"/>
      <c r="N9" s="33">
        <f>$C$29*'E Balans VL '!Y10/100/3.6*1000000</f>
        <v>5.3572031552633028</v>
      </c>
      <c r="O9" s="33"/>
      <c r="P9" s="33"/>
      <c r="R9" s="32"/>
    </row>
    <row r="10" spans="1:18">
      <c r="A10" s="32" t="s">
        <v>50</v>
      </c>
      <c r="B10" s="37">
        <f t="shared" si="0"/>
        <v>1504.9302290000001</v>
      </c>
      <c r="C10" s="33"/>
      <c r="D10" s="37">
        <f>IF(ISERROR(TER_ander_gas_kWh/1000),0,TER_ander_gas_kWh/1000)*0.902</f>
        <v>931.49759456599998</v>
      </c>
      <c r="E10" s="33">
        <f>$C$30*'E Balans VL '!I14/100/3.6*1000000</f>
        <v>2.2630611566139178</v>
      </c>
      <c r="F10" s="33">
        <f>$C$30*('E Balans VL '!L14+'E Balans VL '!N14)/100/3.6*1000000</f>
        <v>332.24008374377382</v>
      </c>
      <c r="G10" s="34"/>
      <c r="H10" s="33"/>
      <c r="I10" s="33"/>
      <c r="J10" s="33">
        <f>$C$30*('E Balans VL '!D14+'E Balans VL '!E14)/100/3.6*1000000</f>
        <v>0</v>
      </c>
      <c r="K10" s="33"/>
      <c r="L10" s="33"/>
      <c r="M10" s="33"/>
      <c r="N10" s="33">
        <f>$C$30*'E Balans VL '!Y14/100/3.6*1000000</f>
        <v>1185.9862984378515</v>
      </c>
      <c r="O10" s="33"/>
      <c r="P10" s="33"/>
      <c r="R10" s="32"/>
    </row>
    <row r="11" spans="1:18">
      <c r="A11" s="32" t="s">
        <v>55</v>
      </c>
      <c r="B11" s="37">
        <f t="shared" si="0"/>
        <v>333.36045632000003</v>
      </c>
      <c r="C11" s="33"/>
      <c r="D11" s="37">
        <f>IF(ISERROR(TER_onderwijs_gas_kWh/1000),0,TER_onderwijs_gas_kWh/1000)*0.902</f>
        <v>1012.496783254</v>
      </c>
      <c r="E11" s="33">
        <f>$C$31*'E Balans VL '!I11/100/3.6*1000000</f>
        <v>0.58707569908919677</v>
      </c>
      <c r="F11" s="33">
        <f>$C$31*('E Balans VL '!L11+'E Balans VL '!N11)/100/3.6*1000000</f>
        <v>153.91855483042443</v>
      </c>
      <c r="G11" s="34"/>
      <c r="H11" s="33"/>
      <c r="I11" s="33"/>
      <c r="J11" s="33">
        <f>$C$31*('E Balans VL '!D11+'E Balans VL '!E11)/100/3.6*1000000</f>
        <v>0</v>
      </c>
      <c r="K11" s="33"/>
      <c r="L11" s="33"/>
      <c r="M11" s="33"/>
      <c r="N11" s="33">
        <f>$C$31*'E Balans VL '!Y11/100/3.6*1000000</f>
        <v>0.62105514009214158</v>
      </c>
      <c r="O11" s="33"/>
      <c r="P11" s="33"/>
      <c r="R11" s="32"/>
    </row>
    <row r="12" spans="1:18">
      <c r="A12" s="32" t="s">
        <v>260</v>
      </c>
      <c r="B12" s="37">
        <f t="shared" si="0"/>
        <v>2658.9872801000001</v>
      </c>
      <c r="C12" s="33"/>
      <c r="D12" s="37">
        <f>IF(ISERROR(TER_rest_gas_kWh/1000),0,TER_rest_gas_kWh/1000)*0.902</f>
        <v>2803.9079764168005</v>
      </c>
      <c r="E12" s="33">
        <f>$C$32*'E Balans VL '!I8/100/3.6*1000000</f>
        <v>46.815490412404898</v>
      </c>
      <c r="F12" s="33">
        <f>$C$32*('E Balans VL '!L8+'E Balans VL '!N8)/100/3.6*1000000</f>
        <v>685.03841428946464</v>
      </c>
      <c r="G12" s="34"/>
      <c r="H12" s="33"/>
      <c r="I12" s="33"/>
      <c r="J12" s="33">
        <f>$C$32*('E Balans VL '!D8+'E Balans VL '!E8)/100/3.6*1000000</f>
        <v>0</v>
      </c>
      <c r="K12" s="33"/>
      <c r="L12" s="33"/>
      <c r="M12" s="33"/>
      <c r="N12" s="33">
        <f>$C$32*'E Balans VL '!Y8/100/3.6*1000000</f>
        <v>234.63424224062902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13879.011704069999</v>
      </c>
      <c r="C16" s="21">
        <f t="shared" ca="1" si="1"/>
        <v>0</v>
      </c>
      <c r="D16" s="21">
        <f t="shared" ca="1" si="1"/>
        <v>15268.495604087004</v>
      </c>
      <c r="E16" s="21">
        <f t="shared" si="1"/>
        <v>287.004684260776</v>
      </c>
      <c r="F16" s="21">
        <f t="shared" ca="1" si="1"/>
        <v>3522.8422101828037</v>
      </c>
      <c r="G16" s="21">
        <f t="shared" si="1"/>
        <v>0</v>
      </c>
      <c r="H16" s="21">
        <f t="shared" si="1"/>
        <v>0</v>
      </c>
      <c r="I16" s="21">
        <f t="shared" si="1"/>
        <v>0</v>
      </c>
      <c r="J16" s="21">
        <f t="shared" si="1"/>
        <v>0</v>
      </c>
      <c r="K16" s="21">
        <f t="shared" si="1"/>
        <v>0</v>
      </c>
      <c r="L16" s="21">
        <f t="shared" ca="1" si="1"/>
        <v>0</v>
      </c>
      <c r="M16" s="21">
        <f t="shared" si="1"/>
        <v>0</v>
      </c>
      <c r="N16" s="21">
        <f t="shared" ca="1" si="1"/>
        <v>1435.2828354997482</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0.12552360888082797</v>
      </c>
      <c r="C18" s="25">
        <f ca="1">'EF ele_warmte'!B22</f>
        <v>0.23711358076567554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1742.1436367941162</v>
      </c>
      <c r="C20" s="23">
        <f t="shared" ref="C20:P20" ca="1" si="2">C16*C18</f>
        <v>0</v>
      </c>
      <c r="D20" s="23">
        <f t="shared" ca="1" si="2"/>
        <v>3084.236112025575</v>
      </c>
      <c r="E20" s="23">
        <f t="shared" si="2"/>
        <v>65.15006332719615</v>
      </c>
      <c r="F20" s="23">
        <f t="shared" ca="1" si="2"/>
        <v>940.59887011880869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2531.9239608999997</v>
      </c>
      <c r="C26" s="39">
        <f>IF(ISERROR(B26*3.6/1000000/'E Balans VL '!Z12*100),0,B26*3.6/1000000/'E Balans VL '!Z12*100)</f>
        <v>5.4235778217610137E-2</v>
      </c>
      <c r="D26" s="237" t="s">
        <v>660</v>
      </c>
      <c r="F26" s="6"/>
    </row>
    <row r="27" spans="1:18">
      <c r="A27" s="231" t="s">
        <v>53</v>
      </c>
      <c r="B27" s="33">
        <f>IF(ISERROR(TER_horeca_ele_kWh/1000),0,TER_horeca_ele_kWh/1000)</f>
        <v>1526.8043204999999</v>
      </c>
      <c r="C27" s="39">
        <f>IF(ISERROR(B27*3.6/1000000/'E Balans VL '!Z9*100),0,B27*3.6/1000000/'E Balans VL '!Z9*100)</f>
        <v>0.12252073960247756</v>
      </c>
      <c r="D27" s="237" t="s">
        <v>660</v>
      </c>
      <c r="F27" s="6"/>
    </row>
    <row r="28" spans="1:18">
      <c r="A28" s="171" t="s">
        <v>52</v>
      </c>
      <c r="B28" s="33">
        <f>IF(ISERROR(TER_handel_ele_kWh/1000),0,TER_handel_ele_kWh/1000)</f>
        <v>4866.8975329999994</v>
      </c>
      <c r="C28" s="39">
        <f>IF(ISERROR(B28*3.6/1000000/'E Balans VL '!Z13*100),0,B28*3.6/1000000/'E Balans VL '!Z13*100)</f>
        <v>0.14354556181270597</v>
      </c>
      <c r="D28" s="237" t="s">
        <v>660</v>
      </c>
      <c r="F28" s="6"/>
    </row>
    <row r="29" spans="1:18">
      <c r="A29" s="231" t="s">
        <v>51</v>
      </c>
      <c r="B29" s="33">
        <f>IF(ISERROR(TER_gezond_ele_kWh/1000),0,TER_gezond_ele_kWh/1000)</f>
        <v>456.10792425</v>
      </c>
      <c r="C29" s="39">
        <f>IF(ISERROR(B29*3.6/1000000/'E Balans VL '!Z10*100),0,B29*3.6/1000000/'E Balans VL '!Z10*100)</f>
        <v>4.8700097597877932E-2</v>
      </c>
      <c r="D29" s="237" t="s">
        <v>660</v>
      </c>
      <c r="F29" s="6"/>
    </row>
    <row r="30" spans="1:18">
      <c r="A30" s="231" t="s">
        <v>50</v>
      </c>
      <c r="B30" s="33">
        <f>IF(ISERROR(TER_ander_ele_kWh/1000),0,TER_ander_ele_kWh/1000)</f>
        <v>1504.9302290000001</v>
      </c>
      <c r="C30" s="39">
        <f>IF(ISERROR(B30*3.6/1000000/'E Balans VL '!Z14*100),0,B30*3.6/1000000/'E Balans VL '!Z14*100)</f>
        <v>0.11367328981900476</v>
      </c>
      <c r="D30" s="237" t="s">
        <v>660</v>
      </c>
      <c r="F30" s="6"/>
    </row>
    <row r="31" spans="1:18">
      <c r="A31" s="231" t="s">
        <v>55</v>
      </c>
      <c r="B31" s="33">
        <f>IF(ISERROR(TER_onderwijs_ele_kWh/1000),0,TER_onderwijs_ele_kWh/1000)</f>
        <v>333.36045632000003</v>
      </c>
      <c r="C31" s="39">
        <f>IF(ISERROR(B31*3.6/1000000/'E Balans VL '!Z11*100),0,B31*3.6/1000000/'E Balans VL '!Z11*100)</f>
        <v>6.7316604562758203E-2</v>
      </c>
      <c r="D31" s="237" t="s">
        <v>660</v>
      </c>
    </row>
    <row r="32" spans="1:18">
      <c r="A32" s="231" t="s">
        <v>260</v>
      </c>
      <c r="B32" s="33">
        <f>IF(ISERROR(TER_rest_ele_kWh/1000),0,TER_rest_ele_kWh/1000)</f>
        <v>2658.9872801000001</v>
      </c>
      <c r="C32" s="39">
        <f>IF(ISERROR(B32*3.6/1000000/'E Balans VL '!Z8*100),0,B32*3.6/1000000/'E Balans VL '!Z8*100)</f>
        <v>2.2046707165105445E-2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5477.5042808130002</v>
      </c>
      <c r="C5" s="17">
        <f>IF(ISERROR('Eigen informatie GS &amp; warmtenet'!B59),0,'Eigen informatie GS &amp; warmtenet'!B59)</f>
        <v>0</v>
      </c>
      <c r="D5" s="30">
        <f>SUM(D6:D15)</f>
        <v>3708.2441548653605</v>
      </c>
      <c r="E5" s="17">
        <f>SUM(E6:E15)</f>
        <v>767.94079512597989</v>
      </c>
      <c r="F5" s="17">
        <f>SUM(F6:F15)</f>
        <v>2941.8451524555339</v>
      </c>
      <c r="G5" s="18"/>
      <c r="H5" s="17"/>
      <c r="I5" s="17"/>
      <c r="J5" s="17">
        <f>SUM(J6:J15)</f>
        <v>19.497262071158648</v>
      </c>
      <c r="K5" s="17"/>
      <c r="L5" s="17"/>
      <c r="M5" s="17"/>
      <c r="N5" s="17">
        <f>SUM(N6:N15)</f>
        <v>1438.8173978295717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753.70362480999995</v>
      </c>
      <c r="C8" s="33"/>
      <c r="D8" s="37">
        <f>IF( ISERROR(IND_metaal_Gas_kWH/1000),0,IND_metaal_Gas_kWH/1000)*0.902</f>
        <v>626.96965140766008</v>
      </c>
      <c r="E8" s="33">
        <f>C30*'E Balans VL '!I18/100/3.6*1000000</f>
        <v>27.120536528692821</v>
      </c>
      <c r="F8" s="33">
        <f>C30*'E Balans VL '!L18/100/3.6*1000000+C30*'E Balans VL '!N18/100/3.6*1000000</f>
        <v>329.11794051169392</v>
      </c>
      <c r="G8" s="34"/>
      <c r="H8" s="33"/>
      <c r="I8" s="33"/>
      <c r="J8" s="40">
        <f>C30*'E Balans VL '!D18/100/3.6*1000000+C30*'E Balans VL '!E18/100/3.6*1000000</f>
        <v>0</v>
      </c>
      <c r="K8" s="33"/>
      <c r="L8" s="33"/>
      <c r="M8" s="33"/>
      <c r="N8" s="33">
        <f>C30*'E Balans VL '!Y18/100/3.6*1000000</f>
        <v>37.775113479592058</v>
      </c>
      <c r="O8" s="33"/>
      <c r="P8" s="33"/>
      <c r="R8" s="32"/>
    </row>
    <row r="9" spans="1:18">
      <c r="A9" s="6" t="s">
        <v>33</v>
      </c>
      <c r="B9" s="37">
        <f t="shared" si="0"/>
        <v>2478.7334833999998</v>
      </c>
      <c r="C9" s="33"/>
      <c r="D9" s="37">
        <f>IF( ISERROR(IND_andere_gas_kWh/1000),0,IND_andere_gas_kWh/1000)*0.902</f>
        <v>1701.3035060076002</v>
      </c>
      <c r="E9" s="33">
        <f>C31*'E Balans VL '!I19/100/3.6*1000000</f>
        <v>632.51670204779373</v>
      </c>
      <c r="F9" s="33">
        <f>C31*'E Balans VL '!L19/100/3.6*1000000+C31*'E Balans VL '!N19/100/3.6*1000000</f>
        <v>2134.0032203557212</v>
      </c>
      <c r="G9" s="34"/>
      <c r="H9" s="33"/>
      <c r="I9" s="33"/>
      <c r="J9" s="40">
        <f>C31*'E Balans VL '!D19/100/3.6*1000000+C31*'E Balans VL '!E19/100/3.6*1000000</f>
        <v>0</v>
      </c>
      <c r="K9" s="33"/>
      <c r="L9" s="33"/>
      <c r="M9" s="33"/>
      <c r="N9" s="33">
        <f>C31*'E Balans VL '!Y19/100/3.6*1000000</f>
        <v>775.18484801541263</v>
      </c>
      <c r="O9" s="33"/>
      <c r="P9" s="33"/>
      <c r="R9" s="32"/>
    </row>
    <row r="10" spans="1:18">
      <c r="A10" s="6" t="s">
        <v>41</v>
      </c>
      <c r="B10" s="37">
        <f t="shared" si="0"/>
        <v>348.12423232000003</v>
      </c>
      <c r="C10" s="33"/>
      <c r="D10" s="37">
        <f>IF( ISERROR(IND_voed_gas_kWh/1000),0,IND_voed_gas_kWh/1000)*0.902</f>
        <v>401.30186616629999</v>
      </c>
      <c r="E10" s="33">
        <f>C32*'E Balans VL '!I20/100/3.6*1000000</f>
        <v>8.849795999317795</v>
      </c>
      <c r="F10" s="33">
        <f>C32*'E Balans VL '!L20/100/3.6*1000000+C32*'E Balans VL '!N20/100/3.6*1000000</f>
        <v>78.775287978615992</v>
      </c>
      <c r="G10" s="34"/>
      <c r="H10" s="33"/>
      <c r="I10" s="33"/>
      <c r="J10" s="40">
        <f>C32*'E Balans VL '!D20/100/3.6*1000000+C32*'E Balans VL '!E20/100/3.6*1000000</f>
        <v>0</v>
      </c>
      <c r="K10" s="33"/>
      <c r="L10" s="33"/>
      <c r="M10" s="33"/>
      <c r="N10" s="33">
        <f>C32*'E Balans VL '!Y20/100/3.6*1000000</f>
        <v>130.55602339848042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69.998444583000008</v>
      </c>
      <c r="C13" s="33"/>
      <c r="D13" s="37">
        <f>IF( ISERROR(IND_papier_gas_kWh/1000),0,IND_papier_gas_kWh/1000)*0.902</f>
        <v>0</v>
      </c>
      <c r="E13" s="33">
        <f>C35*'E Balans VL '!I23/100/3.6*1000000</f>
        <v>0.30020296502413546</v>
      </c>
      <c r="F13" s="33">
        <f>C35*'E Balans VL '!L23/100/3.6*1000000+C35*'E Balans VL '!N23/100/3.6*1000000</f>
        <v>1.7592781737119094</v>
      </c>
      <c r="G13" s="34"/>
      <c r="H13" s="33"/>
      <c r="I13" s="33"/>
      <c r="J13" s="40">
        <f>C35*'E Balans VL '!D23/100/3.6*1000000+C35*'E Balans VL '!E23/100/3.6*1000000</f>
        <v>4.6860119391564634</v>
      </c>
      <c r="K13" s="33"/>
      <c r="L13" s="33"/>
      <c r="M13" s="33"/>
      <c r="N13" s="33">
        <f>C35*'E Balans VL '!Y23/100/3.6*1000000</f>
        <v>127.41381540627627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1826.9444957000001</v>
      </c>
      <c r="C15" s="33"/>
      <c r="D15" s="37">
        <f>IF( ISERROR(IND_rest_gas_kWh/1000),0,IND_rest_gas_kWh/1000)*0.902</f>
        <v>978.66913128379997</v>
      </c>
      <c r="E15" s="33">
        <f>C37*'E Balans VL '!I15/100/3.6*1000000</f>
        <v>99.153557585151376</v>
      </c>
      <c r="F15" s="33">
        <f>C37*'E Balans VL '!L15/100/3.6*1000000+C37*'E Balans VL '!N15/100/3.6*1000000</f>
        <v>398.18942543579067</v>
      </c>
      <c r="G15" s="34"/>
      <c r="H15" s="33"/>
      <c r="I15" s="33"/>
      <c r="J15" s="40">
        <f>C37*'E Balans VL '!D15/100/3.6*1000000+C37*'E Balans VL '!E15/100/3.6*1000000</f>
        <v>14.811250132002185</v>
      </c>
      <c r="K15" s="33"/>
      <c r="L15" s="33"/>
      <c r="M15" s="33"/>
      <c r="N15" s="33">
        <f>C37*'E Balans VL '!Y15/100/3.6*1000000</f>
        <v>367.88759752981048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5477.5042808130002</v>
      </c>
      <c r="C18" s="21">
        <f>C5+C16</f>
        <v>0</v>
      </c>
      <c r="D18" s="21">
        <f>MAX((D5+D16),0)</f>
        <v>3708.2441548653605</v>
      </c>
      <c r="E18" s="21">
        <f>MAX((E5+E16),0)</f>
        <v>767.94079512597989</v>
      </c>
      <c r="F18" s="21">
        <f>MAX((F5+F16),0)</f>
        <v>2941.8451524555339</v>
      </c>
      <c r="G18" s="21"/>
      <c r="H18" s="21"/>
      <c r="I18" s="21"/>
      <c r="J18" s="21">
        <f>MAX((J5+J16),0)</f>
        <v>19.497262071158648</v>
      </c>
      <c r="K18" s="21"/>
      <c r="L18" s="21">
        <f>MAX((L5+L16),0)</f>
        <v>0</v>
      </c>
      <c r="M18" s="21"/>
      <c r="N18" s="21">
        <f>MAX((N5+N16),0)</f>
        <v>1438.8173978295717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0.12552360888082797</v>
      </c>
      <c r="C20" s="25">
        <f ca="1">'EF ele_warmte'!B22</f>
        <v>0.23711358076567554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687.55610498783199</v>
      </c>
      <c r="C22" s="23">
        <f ca="1">C18*C20</f>
        <v>0</v>
      </c>
      <c r="D22" s="23">
        <f>D18*D20</f>
        <v>749.06531928280288</v>
      </c>
      <c r="E22" s="23">
        <f>E18*E20</f>
        <v>174.32256049359745</v>
      </c>
      <c r="F22" s="23">
        <f>F18*F20</f>
        <v>785.47265570562763</v>
      </c>
      <c r="G22" s="23"/>
      <c r="H22" s="23"/>
      <c r="I22" s="23"/>
      <c r="J22" s="23">
        <f>J18*J20</f>
        <v>6.9020307731901607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753.70362480999995</v>
      </c>
      <c r="C30" s="39">
        <f>IF(ISERROR(B30*3.6/1000000/'E Balans VL '!Z18*100),0,B30*3.6/1000000/'E Balans VL '!Z18*100)</f>
        <v>0.15969363911740173</v>
      </c>
      <c r="D30" s="237" t="s">
        <v>660</v>
      </c>
    </row>
    <row r="31" spans="1:18">
      <c r="A31" s="6" t="s">
        <v>33</v>
      </c>
      <c r="B31" s="37">
        <f>IF( ISERROR(IND_ander_ele_kWh/1000),0,IND_ander_ele_kWh/1000)</f>
        <v>2478.7334833999998</v>
      </c>
      <c r="C31" s="39">
        <f>IF(ISERROR(B31*3.6/1000000/'E Balans VL '!Z19*100),0,B31*3.6/1000000/'E Balans VL '!Z19*100)</f>
        <v>0.10433552069000866</v>
      </c>
      <c r="D31" s="237" t="s">
        <v>660</v>
      </c>
    </row>
    <row r="32" spans="1:18">
      <c r="A32" s="171" t="s">
        <v>41</v>
      </c>
      <c r="B32" s="37">
        <f>IF( ISERROR(IND_voed_ele_kWh/1000),0,IND_voed_ele_kWh/1000)</f>
        <v>348.12423232000003</v>
      </c>
      <c r="C32" s="39">
        <f>IF(ISERROR(B32*3.6/1000000/'E Balans VL '!Z20*100),0,B32*3.6/1000000/'E Balans VL '!Z20*100)</f>
        <v>5.8158091763850256E-2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69.998444583000008</v>
      </c>
      <c r="C35" s="39">
        <f>IF(ISERROR(B35*3.6/1000000/'E Balans VL '!Z22*100),0,B35*3.6/1000000/'E Balans VL '!Z22*100)</f>
        <v>8.8726803513919528E-3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1826.9444957000001</v>
      </c>
      <c r="C37" s="39">
        <f>IF(ISERROR(B37*3.6/1000000/'E Balans VL '!Z15*100),0,B37*3.6/1000000/'E Balans VL '!Z15*100)</f>
        <v>1.4749630339118788E-2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11679.411397290001</v>
      </c>
      <c r="C5" s="17">
        <f>'Eigen informatie GS &amp; warmtenet'!B60</f>
        <v>0</v>
      </c>
      <c r="D5" s="30">
        <f>IF(ISERROR(SUM(LB_lb_gas_kWh,LB_rest_gas_kWh)/1000),0,SUM(LB_lb_gas_kWh,LB_rest_gas_kWh)/1000)*0.902</f>
        <v>125201.05362459421</v>
      </c>
      <c r="E5" s="17">
        <f>B17*'E Balans VL '!I25/3.6*1000000/100</f>
        <v>301.16717618094333</v>
      </c>
      <c r="F5" s="17">
        <f>B17*('E Balans VL '!L25/3.6*1000000+'E Balans VL '!N25/3.6*1000000)/100</f>
        <v>42690.47289294855</v>
      </c>
      <c r="G5" s="18"/>
      <c r="H5" s="17"/>
      <c r="I5" s="17"/>
      <c r="J5" s="17">
        <f>('E Balans VL '!D25+'E Balans VL '!E25)/3.6*1000000*landbouw!B17/100</f>
        <v>1681.4055947078607</v>
      </c>
      <c r="K5" s="17"/>
      <c r="L5" s="17">
        <f>L6*(-1)</f>
        <v>0</v>
      </c>
      <c r="M5" s="17"/>
      <c r="N5" s="17">
        <f>N6*(-1)</f>
        <v>374.14285714285711</v>
      </c>
      <c r="O5" s="17"/>
      <c r="P5" s="17"/>
      <c r="R5" s="32"/>
    </row>
    <row r="6" spans="1:18">
      <c r="A6" s="16" t="s">
        <v>491</v>
      </c>
      <c r="B6" s="17" t="s">
        <v>211</v>
      </c>
      <c r="C6" s="17">
        <f>'lokale energieproductie'!O92+'lokale energieproductie'!O61</f>
        <v>83334.21428571429</v>
      </c>
      <c r="D6" s="310">
        <f>('lokale energieproductie'!P61+'lokale energieproductie'!P92)*(-1)</f>
        <v>-166294.28571428571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11679.411397290001</v>
      </c>
      <c r="C8" s="21">
        <f>C5+C6</f>
        <v>83334.21428571429</v>
      </c>
      <c r="D8" s="21">
        <f>MAX((D5+D6),0)</f>
        <v>0</v>
      </c>
      <c r="E8" s="21">
        <f>MAX((E5+E6),0)</f>
        <v>301.16717618094333</v>
      </c>
      <c r="F8" s="21">
        <f>MAX((F5+F6),0)</f>
        <v>42690.47289294855</v>
      </c>
      <c r="G8" s="21"/>
      <c r="H8" s="21"/>
      <c r="I8" s="21"/>
      <c r="J8" s="21">
        <f>MAX((J5+J6),0)</f>
        <v>1681.4055947078607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0.12552360888082797</v>
      </c>
      <c r="C10" s="31">
        <f ca="1">'EF ele_warmte'!B22</f>
        <v>0.23711358076567554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1466.0418681917147</v>
      </c>
      <c r="C12" s="23">
        <f ca="1">C8*C10</f>
        <v>19759.673949579828</v>
      </c>
      <c r="D12" s="23">
        <f>D8*D10</f>
        <v>0</v>
      </c>
      <c r="E12" s="23">
        <f>E8*E10</f>
        <v>68.364948993074137</v>
      </c>
      <c r="F12" s="23">
        <f>F8*F10</f>
        <v>11398.356262417263</v>
      </c>
      <c r="G12" s="23"/>
      <c r="H12" s="23"/>
      <c r="I12" s="23"/>
      <c r="J12" s="23">
        <f>J8*J10</f>
        <v>595.21758052658265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1.646874369704292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1948.225500445549</v>
      </c>
      <c r="C26" s="247">
        <f>B26*'GWP N2O_CH4'!B5</f>
        <v>40912.735509356527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1075.4976910207511</v>
      </c>
      <c r="C27" s="247">
        <f>B27*'GWP N2O_CH4'!B5</f>
        <v>22585.451511435771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27.757253252027432</v>
      </c>
      <c r="C28" s="247">
        <f>B28*'GWP N2O_CH4'!B4</f>
        <v>8604.7485081285031</v>
      </c>
      <c r="D28" s="50"/>
    </row>
    <row r="29" spans="1:4">
      <c r="A29" s="41" t="s">
        <v>277</v>
      </c>
      <c r="B29" s="247">
        <f>B34*'ha_N2O bodem landbouw'!B4</f>
        <v>38.667138759760675</v>
      </c>
      <c r="C29" s="247">
        <f>B29*'GWP N2O_CH4'!B4</f>
        <v>11986.81301552581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8.7022074543899666E-3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1.5399896439551654E-4</v>
      </c>
      <c r="C5" s="463" t="s">
        <v>211</v>
      </c>
      <c r="D5" s="448">
        <f>SUM(D6:D11)</f>
        <v>3.3122546807657282E-4</v>
      </c>
      <c r="E5" s="448">
        <f>SUM(E6:E11)</f>
        <v>1.4606476891663518E-3</v>
      </c>
      <c r="F5" s="461" t="s">
        <v>211</v>
      </c>
      <c r="G5" s="448">
        <f>SUM(G6:G11)</f>
        <v>0.63810751072584315</v>
      </c>
      <c r="H5" s="448">
        <f>SUM(H6:H11)</f>
        <v>9.1430022146266318E-2</v>
      </c>
      <c r="I5" s="463" t="s">
        <v>211</v>
      </c>
      <c r="J5" s="463" t="s">
        <v>211</v>
      </c>
      <c r="K5" s="463" t="s">
        <v>211</v>
      </c>
      <c r="L5" s="463" t="s">
        <v>211</v>
      </c>
      <c r="M5" s="448">
        <f>SUM(M6:M11)</f>
        <v>2.2841889919393517E-2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5.8725996022391413E-5</v>
      </c>
      <c r="C6" s="449"/>
      <c r="D6" s="892">
        <f>vkm_2011_GW_PW*SUMIFS(TableVerdeelsleutelVkm[CNG],TableVerdeelsleutelVkm[Voertuigtype],"Lichte voertuigen")*SUMIFS(TableECFTransport[EnergieConsumptieFactor (PJ per km)],TableECFTransport[Index],CONCATENATE($A6,"_CNG_CNG"))</f>
        <v>1.1668958277242483E-4</v>
      </c>
      <c r="E6" s="892">
        <f>vkm_2011_GW_PW*SUMIFS(TableVerdeelsleutelVkm[LPG],TableVerdeelsleutelVkm[Voertuigtype],"Lichte voertuigen")*SUMIFS(TableECFTransport[EnergieConsumptieFactor (PJ per km)],TableECFTransport[Index],CONCATENATE($A6,"_LPG_LPG"))</f>
        <v>4.5921533828914606E-4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0.10918565084810833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3.1591380584982717E-2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4.3867422948666206E-3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4.9737768053331501E-2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1.6067423555768906E-5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1.5671609687920082E-3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1.1374795215930336E-5</v>
      </c>
      <c r="C8" s="449"/>
      <c r="D8" s="451">
        <f>vkm_2011_NGW_PW*SUMIFS(TableVerdeelsleutelVkm[CNG],TableVerdeelsleutelVkm[Voertuigtype],"Lichte voertuigen")*SUMIFS(TableECFTransport[EnergieConsumptieFactor (PJ per km)],TableECFTransport[Index],CONCATENATE($A8,"_CNG_CNG"))</f>
        <v>4.0019750650665851E-5</v>
      </c>
      <c r="E8" s="451">
        <f>vkm_2011_NGW_PW*SUMIFS(TableVerdeelsleutelVkm[LPG],TableVerdeelsleutelVkm[Voertuigtype],"Lichte voertuigen")*SUMIFS(TableECFTransport[EnergieConsumptieFactor (PJ per km)],TableECFTransport[Index],CONCATENATE($A8,"_LPG_LPG"))</f>
        <v>1.4565233665373442E-4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3.2338913173381584E-2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1.0505770568258625E-2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1.3337382864509755E-3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4.2955723201343454E-3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1.3123337664112921E-6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1.3534465217811376E-4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8.3898173157194802E-5</v>
      </c>
      <c r="C10" s="449"/>
      <c r="D10" s="451">
        <f>vkm_2011_SW_PW*SUMIFS(TableVerdeelsleutelVkm[CNG],TableVerdeelsleutelVkm[Voertuigtype],"Lichte voertuigen")*SUMIFS(TableECFTransport[EnergieConsumptieFactor (PJ per km)],TableECFTransport[Index],CONCATENATE($A10,"_CNG_CNG"))</f>
        <v>1.7451613465348215E-4</v>
      </c>
      <c r="E10" s="451">
        <f>vkm_2011_SW_PW*SUMIFS(TableVerdeelsleutelVkm[LPG],TableVerdeelsleutelVkm[Voertuigtype],"Lichte voertuigen")*SUMIFS(TableECFTransport[EnergieConsumptieFactor (PJ per km)],TableECFTransport[Index],CONCATENATE($A10,"_LPG_LPG"))</f>
        <v>8.5578001422347135E-4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0.18227131728547122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4.9224899167445421E-2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7.2177377870680766E-3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0.26027828904541611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9.0592068257368117E-5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8.2011659300377238E-3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42.77749010986571</v>
      </c>
      <c r="C14" s="21"/>
      <c r="D14" s="21">
        <f t="shared" ref="D14:M14" si="0">((D5)*10^9/3600)+D12</f>
        <v>92.007074465714666</v>
      </c>
      <c r="E14" s="21">
        <f t="shared" si="0"/>
        <v>405.73546921287556</v>
      </c>
      <c r="F14" s="21"/>
      <c r="G14" s="21">
        <f t="shared" si="0"/>
        <v>177252.08631273423</v>
      </c>
      <c r="H14" s="21">
        <f t="shared" si="0"/>
        <v>25397.228373962866</v>
      </c>
      <c r="I14" s="21"/>
      <c r="J14" s="21"/>
      <c r="K14" s="21"/>
      <c r="L14" s="21"/>
      <c r="M14" s="21">
        <f t="shared" si="0"/>
        <v>6344.9694220537549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0.12552360888082797</v>
      </c>
      <c r="C16" s="56">
        <f ca="1">'EF ele_warmte'!B22</f>
        <v>0.23711358076567554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5.3695849374542703</v>
      </c>
      <c r="C18" s="23"/>
      <c r="D18" s="23">
        <f t="shared" ref="D18:M18" si="1">D14*D16</f>
        <v>18.585429042074363</v>
      </c>
      <c r="E18" s="23">
        <f t="shared" si="1"/>
        <v>92.101951511322753</v>
      </c>
      <c r="F18" s="23"/>
      <c r="G18" s="23">
        <f t="shared" si="1"/>
        <v>47326.307045500042</v>
      </c>
      <c r="H18" s="23">
        <f t="shared" si="1"/>
        <v>6323.9098651167533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7.0205341267128053E-3</v>
      </c>
      <c r="H50" s="321">
        <f t="shared" si="2"/>
        <v>0</v>
      </c>
      <c r="I50" s="321">
        <f t="shared" si="2"/>
        <v>0</v>
      </c>
      <c r="J50" s="321">
        <f t="shared" si="2"/>
        <v>0</v>
      </c>
      <c r="K50" s="321">
        <f t="shared" si="2"/>
        <v>0</v>
      </c>
      <c r="L50" s="321">
        <f t="shared" si="2"/>
        <v>0</v>
      </c>
      <c r="M50" s="321">
        <f t="shared" si="2"/>
        <v>2.1776126239743382E-4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7.0205341267128053E-3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2.1776126239743382E-4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1950.1483685313349</v>
      </c>
      <c r="H54" s="21">
        <f t="shared" si="3"/>
        <v>0</v>
      </c>
      <c r="I54" s="21">
        <f t="shared" si="3"/>
        <v>0</v>
      </c>
      <c r="J54" s="21">
        <f t="shared" si="3"/>
        <v>0</v>
      </c>
      <c r="K54" s="21">
        <f t="shared" si="3"/>
        <v>0</v>
      </c>
      <c r="L54" s="21">
        <f t="shared" si="3"/>
        <v>0</v>
      </c>
      <c r="M54" s="21">
        <f t="shared" si="3"/>
        <v>60.489239554842733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0.12552360888082797</v>
      </c>
      <c r="C56" s="56">
        <f ca="1">'EF ele_warmte'!B22</f>
        <v>0.23711358076567554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520.68961439786642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15205.101704069999</v>
      </c>
      <c r="D10" s="1012">
        <f ca="1">tertiair!C16</f>
        <v>0</v>
      </c>
      <c r="E10" s="1012">
        <f ca="1">tertiair!D16</f>
        <v>15268.495604087004</v>
      </c>
      <c r="F10" s="1012">
        <f>tertiair!E16</f>
        <v>287.004684260776</v>
      </c>
      <c r="G10" s="1012">
        <f ca="1">tertiair!F16</f>
        <v>3522.8422101828037</v>
      </c>
      <c r="H10" s="1012">
        <f>tertiair!G16</f>
        <v>0</v>
      </c>
      <c r="I10" s="1012">
        <f>tertiair!H16</f>
        <v>0</v>
      </c>
      <c r="J10" s="1012">
        <f>tertiair!I16</f>
        <v>0</v>
      </c>
      <c r="K10" s="1012">
        <f>tertiair!J16</f>
        <v>0</v>
      </c>
      <c r="L10" s="1012">
        <f>tertiair!K16</f>
        <v>0</v>
      </c>
      <c r="M10" s="1012">
        <f ca="1">tertiair!L16</f>
        <v>0</v>
      </c>
      <c r="N10" s="1012">
        <f>tertiair!M16</f>
        <v>0</v>
      </c>
      <c r="O10" s="1012">
        <f ca="1">tertiair!N16</f>
        <v>1435.2828354997482</v>
      </c>
      <c r="P10" s="1012">
        <f>tertiair!O16</f>
        <v>1.5633333333333335</v>
      </c>
      <c r="Q10" s="1013">
        <f>tertiair!P16</f>
        <v>76.266666666666666</v>
      </c>
      <c r="R10" s="700">
        <f ca="1">SUM(C10:Q10)</f>
        <v>35796.557038100334</v>
      </c>
      <c r="S10" s="67"/>
    </row>
    <row r="11" spans="1:19" s="473" customFormat="1">
      <c r="A11" s="809" t="s">
        <v>225</v>
      </c>
      <c r="B11" s="814"/>
      <c r="C11" s="1012">
        <f>huishoudens!B8</f>
        <v>39249.796477528369</v>
      </c>
      <c r="D11" s="1012">
        <f>huishoudens!C8</f>
        <v>0</v>
      </c>
      <c r="E11" s="1012">
        <f>huishoudens!D8</f>
        <v>79629.575657411988</v>
      </c>
      <c r="F11" s="1012">
        <f>huishoudens!E8</f>
        <v>10929.828506228041</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24534.932465688082</v>
      </c>
      <c r="P11" s="1012">
        <f>huishoudens!O8</f>
        <v>272.02000000000004</v>
      </c>
      <c r="Q11" s="1013">
        <f>huishoudens!P8</f>
        <v>1677.8666666666668</v>
      </c>
      <c r="R11" s="700">
        <f>SUM(C11:Q11)</f>
        <v>156294.01977352315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5477.5042808130002</v>
      </c>
      <c r="D13" s="1012">
        <f>industrie!C18</f>
        <v>0</v>
      </c>
      <c r="E13" s="1012">
        <f>industrie!D18</f>
        <v>3708.2441548653605</v>
      </c>
      <c r="F13" s="1012">
        <f>industrie!E18</f>
        <v>767.94079512597989</v>
      </c>
      <c r="G13" s="1012">
        <f>industrie!F18</f>
        <v>2941.8451524555339</v>
      </c>
      <c r="H13" s="1012">
        <f>industrie!G18</f>
        <v>0</v>
      </c>
      <c r="I13" s="1012">
        <f>industrie!H18</f>
        <v>0</v>
      </c>
      <c r="J13" s="1012">
        <f>industrie!I18</f>
        <v>0</v>
      </c>
      <c r="K13" s="1012">
        <f>industrie!J18</f>
        <v>19.497262071158648</v>
      </c>
      <c r="L13" s="1012">
        <f>industrie!K18</f>
        <v>0</v>
      </c>
      <c r="M13" s="1012">
        <f>industrie!L18</f>
        <v>0</v>
      </c>
      <c r="N13" s="1012">
        <f>industrie!M18</f>
        <v>0</v>
      </c>
      <c r="O13" s="1012">
        <f>industrie!N18</f>
        <v>1438.8173978295717</v>
      </c>
      <c r="P13" s="1012">
        <f>industrie!O18</f>
        <v>0</v>
      </c>
      <c r="Q13" s="1013">
        <f>industrie!P18</f>
        <v>0</v>
      </c>
      <c r="R13" s="700">
        <f>SUM(C13:Q13)</f>
        <v>14353.849043160604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59932.402462411374</v>
      </c>
      <c r="D16" s="732">
        <f t="shared" ref="D16:R16" ca="1" si="0">SUM(D9:D15)</f>
        <v>0</v>
      </c>
      <c r="E16" s="732">
        <f t="shared" ca="1" si="0"/>
        <v>98606.315416364348</v>
      </c>
      <c r="F16" s="732">
        <f t="shared" si="0"/>
        <v>11984.773985614796</v>
      </c>
      <c r="G16" s="732">
        <f t="shared" ca="1" si="0"/>
        <v>6464.6873626383376</v>
      </c>
      <c r="H16" s="732">
        <f t="shared" si="0"/>
        <v>0</v>
      </c>
      <c r="I16" s="732">
        <f t="shared" si="0"/>
        <v>0</v>
      </c>
      <c r="J16" s="732">
        <f t="shared" si="0"/>
        <v>0</v>
      </c>
      <c r="K16" s="732">
        <f t="shared" si="0"/>
        <v>19.497262071158648</v>
      </c>
      <c r="L16" s="732">
        <f t="shared" si="0"/>
        <v>0</v>
      </c>
      <c r="M16" s="732">
        <f t="shared" ca="1" si="0"/>
        <v>0</v>
      </c>
      <c r="N16" s="732">
        <f t="shared" si="0"/>
        <v>0</v>
      </c>
      <c r="O16" s="732">
        <f t="shared" ca="1" si="0"/>
        <v>27409.0326990174</v>
      </c>
      <c r="P16" s="732">
        <f t="shared" si="0"/>
        <v>273.58333333333337</v>
      </c>
      <c r="Q16" s="732">
        <f t="shared" si="0"/>
        <v>1754.1333333333334</v>
      </c>
      <c r="R16" s="732">
        <f t="shared" ca="1" si="0"/>
        <v>206444.42585478409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1950.1483685313349</v>
      </c>
      <c r="I19" s="1012">
        <f>transport!H54</f>
        <v>0</v>
      </c>
      <c r="J19" s="1012">
        <f>transport!I54</f>
        <v>0</v>
      </c>
      <c r="K19" s="1012">
        <f>transport!J54</f>
        <v>0</v>
      </c>
      <c r="L19" s="1012">
        <f>transport!K54</f>
        <v>0</v>
      </c>
      <c r="M19" s="1012">
        <f>transport!L54</f>
        <v>0</v>
      </c>
      <c r="N19" s="1012">
        <f>transport!M54</f>
        <v>60.489239554842733</v>
      </c>
      <c r="O19" s="1012">
        <f>transport!N54</f>
        <v>0</v>
      </c>
      <c r="P19" s="1012">
        <f>transport!O54</f>
        <v>0</v>
      </c>
      <c r="Q19" s="1013">
        <f>transport!P54</f>
        <v>0</v>
      </c>
      <c r="R19" s="700">
        <f>SUM(C19:Q19)</f>
        <v>2010.6376080861776</v>
      </c>
      <c r="S19" s="67"/>
    </row>
    <row r="20" spans="1:19" s="473" customFormat="1">
      <c r="A20" s="809" t="s">
        <v>307</v>
      </c>
      <c r="B20" s="814"/>
      <c r="C20" s="1012">
        <f>transport!B14</f>
        <v>42.77749010986571</v>
      </c>
      <c r="D20" s="1012">
        <f>transport!C14</f>
        <v>0</v>
      </c>
      <c r="E20" s="1012">
        <f>transport!D14</f>
        <v>92.007074465714666</v>
      </c>
      <c r="F20" s="1012">
        <f>transport!E14</f>
        <v>405.73546921287556</v>
      </c>
      <c r="G20" s="1012">
        <f>transport!F14</f>
        <v>0</v>
      </c>
      <c r="H20" s="1012">
        <f>transport!G14</f>
        <v>177252.08631273423</v>
      </c>
      <c r="I20" s="1012">
        <f>transport!H14</f>
        <v>25397.228373962866</v>
      </c>
      <c r="J20" s="1012">
        <f>transport!I14</f>
        <v>0</v>
      </c>
      <c r="K20" s="1012">
        <f>transport!J14</f>
        <v>0</v>
      </c>
      <c r="L20" s="1012">
        <f>transport!K14</f>
        <v>0</v>
      </c>
      <c r="M20" s="1012">
        <f>transport!L14</f>
        <v>0</v>
      </c>
      <c r="N20" s="1012">
        <f>transport!M14</f>
        <v>6344.9694220537549</v>
      </c>
      <c r="O20" s="1012">
        <f>transport!N14</f>
        <v>0</v>
      </c>
      <c r="P20" s="1012">
        <f>transport!O14</f>
        <v>0</v>
      </c>
      <c r="Q20" s="1013">
        <f>transport!P14</f>
        <v>0</v>
      </c>
      <c r="R20" s="700">
        <f>SUM(C20:Q20)</f>
        <v>209534.8041425393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42.77749010986571</v>
      </c>
      <c r="D22" s="812">
        <f t="shared" ref="D22:R22" si="1">SUM(D18:D21)</f>
        <v>0</v>
      </c>
      <c r="E22" s="812">
        <f t="shared" si="1"/>
        <v>92.007074465714666</v>
      </c>
      <c r="F22" s="812">
        <f t="shared" si="1"/>
        <v>405.73546921287556</v>
      </c>
      <c r="G22" s="812">
        <f t="shared" si="1"/>
        <v>0</v>
      </c>
      <c r="H22" s="812">
        <f t="shared" si="1"/>
        <v>179202.23468126557</v>
      </c>
      <c r="I22" s="812">
        <f t="shared" si="1"/>
        <v>25397.228373962866</v>
      </c>
      <c r="J22" s="812">
        <f t="shared" si="1"/>
        <v>0</v>
      </c>
      <c r="K22" s="812">
        <f t="shared" si="1"/>
        <v>0</v>
      </c>
      <c r="L22" s="812">
        <f t="shared" si="1"/>
        <v>0</v>
      </c>
      <c r="M22" s="812">
        <f t="shared" si="1"/>
        <v>0</v>
      </c>
      <c r="N22" s="812">
        <f t="shared" si="1"/>
        <v>6405.458661608598</v>
      </c>
      <c r="O22" s="812">
        <f t="shared" si="1"/>
        <v>0</v>
      </c>
      <c r="P22" s="812">
        <f t="shared" si="1"/>
        <v>0</v>
      </c>
      <c r="Q22" s="812">
        <f t="shared" si="1"/>
        <v>0</v>
      </c>
      <c r="R22" s="812">
        <f t="shared" si="1"/>
        <v>211545.44175062547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11679.411397290001</v>
      </c>
      <c r="D24" s="1012">
        <f>+landbouw!C8</f>
        <v>83334.21428571429</v>
      </c>
      <c r="E24" s="1012">
        <f>+landbouw!D8</f>
        <v>0</v>
      </c>
      <c r="F24" s="1012">
        <f>+landbouw!E8</f>
        <v>301.16717618094333</v>
      </c>
      <c r="G24" s="1012">
        <f>+landbouw!F8</f>
        <v>42690.47289294855</v>
      </c>
      <c r="H24" s="1012">
        <f>+landbouw!G8</f>
        <v>0</v>
      </c>
      <c r="I24" s="1012">
        <f>+landbouw!H8</f>
        <v>0</v>
      </c>
      <c r="J24" s="1012">
        <f>+landbouw!I8</f>
        <v>0</v>
      </c>
      <c r="K24" s="1012">
        <f>+landbouw!J8</f>
        <v>1681.4055947078607</v>
      </c>
      <c r="L24" s="1012">
        <f>+landbouw!K8</f>
        <v>0</v>
      </c>
      <c r="M24" s="1012">
        <f>+landbouw!L8</f>
        <v>0</v>
      </c>
      <c r="N24" s="1012">
        <f>+landbouw!M8</f>
        <v>0</v>
      </c>
      <c r="O24" s="1012">
        <f>+landbouw!N8</f>
        <v>0</v>
      </c>
      <c r="P24" s="1012">
        <f>+landbouw!O8</f>
        <v>0</v>
      </c>
      <c r="Q24" s="1013">
        <f>+landbouw!P8</f>
        <v>0</v>
      </c>
      <c r="R24" s="700">
        <f>SUM(C24:Q24)</f>
        <v>139686.67134684167</v>
      </c>
      <c r="S24" s="67"/>
    </row>
    <row r="25" spans="1:19" s="473" customFormat="1" ht="15" thickBot="1">
      <c r="A25" s="831" t="s">
        <v>848</v>
      </c>
      <c r="B25" s="1015"/>
      <c r="C25" s="1016">
        <f>IF(Onbekend_ele_kWh="---",0,Onbekend_ele_kWh)/1000+IF(REST_rest_ele_kWh="---",0,REST_rest_ele_kWh)/1000</f>
        <v>2033.6840067000001</v>
      </c>
      <c r="D25" s="1016"/>
      <c r="E25" s="1016">
        <f>IF(onbekend_gas_kWh="---",0,onbekend_gas_kWh)/1000+IF(REST_rest_gas_kWh="---",0,REST_rest_gas_kWh)/1000</f>
        <v>2489.2140888999998</v>
      </c>
      <c r="F25" s="1016"/>
      <c r="G25" s="1016"/>
      <c r="H25" s="1016"/>
      <c r="I25" s="1016"/>
      <c r="J25" s="1016"/>
      <c r="K25" s="1016"/>
      <c r="L25" s="1016"/>
      <c r="M25" s="1016"/>
      <c r="N25" s="1016"/>
      <c r="O25" s="1016"/>
      <c r="P25" s="1016"/>
      <c r="Q25" s="1017"/>
      <c r="R25" s="700">
        <f>SUM(C25:Q25)</f>
        <v>4522.8980955999996</v>
      </c>
      <c r="S25" s="67"/>
    </row>
    <row r="26" spans="1:19" s="473" customFormat="1" ht="15.75" thickBot="1">
      <c r="A26" s="705" t="s">
        <v>849</v>
      </c>
      <c r="B26" s="817"/>
      <c r="C26" s="812">
        <f>SUM(C24:C25)</f>
        <v>13713.095403990001</v>
      </c>
      <c r="D26" s="812">
        <f t="shared" ref="D26:R26" si="2">SUM(D24:D25)</f>
        <v>83334.21428571429</v>
      </c>
      <c r="E26" s="812">
        <f t="shared" si="2"/>
        <v>2489.2140888999998</v>
      </c>
      <c r="F26" s="812">
        <f t="shared" si="2"/>
        <v>301.16717618094333</v>
      </c>
      <c r="G26" s="812">
        <f t="shared" si="2"/>
        <v>42690.47289294855</v>
      </c>
      <c r="H26" s="812">
        <f t="shared" si="2"/>
        <v>0</v>
      </c>
      <c r="I26" s="812">
        <f t="shared" si="2"/>
        <v>0</v>
      </c>
      <c r="J26" s="812">
        <f t="shared" si="2"/>
        <v>0</v>
      </c>
      <c r="K26" s="812">
        <f t="shared" si="2"/>
        <v>1681.4055947078607</v>
      </c>
      <c r="L26" s="812">
        <f t="shared" si="2"/>
        <v>0</v>
      </c>
      <c r="M26" s="812">
        <f t="shared" si="2"/>
        <v>0</v>
      </c>
      <c r="N26" s="812">
        <f t="shared" si="2"/>
        <v>0</v>
      </c>
      <c r="O26" s="812">
        <f t="shared" si="2"/>
        <v>0</v>
      </c>
      <c r="P26" s="812">
        <f t="shared" si="2"/>
        <v>0</v>
      </c>
      <c r="Q26" s="812">
        <f t="shared" si="2"/>
        <v>0</v>
      </c>
      <c r="R26" s="812">
        <f t="shared" si="2"/>
        <v>144209.56944244166</v>
      </c>
      <c r="S26" s="67"/>
    </row>
    <row r="27" spans="1:19" s="473" customFormat="1" ht="17.25" thickTop="1" thickBot="1">
      <c r="A27" s="706" t="s">
        <v>116</v>
      </c>
      <c r="B27" s="805"/>
      <c r="C27" s="707">
        <f ca="1">C22+C16+C26</f>
        <v>73688.275356511236</v>
      </c>
      <c r="D27" s="707">
        <f t="shared" ref="D27:R27" ca="1" si="3">D22+D16+D26</f>
        <v>83334.21428571429</v>
      </c>
      <c r="E27" s="707">
        <f t="shared" ca="1" si="3"/>
        <v>101187.53657973006</v>
      </c>
      <c r="F27" s="707">
        <f t="shared" si="3"/>
        <v>12691.676631008615</v>
      </c>
      <c r="G27" s="707">
        <f t="shared" ca="1" si="3"/>
        <v>49155.160255586889</v>
      </c>
      <c r="H27" s="707">
        <f t="shared" si="3"/>
        <v>179202.23468126557</v>
      </c>
      <c r="I27" s="707">
        <f t="shared" si="3"/>
        <v>25397.228373962866</v>
      </c>
      <c r="J27" s="707">
        <f t="shared" si="3"/>
        <v>0</v>
      </c>
      <c r="K27" s="707">
        <f t="shared" si="3"/>
        <v>1700.9028567790194</v>
      </c>
      <c r="L27" s="707">
        <f t="shared" si="3"/>
        <v>0</v>
      </c>
      <c r="M27" s="707">
        <f t="shared" ca="1" si="3"/>
        <v>0</v>
      </c>
      <c r="N27" s="707">
        <f t="shared" si="3"/>
        <v>6405.458661608598</v>
      </c>
      <c r="O27" s="707">
        <f t="shared" ca="1" si="3"/>
        <v>27409.0326990174</v>
      </c>
      <c r="P27" s="707">
        <f t="shared" si="3"/>
        <v>273.58333333333337</v>
      </c>
      <c r="Q27" s="707">
        <f t="shared" si="3"/>
        <v>1754.1333333333334</v>
      </c>
      <c r="R27" s="707">
        <f t="shared" ca="1" si="3"/>
        <v>562199.43704785127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1908.5992392948933</v>
      </c>
      <c r="D40" s="1012">
        <f ca="1">tertiair!C20</f>
        <v>0</v>
      </c>
      <c r="E40" s="1012">
        <f ca="1">tertiair!D20</f>
        <v>3084.236112025575</v>
      </c>
      <c r="F40" s="1012">
        <f>tertiair!E20</f>
        <v>65.15006332719615</v>
      </c>
      <c r="G40" s="1012">
        <f ca="1">tertiair!F20</f>
        <v>940.59887011880869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5998.5842847664735</v>
      </c>
    </row>
    <row r="41" spans="1:18">
      <c r="A41" s="822" t="s">
        <v>225</v>
      </c>
      <c r="B41" s="829"/>
      <c r="C41" s="1012">
        <f ca="1">huishoudens!B12</f>
        <v>4926.7761016973709</v>
      </c>
      <c r="D41" s="1012">
        <f ca="1">huishoudens!C12</f>
        <v>0</v>
      </c>
      <c r="E41" s="1012">
        <f>huishoudens!D12</f>
        <v>16085.174282797223</v>
      </c>
      <c r="F41" s="1012">
        <f>huishoudens!E12</f>
        <v>2481.0710709137652</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23493.021455408358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687.55610498783199</v>
      </c>
      <c r="D43" s="1012">
        <f ca="1">industrie!C22</f>
        <v>0</v>
      </c>
      <c r="E43" s="1012">
        <f>industrie!D22</f>
        <v>749.06531928280288</v>
      </c>
      <c r="F43" s="1012">
        <f>industrie!E22</f>
        <v>174.32256049359745</v>
      </c>
      <c r="G43" s="1012">
        <f>industrie!F22</f>
        <v>785.47265570562763</v>
      </c>
      <c r="H43" s="1012">
        <f>industrie!G22</f>
        <v>0</v>
      </c>
      <c r="I43" s="1012">
        <f>industrie!H22</f>
        <v>0</v>
      </c>
      <c r="J43" s="1012">
        <f>industrie!I22</f>
        <v>0</v>
      </c>
      <c r="K43" s="1012">
        <f>industrie!J22</f>
        <v>6.9020307731901607</v>
      </c>
      <c r="L43" s="1012">
        <f>industrie!K22</f>
        <v>0</v>
      </c>
      <c r="M43" s="1012">
        <f>industrie!L22</f>
        <v>0</v>
      </c>
      <c r="N43" s="1012">
        <f>industrie!M22</f>
        <v>0</v>
      </c>
      <c r="O43" s="1012">
        <f>industrie!N22</f>
        <v>0</v>
      </c>
      <c r="P43" s="1012">
        <f>industrie!O22</f>
        <v>0</v>
      </c>
      <c r="Q43" s="774">
        <f>industrie!P22</f>
        <v>0</v>
      </c>
      <c r="R43" s="849">
        <f t="shared" ca="1" si="4"/>
        <v>2403.3186712430502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7522.9314459800971</v>
      </c>
      <c r="D46" s="732">
        <f t="shared" ref="D46:Q46" ca="1" si="5">SUM(D39:D45)</f>
        <v>0</v>
      </c>
      <c r="E46" s="732">
        <f t="shared" ca="1" si="5"/>
        <v>19918.4757141056</v>
      </c>
      <c r="F46" s="732">
        <f t="shared" si="5"/>
        <v>2720.5436947345588</v>
      </c>
      <c r="G46" s="732">
        <f t="shared" ca="1" si="5"/>
        <v>1726.0715258244363</v>
      </c>
      <c r="H46" s="732">
        <f t="shared" si="5"/>
        <v>0</v>
      </c>
      <c r="I46" s="732">
        <f t="shared" si="5"/>
        <v>0</v>
      </c>
      <c r="J46" s="732">
        <f t="shared" si="5"/>
        <v>0</v>
      </c>
      <c r="K46" s="732">
        <f t="shared" si="5"/>
        <v>6.9020307731901607</v>
      </c>
      <c r="L46" s="732">
        <f t="shared" si="5"/>
        <v>0</v>
      </c>
      <c r="M46" s="732">
        <f t="shared" ca="1" si="5"/>
        <v>0</v>
      </c>
      <c r="N46" s="732">
        <f t="shared" si="5"/>
        <v>0</v>
      </c>
      <c r="O46" s="732">
        <f t="shared" ca="1" si="5"/>
        <v>0</v>
      </c>
      <c r="P46" s="732">
        <f t="shared" si="5"/>
        <v>0</v>
      </c>
      <c r="Q46" s="732">
        <f t="shared" si="5"/>
        <v>0</v>
      </c>
      <c r="R46" s="732">
        <f ca="1">SUM(R39:R45)</f>
        <v>31894.924411417884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520.68961439786642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520.68961439786642</v>
      </c>
    </row>
    <row r="50" spans="1:18">
      <c r="A50" s="825" t="s">
        <v>307</v>
      </c>
      <c r="B50" s="835"/>
      <c r="C50" s="703">
        <f ca="1">transport!B18</f>
        <v>5.3695849374542703</v>
      </c>
      <c r="D50" s="703">
        <f>transport!C18</f>
        <v>0</v>
      </c>
      <c r="E50" s="703">
        <f>transport!D18</f>
        <v>18.585429042074363</v>
      </c>
      <c r="F50" s="703">
        <f>transport!E18</f>
        <v>92.101951511322753</v>
      </c>
      <c r="G50" s="703">
        <f>transport!F18</f>
        <v>0</v>
      </c>
      <c r="H50" s="703">
        <f>transport!G18</f>
        <v>47326.307045500042</v>
      </c>
      <c r="I50" s="703">
        <f>transport!H18</f>
        <v>6323.9098651167533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53766.273876107647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5.3695849374542703</v>
      </c>
      <c r="D52" s="732">
        <f t="shared" ref="D52:Q52" ca="1" si="6">SUM(D48:D51)</f>
        <v>0</v>
      </c>
      <c r="E52" s="732">
        <f t="shared" si="6"/>
        <v>18.585429042074363</v>
      </c>
      <c r="F52" s="732">
        <f t="shared" si="6"/>
        <v>92.101951511322753</v>
      </c>
      <c r="G52" s="732">
        <f t="shared" si="6"/>
        <v>0</v>
      </c>
      <c r="H52" s="732">
        <f t="shared" si="6"/>
        <v>47846.996659897908</v>
      </c>
      <c r="I52" s="732">
        <f t="shared" si="6"/>
        <v>6323.9098651167533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54286.963490505514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1466.0418681917147</v>
      </c>
      <c r="D54" s="703">
        <f ca="1">+landbouw!C12</f>
        <v>19759.673949579828</v>
      </c>
      <c r="E54" s="703">
        <f>+landbouw!D12</f>
        <v>0</v>
      </c>
      <c r="F54" s="703">
        <f>+landbouw!E12</f>
        <v>68.364948993074137</v>
      </c>
      <c r="G54" s="703">
        <f>+landbouw!F12</f>
        <v>11398.356262417263</v>
      </c>
      <c r="H54" s="703">
        <f>+landbouw!G12</f>
        <v>0</v>
      </c>
      <c r="I54" s="703">
        <f>+landbouw!H12</f>
        <v>0</v>
      </c>
      <c r="J54" s="703">
        <f>+landbouw!I12</f>
        <v>0</v>
      </c>
      <c r="K54" s="703">
        <f>+landbouw!J12</f>
        <v>595.21758052658265</v>
      </c>
      <c r="L54" s="703">
        <f>+landbouw!K12</f>
        <v>0</v>
      </c>
      <c r="M54" s="703">
        <f>+landbouw!L12</f>
        <v>0</v>
      </c>
      <c r="N54" s="703">
        <f>+landbouw!M12</f>
        <v>0</v>
      </c>
      <c r="O54" s="703">
        <f>+landbouw!N12</f>
        <v>0</v>
      </c>
      <c r="P54" s="703">
        <f>+landbouw!O12</f>
        <v>0</v>
      </c>
      <c r="Q54" s="704">
        <f>+landbouw!P12</f>
        <v>0</v>
      </c>
      <c r="R54" s="731">
        <f ca="1">SUM(C54:Q54)</f>
        <v>33287.654609708465</v>
      </c>
    </row>
    <row r="55" spans="1:18" ht="15" thickBot="1">
      <c r="A55" s="825" t="s">
        <v>848</v>
      </c>
      <c r="B55" s="835"/>
      <c r="C55" s="703">
        <f ca="1">C25*'EF ele_warmte'!B12</f>
        <v>255.27535584420593</v>
      </c>
      <c r="D55" s="703"/>
      <c r="E55" s="703">
        <f>E25*EF_CO2_aardgas</f>
        <v>502.82124595779999</v>
      </c>
      <c r="F55" s="703"/>
      <c r="G55" s="703"/>
      <c r="H55" s="703"/>
      <c r="I55" s="703"/>
      <c r="J55" s="703"/>
      <c r="K55" s="703"/>
      <c r="L55" s="703"/>
      <c r="M55" s="703"/>
      <c r="N55" s="703"/>
      <c r="O55" s="703"/>
      <c r="P55" s="703"/>
      <c r="Q55" s="704"/>
      <c r="R55" s="731">
        <f ca="1">SUM(C55:Q55)</f>
        <v>758.09660180200592</v>
      </c>
    </row>
    <row r="56" spans="1:18" ht="15.75" thickBot="1">
      <c r="A56" s="823" t="s">
        <v>849</v>
      </c>
      <c r="B56" s="836"/>
      <c r="C56" s="732">
        <f ca="1">SUM(C54:C55)</f>
        <v>1721.3172240359206</v>
      </c>
      <c r="D56" s="732">
        <f t="shared" ref="D56:Q56" ca="1" si="7">SUM(D54:D55)</f>
        <v>19759.673949579828</v>
      </c>
      <c r="E56" s="732">
        <f t="shared" si="7"/>
        <v>502.82124595779999</v>
      </c>
      <c r="F56" s="732">
        <f t="shared" si="7"/>
        <v>68.364948993074137</v>
      </c>
      <c r="G56" s="732">
        <f t="shared" si="7"/>
        <v>11398.356262417263</v>
      </c>
      <c r="H56" s="732">
        <f t="shared" si="7"/>
        <v>0</v>
      </c>
      <c r="I56" s="732">
        <f t="shared" si="7"/>
        <v>0</v>
      </c>
      <c r="J56" s="732">
        <f t="shared" si="7"/>
        <v>0</v>
      </c>
      <c r="K56" s="732">
        <f t="shared" si="7"/>
        <v>595.21758052658265</v>
      </c>
      <c r="L56" s="732">
        <f t="shared" si="7"/>
        <v>0</v>
      </c>
      <c r="M56" s="732">
        <f t="shared" si="7"/>
        <v>0</v>
      </c>
      <c r="N56" s="732">
        <f t="shared" si="7"/>
        <v>0</v>
      </c>
      <c r="O56" s="732">
        <f t="shared" si="7"/>
        <v>0</v>
      </c>
      <c r="P56" s="732">
        <f t="shared" si="7"/>
        <v>0</v>
      </c>
      <c r="Q56" s="733">
        <f t="shared" si="7"/>
        <v>0</v>
      </c>
      <c r="R56" s="734">
        <f ca="1">SUM(R54:R55)</f>
        <v>34045.751211510469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9249.6182549534715</v>
      </c>
      <c r="D61" s="740">
        <f t="shared" ref="D61:Q61" ca="1" si="8">D46+D52+D56</f>
        <v>19759.673949579828</v>
      </c>
      <c r="E61" s="740">
        <f t="shared" ca="1" si="8"/>
        <v>20439.882389105474</v>
      </c>
      <c r="F61" s="740">
        <f t="shared" si="8"/>
        <v>2881.0105952389554</v>
      </c>
      <c r="G61" s="740">
        <f t="shared" ca="1" si="8"/>
        <v>13124.427788241699</v>
      </c>
      <c r="H61" s="740">
        <f t="shared" si="8"/>
        <v>47846.996659897908</v>
      </c>
      <c r="I61" s="740">
        <f t="shared" si="8"/>
        <v>6323.9098651167533</v>
      </c>
      <c r="J61" s="740">
        <f t="shared" si="8"/>
        <v>0</v>
      </c>
      <c r="K61" s="740">
        <f t="shared" si="8"/>
        <v>602.11961129977283</v>
      </c>
      <c r="L61" s="740">
        <f t="shared" si="8"/>
        <v>0</v>
      </c>
      <c r="M61" s="740">
        <f t="shared" ca="1" si="8"/>
        <v>0</v>
      </c>
      <c r="N61" s="740">
        <f t="shared" si="8"/>
        <v>0</v>
      </c>
      <c r="O61" s="740">
        <f t="shared" ca="1" si="8"/>
        <v>0</v>
      </c>
      <c r="P61" s="740">
        <f t="shared" si="8"/>
        <v>0</v>
      </c>
      <c r="Q61" s="740">
        <f t="shared" si="8"/>
        <v>0</v>
      </c>
      <c r="R61" s="740">
        <f ca="1">R46+R52+R56</f>
        <v>120227.63911343386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0.12552360888082797</v>
      </c>
      <c r="D63" s="781">
        <f t="shared" ca="1" si="9"/>
        <v>0.23711358076567554</v>
      </c>
      <c r="E63" s="1023">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42508.81621003797</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9349.8253512654956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130.94999999999999</v>
      </c>
      <c r="C76" s="750">
        <f>'lokale energieproductie'!B8*IFERROR(SUM(D76:H76)/SUM(D76:O76),0)</f>
        <v>58203.000000000007</v>
      </c>
      <c r="D76" s="1033">
        <f>'lokale energieproductie'!C8</f>
        <v>68474.117647058825</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154.05882352941174</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13831.771764705883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51989.591561303459</v>
      </c>
      <c r="C78" s="755">
        <f>SUM(C72:C77)</f>
        <v>58203.000000000007</v>
      </c>
      <c r="D78" s="756">
        <f t="shared" ref="D78:H78" si="10">SUM(D76:D77)</f>
        <v>68474.117647058825</v>
      </c>
      <c r="E78" s="756">
        <f t="shared" si="10"/>
        <v>0</v>
      </c>
      <c r="F78" s="756">
        <f t="shared" si="10"/>
        <v>0</v>
      </c>
      <c r="G78" s="756">
        <f t="shared" si="10"/>
        <v>0</v>
      </c>
      <c r="H78" s="756">
        <f t="shared" si="10"/>
        <v>0</v>
      </c>
      <c r="I78" s="756">
        <f>SUM(I76:I77)</f>
        <v>0</v>
      </c>
      <c r="J78" s="756">
        <f>SUM(J76:J77)</f>
        <v>154.05882352941174</v>
      </c>
      <c r="K78" s="756">
        <f t="shared" ref="K78:L78" si="11">SUM(K76:K77)</f>
        <v>0</v>
      </c>
      <c r="L78" s="756">
        <f t="shared" si="11"/>
        <v>0</v>
      </c>
      <c r="M78" s="756">
        <f>SUM(M76:M77)</f>
        <v>0</v>
      </c>
      <c r="N78" s="756">
        <f>SUM(N76:N77)</f>
        <v>0</v>
      </c>
      <c r="O78" s="860">
        <f>SUM(O76:O77)</f>
        <v>0</v>
      </c>
      <c r="P78" s="757">
        <v>0</v>
      </c>
      <c r="Q78" s="757">
        <f>SUM(Q76:Q77)</f>
        <v>13831.771764705883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187.07142857142858</v>
      </c>
      <c r="C87" s="766">
        <f>'lokale energieproductie'!B17*IFERROR(SUM(D87:H87)/SUM(D87:O87),0)</f>
        <v>83147.142857142855</v>
      </c>
      <c r="D87" s="777">
        <f>'lokale energieproductie'!C17</f>
        <v>97820.16806722687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220.08403361344531</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19759.673949579828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187.07142857142858</v>
      </c>
      <c r="C90" s="755">
        <f>SUM(C87:C89)</f>
        <v>83147.142857142855</v>
      </c>
      <c r="D90" s="755">
        <f t="shared" ref="D90:H90" si="12">SUM(D87:D89)</f>
        <v>97820.16806722687</v>
      </c>
      <c r="E90" s="755">
        <f t="shared" si="12"/>
        <v>0</v>
      </c>
      <c r="F90" s="755">
        <f t="shared" si="12"/>
        <v>0</v>
      </c>
      <c r="G90" s="755">
        <f t="shared" si="12"/>
        <v>0</v>
      </c>
      <c r="H90" s="755">
        <f t="shared" si="12"/>
        <v>0</v>
      </c>
      <c r="I90" s="755">
        <f>SUM(I87:I89)</f>
        <v>0</v>
      </c>
      <c r="J90" s="755">
        <f>SUM(J87:J89)</f>
        <v>220.08403361344531</v>
      </c>
      <c r="K90" s="755">
        <f t="shared" ref="K90:L90" si="13">SUM(K87:K89)</f>
        <v>0</v>
      </c>
      <c r="L90" s="755">
        <f t="shared" si="13"/>
        <v>0</v>
      </c>
      <c r="M90" s="755">
        <f>SUM(M87:M89)</f>
        <v>0</v>
      </c>
      <c r="N90" s="755">
        <f>SUM(N87:N89)</f>
        <v>0</v>
      </c>
      <c r="O90" s="755">
        <f>SUM(O87:O89)</f>
        <v>0</v>
      </c>
      <c r="P90" s="755">
        <v>0</v>
      </c>
      <c r="Q90" s="755">
        <f>SUM(Q87:Q89)</f>
        <v>19759.673949579828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42508.81621003797</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9349.8253512654956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58333.950000000004</v>
      </c>
      <c r="C8" s="570">
        <f>B101</f>
        <v>68474.117647058825</v>
      </c>
      <c r="D8" s="1043"/>
      <c r="E8" s="1043">
        <f>E101</f>
        <v>0</v>
      </c>
      <c r="F8" s="1044"/>
      <c r="G8" s="571"/>
      <c r="H8" s="1043">
        <f>I101</f>
        <v>0</v>
      </c>
      <c r="I8" s="1043">
        <f>G101+F101</f>
        <v>0</v>
      </c>
      <c r="J8" s="1043">
        <f>H101+D101+C101</f>
        <v>154.05882352941174</v>
      </c>
      <c r="K8" s="1043"/>
      <c r="L8" s="1043"/>
      <c r="M8" s="1043"/>
      <c r="N8" s="572"/>
      <c r="O8" s="573">
        <f>C8*$C$12+D8*$D$12+E8*$E$12+F8*$F$12+G8*$G$12+H8*$H$12+I8*$I$12+J8*$J$12</f>
        <v>13831.771764705883</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110192.59156130347</v>
      </c>
      <c r="C10" s="583">
        <f t="shared" ref="C10:L10" si="0">SUM(C8:C9)</f>
        <v>68474.117647058825</v>
      </c>
      <c r="D10" s="583">
        <f t="shared" si="0"/>
        <v>0</v>
      </c>
      <c r="E10" s="583">
        <f t="shared" si="0"/>
        <v>0</v>
      </c>
      <c r="F10" s="583">
        <f t="shared" si="0"/>
        <v>0</v>
      </c>
      <c r="G10" s="583">
        <f t="shared" si="0"/>
        <v>0</v>
      </c>
      <c r="H10" s="583">
        <f t="shared" si="0"/>
        <v>0</v>
      </c>
      <c r="I10" s="583">
        <f t="shared" si="0"/>
        <v>0</v>
      </c>
      <c r="J10" s="583">
        <f t="shared" si="0"/>
        <v>154.05882352941174</v>
      </c>
      <c r="K10" s="583">
        <f t="shared" si="0"/>
        <v>0</v>
      </c>
      <c r="L10" s="583">
        <f t="shared" si="0"/>
        <v>0</v>
      </c>
      <c r="M10" s="1046"/>
      <c r="N10" s="1046"/>
      <c r="O10" s="584">
        <f>SUM(O4:O9)</f>
        <v>13831.771764705883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83334.21428571429</v>
      </c>
      <c r="C17" s="595">
        <f>B102</f>
        <v>97820.16806722687</v>
      </c>
      <c r="D17" s="596"/>
      <c r="E17" s="596">
        <f>E102</f>
        <v>0</v>
      </c>
      <c r="F17" s="1049"/>
      <c r="G17" s="597"/>
      <c r="H17" s="595">
        <f>I102</f>
        <v>0</v>
      </c>
      <c r="I17" s="596">
        <f>G102+F102</f>
        <v>0</v>
      </c>
      <c r="J17" s="596">
        <f>H102+D102+C102</f>
        <v>220.08403361344531</v>
      </c>
      <c r="K17" s="596"/>
      <c r="L17" s="596"/>
      <c r="M17" s="596"/>
      <c r="N17" s="1050"/>
      <c r="O17" s="598">
        <f>C17*$C$22+E17*$E$22+H17*$H$22+I17*$I$22+J17*$J$22+D17*$D$22+F17*$F$22+G17*$G$22+K17*$K$22+L17*$L$22</f>
        <v>19759.673949579828</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83334.21428571429</v>
      </c>
      <c r="C20" s="582">
        <f>SUM(C17:C19)</f>
        <v>97820.16806722687</v>
      </c>
      <c r="D20" s="582">
        <f t="shared" ref="D20:L20" si="1">SUM(D17:D19)</f>
        <v>0</v>
      </c>
      <c r="E20" s="582">
        <f t="shared" si="1"/>
        <v>0</v>
      </c>
      <c r="F20" s="582">
        <f t="shared" si="1"/>
        <v>0</v>
      </c>
      <c r="G20" s="582">
        <f t="shared" si="1"/>
        <v>0</v>
      </c>
      <c r="H20" s="582">
        <f t="shared" si="1"/>
        <v>0</v>
      </c>
      <c r="I20" s="582">
        <f t="shared" si="1"/>
        <v>0</v>
      </c>
      <c r="J20" s="582">
        <f t="shared" si="1"/>
        <v>220.08403361344531</v>
      </c>
      <c r="K20" s="582">
        <f t="shared" si="1"/>
        <v>0</v>
      </c>
      <c r="L20" s="582">
        <f t="shared" si="1"/>
        <v>0</v>
      </c>
      <c r="M20" s="582"/>
      <c r="N20" s="582"/>
      <c r="O20" s="601">
        <f>SUM(O17:O19)</f>
        <v>19759.673949579828</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11053</v>
      </c>
      <c r="C28" s="796">
        <v>2990</v>
      </c>
      <c r="D28" s="653" t="s">
        <v>890</v>
      </c>
      <c r="E28" s="652" t="s">
        <v>891</v>
      </c>
      <c r="F28" s="652" t="s">
        <v>892</v>
      </c>
      <c r="G28" s="652" t="s">
        <v>893</v>
      </c>
      <c r="H28" s="652" t="s">
        <v>894</v>
      </c>
      <c r="I28" s="652" t="s">
        <v>891</v>
      </c>
      <c r="J28" s="795">
        <v>40259</v>
      </c>
      <c r="K28" s="795">
        <v>39255</v>
      </c>
      <c r="L28" s="652" t="s">
        <v>895</v>
      </c>
      <c r="M28" s="652">
        <v>3435</v>
      </c>
      <c r="N28" s="652">
        <v>15457.5</v>
      </c>
      <c r="O28" s="652">
        <v>22082.142857142859</v>
      </c>
      <c r="P28" s="652">
        <v>44164.285714285717</v>
      </c>
      <c r="Q28" s="652">
        <v>0</v>
      </c>
      <c r="R28" s="652">
        <v>0</v>
      </c>
      <c r="S28" s="652">
        <v>0</v>
      </c>
      <c r="T28" s="652">
        <v>0</v>
      </c>
      <c r="U28" s="652">
        <v>0</v>
      </c>
      <c r="V28" s="652">
        <v>0</v>
      </c>
      <c r="W28" s="652">
        <v>0</v>
      </c>
      <c r="X28" s="652">
        <v>10</v>
      </c>
      <c r="Y28" s="652" t="s">
        <v>112</v>
      </c>
      <c r="Z28" s="654" t="s">
        <v>112</v>
      </c>
    </row>
    <row r="29" spans="1:26" s="606" customFormat="1" ht="25.5">
      <c r="A29" s="605"/>
      <c r="B29" s="796">
        <v>11053</v>
      </c>
      <c r="C29" s="796">
        <v>2990</v>
      </c>
      <c r="D29" s="653" t="s">
        <v>896</v>
      </c>
      <c r="E29" s="652" t="s">
        <v>897</v>
      </c>
      <c r="F29" s="652" t="s">
        <v>898</v>
      </c>
      <c r="G29" s="652" t="s">
        <v>893</v>
      </c>
      <c r="H29" s="652" t="s">
        <v>894</v>
      </c>
      <c r="I29" s="652" t="s">
        <v>897</v>
      </c>
      <c r="J29" s="795">
        <v>39623</v>
      </c>
      <c r="K29" s="795">
        <v>39623</v>
      </c>
      <c r="L29" s="652" t="s">
        <v>895</v>
      </c>
      <c r="M29" s="652">
        <v>5140</v>
      </c>
      <c r="N29" s="652">
        <v>23130</v>
      </c>
      <c r="O29" s="652">
        <v>33042.857142857145</v>
      </c>
      <c r="P29" s="652">
        <v>66085.71428571429</v>
      </c>
      <c r="Q29" s="652">
        <v>0</v>
      </c>
      <c r="R29" s="652">
        <v>0</v>
      </c>
      <c r="S29" s="652">
        <v>0</v>
      </c>
      <c r="T29" s="652">
        <v>0</v>
      </c>
      <c r="U29" s="652">
        <v>0</v>
      </c>
      <c r="V29" s="652">
        <v>0</v>
      </c>
      <c r="W29" s="652">
        <v>0</v>
      </c>
      <c r="X29" s="652">
        <v>10</v>
      </c>
      <c r="Y29" s="652" t="s">
        <v>112</v>
      </c>
      <c r="Z29" s="654" t="s">
        <v>112</v>
      </c>
    </row>
    <row r="30" spans="1:26" s="606" customFormat="1" ht="25.5">
      <c r="A30" s="605"/>
      <c r="B30" s="796">
        <v>11053</v>
      </c>
      <c r="C30" s="796">
        <v>2990</v>
      </c>
      <c r="D30" s="653" t="s">
        <v>899</v>
      </c>
      <c r="E30" s="652" t="s">
        <v>900</v>
      </c>
      <c r="F30" s="652" t="s">
        <v>901</v>
      </c>
      <c r="G30" s="652" t="s">
        <v>893</v>
      </c>
      <c r="H30" s="652" t="s">
        <v>894</v>
      </c>
      <c r="I30" s="652" t="s">
        <v>900</v>
      </c>
      <c r="J30" s="795">
        <v>39798</v>
      </c>
      <c r="K30" s="795">
        <v>39798</v>
      </c>
      <c r="L30" s="652" t="s">
        <v>895</v>
      </c>
      <c r="M30" s="652">
        <v>1558</v>
      </c>
      <c r="N30" s="652">
        <v>7011</v>
      </c>
      <c r="O30" s="652">
        <v>10015.714285714286</v>
      </c>
      <c r="P30" s="652">
        <v>20031.428571428572</v>
      </c>
      <c r="Q30" s="652">
        <v>0</v>
      </c>
      <c r="R30" s="652">
        <v>0</v>
      </c>
      <c r="S30" s="652">
        <v>0</v>
      </c>
      <c r="T30" s="652">
        <v>0</v>
      </c>
      <c r="U30" s="652">
        <v>0</v>
      </c>
      <c r="V30" s="652">
        <v>0</v>
      </c>
      <c r="W30" s="652">
        <v>0</v>
      </c>
      <c r="X30" s="652">
        <v>10</v>
      </c>
      <c r="Y30" s="652" t="s">
        <v>112</v>
      </c>
      <c r="Z30" s="654" t="s">
        <v>112</v>
      </c>
    </row>
    <row r="31" spans="1:26" s="606" customFormat="1" ht="25.5">
      <c r="A31" s="605"/>
      <c r="B31" s="796">
        <v>11053</v>
      </c>
      <c r="C31" s="796">
        <v>2990</v>
      </c>
      <c r="D31" s="653" t="s">
        <v>902</v>
      </c>
      <c r="E31" s="652" t="s">
        <v>903</v>
      </c>
      <c r="F31" s="652" t="s">
        <v>904</v>
      </c>
      <c r="G31" s="652" t="s">
        <v>893</v>
      </c>
      <c r="H31" s="652" t="s">
        <v>894</v>
      </c>
      <c r="I31" s="652" t="s">
        <v>905</v>
      </c>
      <c r="J31" s="795">
        <v>39778</v>
      </c>
      <c r="K31" s="795">
        <v>39806</v>
      </c>
      <c r="L31" s="652" t="s">
        <v>895</v>
      </c>
      <c r="M31" s="652">
        <v>801</v>
      </c>
      <c r="N31" s="652">
        <v>3604.5</v>
      </c>
      <c r="O31" s="652">
        <v>5149.2857142857147</v>
      </c>
      <c r="P31" s="652">
        <v>10298.571428571429</v>
      </c>
      <c r="Q31" s="652">
        <v>0</v>
      </c>
      <c r="R31" s="652">
        <v>0</v>
      </c>
      <c r="S31" s="652">
        <v>0</v>
      </c>
      <c r="T31" s="652">
        <v>0</v>
      </c>
      <c r="U31" s="652">
        <v>0</v>
      </c>
      <c r="V31" s="652">
        <v>0</v>
      </c>
      <c r="W31" s="652">
        <v>0</v>
      </c>
      <c r="X31" s="652">
        <v>10</v>
      </c>
      <c r="Y31" s="652" t="s">
        <v>112</v>
      </c>
      <c r="Z31" s="654" t="s">
        <v>112</v>
      </c>
    </row>
    <row r="32" spans="1:26" s="606" customFormat="1" ht="25.5">
      <c r="A32" s="605"/>
      <c r="B32" s="796">
        <v>11053</v>
      </c>
      <c r="C32" s="796">
        <v>2990</v>
      </c>
      <c r="D32" s="653" t="s">
        <v>906</v>
      </c>
      <c r="E32" s="652" t="s">
        <v>907</v>
      </c>
      <c r="F32" s="652" t="s">
        <v>908</v>
      </c>
      <c r="G32" s="652" t="s">
        <v>893</v>
      </c>
      <c r="H32" s="652" t="s">
        <v>894</v>
      </c>
      <c r="I32" s="652" t="s">
        <v>907</v>
      </c>
      <c r="J32" s="795">
        <v>40941</v>
      </c>
      <c r="K32" s="795">
        <v>40941</v>
      </c>
      <c r="L32" s="652" t="s">
        <v>895</v>
      </c>
      <c r="M32" s="652">
        <v>2000</v>
      </c>
      <c r="N32" s="652">
        <v>9000</v>
      </c>
      <c r="O32" s="652">
        <v>12857.142857142857</v>
      </c>
      <c r="P32" s="652">
        <v>25714.285714285717</v>
      </c>
      <c r="Q32" s="652">
        <v>0</v>
      </c>
      <c r="R32" s="652">
        <v>0</v>
      </c>
      <c r="S32" s="652">
        <v>0</v>
      </c>
      <c r="T32" s="652">
        <v>0</v>
      </c>
      <c r="U32" s="652">
        <v>0</v>
      </c>
      <c r="V32" s="652">
        <v>0</v>
      </c>
      <c r="W32" s="652">
        <v>0</v>
      </c>
      <c r="X32" s="652">
        <v>10</v>
      </c>
      <c r="Y32" s="652" t="s">
        <v>112</v>
      </c>
      <c r="Z32" s="654" t="s">
        <v>112</v>
      </c>
    </row>
    <row r="33" spans="1:26" s="606" customFormat="1" ht="25.5">
      <c r="A33" s="605"/>
      <c r="B33" s="796">
        <v>11053</v>
      </c>
      <c r="C33" s="796">
        <v>2990</v>
      </c>
      <c r="D33" s="653" t="s">
        <v>909</v>
      </c>
      <c r="E33" s="652" t="s">
        <v>910</v>
      </c>
      <c r="F33" s="652" t="s">
        <v>911</v>
      </c>
      <c r="G33" s="652" t="s">
        <v>893</v>
      </c>
      <c r="H33" s="652" t="s">
        <v>894</v>
      </c>
      <c r="I33" s="652" t="s">
        <v>912</v>
      </c>
      <c r="J33" s="795">
        <v>41086</v>
      </c>
      <c r="K33" s="795">
        <v>41214</v>
      </c>
      <c r="L33" s="652" t="s">
        <v>895</v>
      </c>
      <c r="M33" s="652">
        <v>9.6999999999999993</v>
      </c>
      <c r="N33" s="652">
        <v>43.649999999999991</v>
      </c>
      <c r="O33" s="652">
        <v>62.357142857142847</v>
      </c>
      <c r="P33" s="652">
        <v>0</v>
      </c>
      <c r="Q33" s="652">
        <v>124.71428571428569</v>
      </c>
      <c r="R33" s="652">
        <v>0</v>
      </c>
      <c r="S33" s="652">
        <v>0</v>
      </c>
      <c r="T33" s="652">
        <v>0</v>
      </c>
      <c r="U33" s="652">
        <v>0</v>
      </c>
      <c r="V33" s="652">
        <v>0</v>
      </c>
      <c r="W33" s="652">
        <v>0</v>
      </c>
      <c r="X33" s="652">
        <v>10</v>
      </c>
      <c r="Y33" s="652" t="s">
        <v>112</v>
      </c>
      <c r="Z33" s="654" t="s">
        <v>112</v>
      </c>
    </row>
    <row r="34" spans="1:26" s="606" customFormat="1" ht="25.5">
      <c r="A34" s="605"/>
      <c r="B34" s="796">
        <v>11053</v>
      </c>
      <c r="C34" s="796">
        <v>2990</v>
      </c>
      <c r="D34" s="653" t="s">
        <v>909</v>
      </c>
      <c r="E34" s="652" t="s">
        <v>910</v>
      </c>
      <c r="F34" s="652" t="s">
        <v>913</v>
      </c>
      <c r="G34" s="652" t="s">
        <v>893</v>
      </c>
      <c r="H34" s="652" t="s">
        <v>894</v>
      </c>
      <c r="I34" s="652" t="s">
        <v>914</v>
      </c>
      <c r="J34" s="795">
        <v>41086</v>
      </c>
      <c r="K34" s="795">
        <v>41244</v>
      </c>
      <c r="L34" s="652" t="s">
        <v>895</v>
      </c>
      <c r="M34" s="652">
        <v>9.6999999999999993</v>
      </c>
      <c r="N34" s="652">
        <v>43.649999999999991</v>
      </c>
      <c r="O34" s="652">
        <v>62.357142857142847</v>
      </c>
      <c r="P34" s="652">
        <v>0</v>
      </c>
      <c r="Q34" s="652">
        <v>124.71428571428569</v>
      </c>
      <c r="R34" s="652">
        <v>0</v>
      </c>
      <c r="S34" s="652">
        <v>0</v>
      </c>
      <c r="T34" s="652">
        <v>0</v>
      </c>
      <c r="U34" s="652">
        <v>0</v>
      </c>
      <c r="V34" s="652">
        <v>0</v>
      </c>
      <c r="W34" s="652">
        <v>0</v>
      </c>
      <c r="X34" s="652">
        <v>10</v>
      </c>
      <c r="Y34" s="652" t="s">
        <v>112</v>
      </c>
      <c r="Z34" s="654" t="s">
        <v>112</v>
      </c>
    </row>
    <row r="35" spans="1:26" s="606" customFormat="1" ht="25.5">
      <c r="A35" s="605"/>
      <c r="B35" s="796">
        <v>11053</v>
      </c>
      <c r="C35" s="796">
        <v>2990</v>
      </c>
      <c r="D35" s="653" t="s">
        <v>909</v>
      </c>
      <c r="E35" s="652" t="s">
        <v>910</v>
      </c>
      <c r="F35" s="652" t="s">
        <v>915</v>
      </c>
      <c r="G35" s="652" t="s">
        <v>893</v>
      </c>
      <c r="H35" s="652" t="s">
        <v>894</v>
      </c>
      <c r="I35" s="652" t="s">
        <v>916</v>
      </c>
      <c r="J35" s="795">
        <v>41086</v>
      </c>
      <c r="K35" s="795">
        <v>41244</v>
      </c>
      <c r="L35" s="652" t="s">
        <v>895</v>
      </c>
      <c r="M35" s="652">
        <v>9.6999999999999993</v>
      </c>
      <c r="N35" s="652">
        <v>43.649999999999991</v>
      </c>
      <c r="O35" s="652">
        <v>62.357142857142847</v>
      </c>
      <c r="P35" s="652">
        <v>0</v>
      </c>
      <c r="Q35" s="652">
        <v>124.71428571428569</v>
      </c>
      <c r="R35" s="652">
        <v>0</v>
      </c>
      <c r="S35" s="652">
        <v>0</v>
      </c>
      <c r="T35" s="652">
        <v>0</v>
      </c>
      <c r="U35" s="652">
        <v>0</v>
      </c>
      <c r="V35" s="652">
        <v>0</v>
      </c>
      <c r="W35" s="652">
        <v>0</v>
      </c>
      <c r="X35" s="652">
        <v>10</v>
      </c>
      <c r="Y35" s="652" t="s">
        <v>112</v>
      </c>
      <c r="Z35" s="654" t="s">
        <v>112</v>
      </c>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12963.100000000002</v>
      </c>
      <c r="N58" s="610">
        <f>SUM(N28:N57)</f>
        <v>58333.950000000004</v>
      </c>
      <c r="O58" s="610">
        <f t="shared" ref="O58:W58" si="2">SUM(O28:O57)</f>
        <v>83334.21428571429</v>
      </c>
      <c r="P58" s="610">
        <f t="shared" si="2"/>
        <v>166294.28571428571</v>
      </c>
      <c r="Q58" s="610">
        <f t="shared" si="2"/>
        <v>374.14285714285711</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12963.100000000002</v>
      </c>
      <c r="N61" s="615">
        <f t="shared" si="4"/>
        <v>58333.950000000004</v>
      </c>
      <c r="O61" s="615">
        <f t="shared" si="4"/>
        <v>83334.21428571429</v>
      </c>
      <c r="P61" s="615">
        <f t="shared" si="4"/>
        <v>166294.28571428571</v>
      </c>
      <c r="Q61" s="615">
        <f t="shared" si="4"/>
        <v>374.14285714285711</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68474.117647058825</v>
      </c>
      <c r="C101" s="644">
        <f t="shared" si="9"/>
        <v>154.05882352941174</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97820.16806722687</v>
      </c>
      <c r="C102" s="647">
        <f t="shared" si="10"/>
        <v>220.08403361344531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39249.796477528369</v>
      </c>
      <c r="C4" s="477">
        <f>huishoudens!C8</f>
        <v>0</v>
      </c>
      <c r="D4" s="477">
        <f>huishoudens!D8</f>
        <v>79629.575657411988</v>
      </c>
      <c r="E4" s="477">
        <f>huishoudens!E8</f>
        <v>10929.828506228041</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24534.932465688082</v>
      </c>
      <c r="O4" s="477">
        <f>huishoudens!O8</f>
        <v>272.02000000000004</v>
      </c>
      <c r="P4" s="478">
        <f>huishoudens!P8</f>
        <v>1677.8666666666668</v>
      </c>
      <c r="Q4" s="479">
        <f>SUM(B4:P4)</f>
        <v>156294.01977352315</v>
      </c>
    </row>
    <row r="5" spans="1:17">
      <c r="A5" s="476" t="s">
        <v>156</v>
      </c>
      <c r="B5" s="477">
        <f ca="1">tertiair!B16</f>
        <v>13879.011704069999</v>
      </c>
      <c r="C5" s="477">
        <f ca="1">tertiair!C16</f>
        <v>0</v>
      </c>
      <c r="D5" s="477">
        <f ca="1">tertiair!D16</f>
        <v>15268.495604087004</v>
      </c>
      <c r="E5" s="477">
        <f>tertiair!E16</f>
        <v>287.004684260776</v>
      </c>
      <c r="F5" s="477">
        <f ca="1">tertiair!F16</f>
        <v>3522.8422101828037</v>
      </c>
      <c r="G5" s="477">
        <f>tertiair!G16</f>
        <v>0</v>
      </c>
      <c r="H5" s="477">
        <f>tertiair!H16</f>
        <v>0</v>
      </c>
      <c r="I5" s="477">
        <f>tertiair!I16</f>
        <v>0</v>
      </c>
      <c r="J5" s="477">
        <f>tertiair!J16</f>
        <v>0</v>
      </c>
      <c r="K5" s="477">
        <f>tertiair!K16</f>
        <v>0</v>
      </c>
      <c r="L5" s="477">
        <f ca="1">tertiair!L16</f>
        <v>0</v>
      </c>
      <c r="M5" s="477">
        <f>tertiair!M16</f>
        <v>0</v>
      </c>
      <c r="N5" s="477">
        <f ca="1">tertiair!N16</f>
        <v>1435.2828354997482</v>
      </c>
      <c r="O5" s="477">
        <f>tertiair!O16</f>
        <v>1.5633333333333335</v>
      </c>
      <c r="P5" s="478">
        <f>tertiair!P16</f>
        <v>76.266666666666666</v>
      </c>
      <c r="Q5" s="476">
        <f t="shared" ref="Q5:Q14" ca="1" si="0">SUM(B5:P5)</f>
        <v>34470.467038100331</v>
      </c>
    </row>
    <row r="6" spans="1:17">
      <c r="A6" s="476" t="s">
        <v>194</v>
      </c>
      <c r="B6" s="477">
        <f>'openbare verlichting'!B8</f>
        <v>1326.09</v>
      </c>
      <c r="C6" s="477"/>
      <c r="D6" s="477"/>
      <c r="E6" s="477"/>
      <c r="F6" s="477"/>
      <c r="G6" s="477"/>
      <c r="H6" s="477"/>
      <c r="I6" s="477"/>
      <c r="J6" s="477"/>
      <c r="K6" s="477"/>
      <c r="L6" s="477"/>
      <c r="M6" s="477"/>
      <c r="N6" s="477"/>
      <c r="O6" s="477"/>
      <c r="P6" s="478"/>
      <c r="Q6" s="476">
        <f t="shared" si="0"/>
        <v>1326.09</v>
      </c>
    </row>
    <row r="7" spans="1:17">
      <c r="A7" s="476" t="s">
        <v>112</v>
      </c>
      <c r="B7" s="477">
        <f>landbouw!B8</f>
        <v>11679.411397290001</v>
      </c>
      <c r="C7" s="477">
        <f>landbouw!C8</f>
        <v>83334.21428571429</v>
      </c>
      <c r="D7" s="477">
        <f>landbouw!D8</f>
        <v>0</v>
      </c>
      <c r="E7" s="477">
        <f>landbouw!E8</f>
        <v>301.16717618094333</v>
      </c>
      <c r="F7" s="477">
        <f>landbouw!F8</f>
        <v>42690.47289294855</v>
      </c>
      <c r="G7" s="477">
        <f>landbouw!G8</f>
        <v>0</v>
      </c>
      <c r="H7" s="477">
        <f>landbouw!H8</f>
        <v>0</v>
      </c>
      <c r="I7" s="477">
        <f>landbouw!I8</f>
        <v>0</v>
      </c>
      <c r="J7" s="477">
        <f>landbouw!J8</f>
        <v>1681.4055947078607</v>
      </c>
      <c r="K7" s="477">
        <f>landbouw!K8</f>
        <v>0</v>
      </c>
      <c r="L7" s="477">
        <f>landbouw!L8</f>
        <v>0</v>
      </c>
      <c r="M7" s="477">
        <f>landbouw!M8</f>
        <v>0</v>
      </c>
      <c r="N7" s="477">
        <f>landbouw!N8</f>
        <v>0</v>
      </c>
      <c r="O7" s="477">
        <f>landbouw!O8</f>
        <v>0</v>
      </c>
      <c r="P7" s="478">
        <f>landbouw!P8</f>
        <v>0</v>
      </c>
      <c r="Q7" s="476">
        <f t="shared" si="0"/>
        <v>139686.67134684167</v>
      </c>
    </row>
    <row r="8" spans="1:17">
      <c r="A8" s="476" t="s">
        <v>638</v>
      </c>
      <c r="B8" s="477">
        <f>industrie!B18</f>
        <v>5477.5042808130002</v>
      </c>
      <c r="C8" s="477">
        <f>industrie!C18</f>
        <v>0</v>
      </c>
      <c r="D8" s="477">
        <f>industrie!D18</f>
        <v>3708.2441548653605</v>
      </c>
      <c r="E8" s="477">
        <f>industrie!E18</f>
        <v>767.94079512597989</v>
      </c>
      <c r="F8" s="477">
        <f>industrie!F18</f>
        <v>2941.8451524555339</v>
      </c>
      <c r="G8" s="477">
        <f>industrie!G18</f>
        <v>0</v>
      </c>
      <c r="H8" s="477">
        <f>industrie!H18</f>
        <v>0</v>
      </c>
      <c r="I8" s="477">
        <f>industrie!I18</f>
        <v>0</v>
      </c>
      <c r="J8" s="477">
        <f>industrie!J18</f>
        <v>19.497262071158648</v>
      </c>
      <c r="K8" s="477">
        <f>industrie!K18</f>
        <v>0</v>
      </c>
      <c r="L8" s="477">
        <f>industrie!L18</f>
        <v>0</v>
      </c>
      <c r="M8" s="477">
        <f>industrie!M18</f>
        <v>0</v>
      </c>
      <c r="N8" s="477">
        <f>industrie!N18</f>
        <v>1438.8173978295717</v>
      </c>
      <c r="O8" s="477">
        <f>industrie!O18</f>
        <v>0</v>
      </c>
      <c r="P8" s="478">
        <f>industrie!P18</f>
        <v>0</v>
      </c>
      <c r="Q8" s="476">
        <f t="shared" si="0"/>
        <v>14353.849043160604</v>
      </c>
    </row>
    <row r="9" spans="1:17" s="482" customFormat="1">
      <c r="A9" s="480" t="s">
        <v>564</v>
      </c>
      <c r="B9" s="481">
        <f>transport!B14</f>
        <v>42.77749010986571</v>
      </c>
      <c r="C9" s="481">
        <f>transport!C14</f>
        <v>0</v>
      </c>
      <c r="D9" s="481">
        <f>transport!D14</f>
        <v>92.007074465714666</v>
      </c>
      <c r="E9" s="481">
        <f>transport!E14</f>
        <v>405.73546921287556</v>
      </c>
      <c r="F9" s="481">
        <f>transport!F14</f>
        <v>0</v>
      </c>
      <c r="G9" s="481">
        <f>transport!G14</f>
        <v>177252.08631273423</v>
      </c>
      <c r="H9" s="481">
        <f>transport!H14</f>
        <v>25397.228373962866</v>
      </c>
      <c r="I9" s="481">
        <f>transport!I14</f>
        <v>0</v>
      </c>
      <c r="J9" s="481">
        <f>transport!J14</f>
        <v>0</v>
      </c>
      <c r="K9" s="481">
        <f>transport!K14</f>
        <v>0</v>
      </c>
      <c r="L9" s="481">
        <f>transport!L14</f>
        <v>0</v>
      </c>
      <c r="M9" s="481">
        <f>transport!M14</f>
        <v>6344.9694220537549</v>
      </c>
      <c r="N9" s="481">
        <f>transport!N14</f>
        <v>0</v>
      </c>
      <c r="O9" s="481">
        <f>transport!O14</f>
        <v>0</v>
      </c>
      <c r="P9" s="481">
        <f>transport!P14</f>
        <v>0</v>
      </c>
      <c r="Q9" s="480">
        <f>SUM(B9:P9)</f>
        <v>209534.8041425393</v>
      </c>
    </row>
    <row r="10" spans="1:17">
      <c r="A10" s="476" t="s">
        <v>554</v>
      </c>
      <c r="B10" s="477">
        <f>transport!B54</f>
        <v>0</v>
      </c>
      <c r="C10" s="477">
        <f>transport!C54</f>
        <v>0</v>
      </c>
      <c r="D10" s="477">
        <f>transport!D54</f>
        <v>0</v>
      </c>
      <c r="E10" s="477">
        <f>transport!E54</f>
        <v>0</v>
      </c>
      <c r="F10" s="477">
        <f>transport!F54</f>
        <v>0</v>
      </c>
      <c r="G10" s="477">
        <f>transport!G54</f>
        <v>1950.1483685313349</v>
      </c>
      <c r="H10" s="477">
        <f>transport!H54</f>
        <v>0</v>
      </c>
      <c r="I10" s="477">
        <f>transport!I54</f>
        <v>0</v>
      </c>
      <c r="J10" s="477">
        <f>transport!J54</f>
        <v>0</v>
      </c>
      <c r="K10" s="477">
        <f>transport!K54</f>
        <v>0</v>
      </c>
      <c r="L10" s="477">
        <f>transport!L54</f>
        <v>0</v>
      </c>
      <c r="M10" s="477">
        <f>transport!M54</f>
        <v>60.489239554842733</v>
      </c>
      <c r="N10" s="477">
        <f>transport!N54</f>
        <v>0</v>
      </c>
      <c r="O10" s="477">
        <f>transport!O54</f>
        <v>0</v>
      </c>
      <c r="P10" s="478">
        <f>transport!P54</f>
        <v>0</v>
      </c>
      <c r="Q10" s="476">
        <f t="shared" si="0"/>
        <v>2010.6376080861776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2033.6840067000001</v>
      </c>
      <c r="C14" s="484"/>
      <c r="D14" s="484">
        <f>'SEAP template'!E25</f>
        <v>2489.2140888999998</v>
      </c>
      <c r="E14" s="484"/>
      <c r="F14" s="484"/>
      <c r="G14" s="484"/>
      <c r="H14" s="484"/>
      <c r="I14" s="484"/>
      <c r="J14" s="484"/>
      <c r="K14" s="484"/>
      <c r="L14" s="484"/>
      <c r="M14" s="484"/>
      <c r="N14" s="484"/>
      <c r="O14" s="484"/>
      <c r="P14" s="485"/>
      <c r="Q14" s="476">
        <f t="shared" si="0"/>
        <v>4522.8980955999996</v>
      </c>
    </row>
    <row r="15" spans="1:17" s="486" customFormat="1">
      <c r="A15" s="1038" t="s">
        <v>558</v>
      </c>
      <c r="B15" s="978">
        <f ca="1">SUM(B4:B14)</f>
        <v>73688.275356511222</v>
      </c>
      <c r="C15" s="978">
        <f t="shared" ref="C15:Q15" ca="1" si="1">SUM(C4:C14)</f>
        <v>83334.21428571429</v>
      </c>
      <c r="D15" s="978">
        <f t="shared" ca="1" si="1"/>
        <v>101187.53657973006</v>
      </c>
      <c r="E15" s="978">
        <f t="shared" si="1"/>
        <v>12691.676631008615</v>
      </c>
      <c r="F15" s="978">
        <f t="shared" ca="1" si="1"/>
        <v>49155.160255586889</v>
      </c>
      <c r="G15" s="978">
        <f t="shared" si="1"/>
        <v>179202.23468126557</v>
      </c>
      <c r="H15" s="978">
        <f t="shared" si="1"/>
        <v>25397.228373962866</v>
      </c>
      <c r="I15" s="978">
        <f t="shared" si="1"/>
        <v>0</v>
      </c>
      <c r="J15" s="978">
        <f t="shared" si="1"/>
        <v>1700.9028567790194</v>
      </c>
      <c r="K15" s="978">
        <f t="shared" si="1"/>
        <v>0</v>
      </c>
      <c r="L15" s="978">
        <f t="shared" ca="1" si="1"/>
        <v>0</v>
      </c>
      <c r="M15" s="978">
        <f t="shared" si="1"/>
        <v>6405.458661608598</v>
      </c>
      <c r="N15" s="978">
        <f t="shared" ca="1" si="1"/>
        <v>27409.0326990174</v>
      </c>
      <c r="O15" s="978">
        <f t="shared" si="1"/>
        <v>273.58333333333337</v>
      </c>
      <c r="P15" s="978">
        <f t="shared" si="1"/>
        <v>1754.1333333333334</v>
      </c>
      <c r="Q15" s="978">
        <f t="shared" ca="1" si="1"/>
        <v>562199.43704785127</v>
      </c>
    </row>
    <row r="17" spans="1:17">
      <c r="A17" s="487" t="s">
        <v>559</v>
      </c>
      <c r="B17" s="786">
        <f ca="1">huishoudens!B10</f>
        <v>0.12552360888082797</v>
      </c>
      <c r="C17" s="786">
        <f ca="1">huishoudens!C10</f>
        <v>0.23711358076567554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4926.7761016973709</v>
      </c>
      <c r="C22" s="477">
        <f t="shared" ref="C22:C32" ca="1" si="3">C4*$C$17</f>
        <v>0</v>
      </c>
      <c r="D22" s="477">
        <f t="shared" ref="D22:D32" si="4">D4*$D$17</f>
        <v>16085.174282797223</v>
      </c>
      <c r="E22" s="477">
        <f t="shared" ref="E22:E32" si="5">E4*$E$17</f>
        <v>2481.0710709137652</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23493.021455408358</v>
      </c>
    </row>
    <row r="23" spans="1:17">
      <c r="A23" s="476" t="s">
        <v>156</v>
      </c>
      <c r="B23" s="477">
        <f t="shared" ca="1" si="2"/>
        <v>1742.1436367941162</v>
      </c>
      <c r="C23" s="477">
        <f t="shared" ca="1" si="3"/>
        <v>0</v>
      </c>
      <c r="D23" s="477">
        <f t="shared" ca="1" si="4"/>
        <v>3084.236112025575</v>
      </c>
      <c r="E23" s="477">
        <f t="shared" si="5"/>
        <v>65.15006332719615</v>
      </c>
      <c r="F23" s="477">
        <f t="shared" ca="1" si="6"/>
        <v>940.59887011880869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5832.1286822656966</v>
      </c>
    </row>
    <row r="24" spans="1:17">
      <c r="A24" s="476" t="s">
        <v>194</v>
      </c>
      <c r="B24" s="477">
        <f t="shared" ca="1" si="2"/>
        <v>166.45560250077716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166.45560250077716</v>
      </c>
    </row>
    <row r="25" spans="1:17">
      <c r="A25" s="476" t="s">
        <v>112</v>
      </c>
      <c r="B25" s="477">
        <f t="shared" ca="1" si="2"/>
        <v>1466.0418681917147</v>
      </c>
      <c r="C25" s="477">
        <f t="shared" ca="1" si="3"/>
        <v>19759.673949579828</v>
      </c>
      <c r="D25" s="477">
        <f t="shared" si="4"/>
        <v>0</v>
      </c>
      <c r="E25" s="477">
        <f t="shared" si="5"/>
        <v>68.364948993074137</v>
      </c>
      <c r="F25" s="477">
        <f t="shared" si="6"/>
        <v>11398.356262417263</v>
      </c>
      <c r="G25" s="477">
        <f t="shared" si="7"/>
        <v>0</v>
      </c>
      <c r="H25" s="477">
        <f t="shared" si="8"/>
        <v>0</v>
      </c>
      <c r="I25" s="477">
        <f t="shared" si="9"/>
        <v>0</v>
      </c>
      <c r="J25" s="477">
        <f t="shared" si="10"/>
        <v>595.21758052658265</v>
      </c>
      <c r="K25" s="477">
        <f t="shared" si="11"/>
        <v>0</v>
      </c>
      <c r="L25" s="477">
        <f t="shared" si="12"/>
        <v>0</v>
      </c>
      <c r="M25" s="477">
        <f t="shared" si="13"/>
        <v>0</v>
      </c>
      <c r="N25" s="477">
        <f t="shared" si="14"/>
        <v>0</v>
      </c>
      <c r="O25" s="477">
        <f t="shared" si="15"/>
        <v>0</v>
      </c>
      <c r="P25" s="478">
        <f t="shared" si="16"/>
        <v>0</v>
      </c>
      <c r="Q25" s="476">
        <f t="shared" ca="1" si="17"/>
        <v>33287.654609708465</v>
      </c>
    </row>
    <row r="26" spans="1:17">
      <c r="A26" s="476" t="s">
        <v>638</v>
      </c>
      <c r="B26" s="477">
        <f t="shared" ca="1" si="2"/>
        <v>687.55610498783199</v>
      </c>
      <c r="C26" s="477">
        <f t="shared" ca="1" si="3"/>
        <v>0</v>
      </c>
      <c r="D26" s="477">
        <f t="shared" si="4"/>
        <v>749.06531928280288</v>
      </c>
      <c r="E26" s="477">
        <f t="shared" si="5"/>
        <v>174.32256049359745</v>
      </c>
      <c r="F26" s="477">
        <f t="shared" si="6"/>
        <v>785.47265570562763</v>
      </c>
      <c r="G26" s="477">
        <f t="shared" si="7"/>
        <v>0</v>
      </c>
      <c r="H26" s="477">
        <f t="shared" si="8"/>
        <v>0</v>
      </c>
      <c r="I26" s="477">
        <f t="shared" si="9"/>
        <v>0</v>
      </c>
      <c r="J26" s="477">
        <f t="shared" si="10"/>
        <v>6.9020307731901607</v>
      </c>
      <c r="K26" s="477">
        <f t="shared" si="11"/>
        <v>0</v>
      </c>
      <c r="L26" s="477">
        <f t="shared" si="12"/>
        <v>0</v>
      </c>
      <c r="M26" s="477">
        <f t="shared" si="13"/>
        <v>0</v>
      </c>
      <c r="N26" s="477">
        <f t="shared" si="14"/>
        <v>0</v>
      </c>
      <c r="O26" s="477">
        <f t="shared" si="15"/>
        <v>0</v>
      </c>
      <c r="P26" s="478">
        <f t="shared" si="16"/>
        <v>0</v>
      </c>
      <c r="Q26" s="476">
        <f t="shared" ca="1" si="17"/>
        <v>2403.3186712430502</v>
      </c>
    </row>
    <row r="27" spans="1:17" s="482" customFormat="1">
      <c r="A27" s="480" t="s">
        <v>564</v>
      </c>
      <c r="B27" s="780">
        <f t="shared" ca="1" si="2"/>
        <v>5.3695849374542703</v>
      </c>
      <c r="C27" s="481">
        <f t="shared" ca="1" si="3"/>
        <v>0</v>
      </c>
      <c r="D27" s="481">
        <f t="shared" si="4"/>
        <v>18.585429042074363</v>
      </c>
      <c r="E27" s="481">
        <f t="shared" si="5"/>
        <v>92.101951511322753</v>
      </c>
      <c r="F27" s="481">
        <f t="shared" si="6"/>
        <v>0</v>
      </c>
      <c r="G27" s="481">
        <f t="shared" si="7"/>
        <v>47326.307045500042</v>
      </c>
      <c r="H27" s="481">
        <f t="shared" si="8"/>
        <v>6323.9098651167533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53766.273876107647</v>
      </c>
    </row>
    <row r="28" spans="1:17">
      <c r="A28" s="476" t="s">
        <v>554</v>
      </c>
      <c r="B28" s="477">
        <f t="shared" ca="1" si="2"/>
        <v>0</v>
      </c>
      <c r="C28" s="477">
        <f t="shared" ca="1" si="3"/>
        <v>0</v>
      </c>
      <c r="D28" s="477">
        <f t="shared" si="4"/>
        <v>0</v>
      </c>
      <c r="E28" s="477">
        <f t="shared" si="5"/>
        <v>0</v>
      </c>
      <c r="F28" s="477">
        <f t="shared" si="6"/>
        <v>0</v>
      </c>
      <c r="G28" s="477">
        <f t="shared" si="7"/>
        <v>520.68961439786642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520.68961439786642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255.27535584420593</v>
      </c>
      <c r="C32" s="477">
        <f t="shared" ca="1" si="3"/>
        <v>0</v>
      </c>
      <c r="D32" s="477">
        <f t="shared" si="4"/>
        <v>502.82124595779999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758.09660180200592</v>
      </c>
    </row>
    <row r="33" spans="1:17" s="486" customFormat="1">
      <c r="A33" s="1038" t="s">
        <v>558</v>
      </c>
      <c r="B33" s="978">
        <f ca="1">SUM(B22:B32)</f>
        <v>9249.6182549534715</v>
      </c>
      <c r="C33" s="978">
        <f t="shared" ref="C33:Q33" ca="1" si="18">SUM(C22:C32)</f>
        <v>19759.673949579828</v>
      </c>
      <c r="D33" s="978">
        <f t="shared" ca="1" si="18"/>
        <v>20439.882389105474</v>
      </c>
      <c r="E33" s="978">
        <f t="shared" si="18"/>
        <v>2881.0105952389554</v>
      </c>
      <c r="F33" s="978">
        <f t="shared" ca="1" si="18"/>
        <v>13124.427788241699</v>
      </c>
      <c r="G33" s="978">
        <f t="shared" si="18"/>
        <v>47846.996659897908</v>
      </c>
      <c r="H33" s="978">
        <f t="shared" si="18"/>
        <v>6323.9098651167533</v>
      </c>
      <c r="I33" s="978">
        <f t="shared" si="18"/>
        <v>0</v>
      </c>
      <c r="J33" s="978">
        <f t="shared" si="18"/>
        <v>602.11961129977283</v>
      </c>
      <c r="K33" s="978">
        <f t="shared" si="18"/>
        <v>0</v>
      </c>
      <c r="L33" s="978">
        <f t="shared" ca="1" si="18"/>
        <v>0</v>
      </c>
      <c r="M33" s="978">
        <f t="shared" si="18"/>
        <v>0</v>
      </c>
      <c r="N33" s="978">
        <f t="shared" ca="1" si="18"/>
        <v>0</v>
      </c>
      <c r="O33" s="978">
        <f t="shared" si="18"/>
        <v>0</v>
      </c>
      <c r="P33" s="978">
        <f t="shared" si="18"/>
        <v>0</v>
      </c>
      <c r="Q33" s="978">
        <f t="shared" ca="1" si="18"/>
        <v>120227.63911343388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42508.81621003797</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9349.8253512654956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130.94999999999999</v>
      </c>
      <c r="C8" s="1055">
        <f>'SEAP template'!C76</f>
        <v>58203.000000000007</v>
      </c>
      <c r="D8" s="1055">
        <f>'SEAP template'!D76</f>
        <v>68474.117647058825</v>
      </c>
      <c r="E8" s="1055">
        <f>'SEAP template'!E76</f>
        <v>0</v>
      </c>
      <c r="F8" s="1055">
        <f>'SEAP template'!F76</f>
        <v>0</v>
      </c>
      <c r="G8" s="1055">
        <f>'SEAP template'!G76</f>
        <v>0</v>
      </c>
      <c r="H8" s="1055">
        <f>'SEAP template'!H76</f>
        <v>0</v>
      </c>
      <c r="I8" s="1055">
        <f>'SEAP template'!I76</f>
        <v>0</v>
      </c>
      <c r="J8" s="1055">
        <f>'SEAP template'!J76</f>
        <v>154.05882352941174</v>
      </c>
      <c r="K8" s="1055">
        <f>'SEAP template'!K76</f>
        <v>0</v>
      </c>
      <c r="L8" s="1055">
        <f>'SEAP template'!L76</f>
        <v>0</v>
      </c>
      <c r="M8" s="1055">
        <f>'SEAP template'!M76</f>
        <v>0</v>
      </c>
      <c r="N8" s="1055">
        <f>'SEAP template'!N76</f>
        <v>0</v>
      </c>
      <c r="O8" s="1055">
        <f>'SEAP template'!O76</f>
        <v>0</v>
      </c>
      <c r="P8" s="1056">
        <f>'SEAP template'!Q76</f>
        <v>13831.771764705883</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51989.591561303459</v>
      </c>
      <c r="C10" s="1059">
        <f>SUM(C4:C9)</f>
        <v>58203.000000000007</v>
      </c>
      <c r="D10" s="1059">
        <f t="shared" ref="D10:H10" si="0">SUM(D8:D9)</f>
        <v>68474.117647058825</v>
      </c>
      <c r="E10" s="1059">
        <f t="shared" si="0"/>
        <v>0</v>
      </c>
      <c r="F10" s="1059">
        <f t="shared" si="0"/>
        <v>0</v>
      </c>
      <c r="G10" s="1059">
        <f t="shared" si="0"/>
        <v>0</v>
      </c>
      <c r="H10" s="1059">
        <f t="shared" si="0"/>
        <v>0</v>
      </c>
      <c r="I10" s="1059">
        <f>SUM(I8:I9)</f>
        <v>0</v>
      </c>
      <c r="J10" s="1059">
        <f>SUM(J8:J9)</f>
        <v>154.05882352941174</v>
      </c>
      <c r="K10" s="1059">
        <f t="shared" ref="K10:L10" si="1">SUM(K8:K9)</f>
        <v>0</v>
      </c>
      <c r="L10" s="1059">
        <f t="shared" si="1"/>
        <v>0</v>
      </c>
      <c r="M10" s="1059">
        <f>SUM(M8:M9)</f>
        <v>0</v>
      </c>
      <c r="N10" s="1059">
        <f>SUM(N8:N9)</f>
        <v>0</v>
      </c>
      <c r="O10" s="1059">
        <f>SUM(O8:O9)</f>
        <v>0</v>
      </c>
      <c r="P10" s="1059">
        <f>SUM(P8:P9)</f>
        <v>13831.771764705883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0.12552360888082797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187.07142857142858</v>
      </c>
      <c r="C17" s="1061">
        <f>'SEAP template'!C87</f>
        <v>83147.142857142855</v>
      </c>
      <c r="D17" s="1056">
        <f>'SEAP template'!D87</f>
        <v>97820.16806722687</v>
      </c>
      <c r="E17" s="1056">
        <f>'SEAP template'!E87</f>
        <v>0</v>
      </c>
      <c r="F17" s="1056">
        <f>'SEAP template'!F87</f>
        <v>0</v>
      </c>
      <c r="G17" s="1056">
        <f>'SEAP template'!G87</f>
        <v>0</v>
      </c>
      <c r="H17" s="1056">
        <f>'SEAP template'!H87</f>
        <v>0</v>
      </c>
      <c r="I17" s="1056">
        <f>'SEAP template'!I87</f>
        <v>0</v>
      </c>
      <c r="J17" s="1056">
        <f>'SEAP template'!J87</f>
        <v>220.08403361344531</v>
      </c>
      <c r="K17" s="1056">
        <f>'SEAP template'!K87</f>
        <v>0</v>
      </c>
      <c r="L17" s="1056">
        <f>'SEAP template'!L87</f>
        <v>0</v>
      </c>
      <c r="M17" s="1056">
        <f>'SEAP template'!M87</f>
        <v>0</v>
      </c>
      <c r="N17" s="1056">
        <f>'SEAP template'!N87</f>
        <v>0</v>
      </c>
      <c r="O17" s="1056">
        <f>'SEAP template'!O87</f>
        <v>0</v>
      </c>
      <c r="P17" s="1056">
        <f>'SEAP template'!Q87</f>
        <v>19759.673949579828</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187.07142857142858</v>
      </c>
      <c r="C20" s="1059">
        <f>SUM(C17:C19)</f>
        <v>83147.142857142855</v>
      </c>
      <c r="D20" s="1059">
        <f t="shared" ref="D20:H20" si="2">SUM(D17:D19)</f>
        <v>97820.16806722687</v>
      </c>
      <c r="E20" s="1059">
        <f t="shared" si="2"/>
        <v>0</v>
      </c>
      <c r="F20" s="1059">
        <f t="shared" si="2"/>
        <v>0</v>
      </c>
      <c r="G20" s="1059">
        <f t="shared" si="2"/>
        <v>0</v>
      </c>
      <c r="H20" s="1059">
        <f t="shared" si="2"/>
        <v>0</v>
      </c>
      <c r="I20" s="1059">
        <f>SUM(I17:I19)</f>
        <v>0</v>
      </c>
      <c r="J20" s="1059">
        <f>SUM(J17:J19)</f>
        <v>220.08403361344531</v>
      </c>
      <c r="K20" s="1059">
        <f t="shared" ref="K20:L20" si="3">SUM(K17:K19)</f>
        <v>0</v>
      </c>
      <c r="L20" s="1059">
        <f t="shared" si="3"/>
        <v>0</v>
      </c>
      <c r="M20" s="1059">
        <f>SUM(M17:M19)</f>
        <v>0</v>
      </c>
      <c r="N20" s="1059">
        <f>SUM(N17:N19)</f>
        <v>0</v>
      </c>
      <c r="O20" s="1059">
        <f>SUM(O17:O19)</f>
        <v>0</v>
      </c>
      <c r="P20" s="1059">
        <f>SUM(P17:P19)</f>
        <v>19759.673949579828</v>
      </c>
    </row>
    <row r="22" spans="1:16">
      <c r="A22" s="487" t="s">
        <v>871</v>
      </c>
      <c r="B22" s="786" t="s">
        <v>865</v>
      </c>
      <c r="C22" s="786">
        <f ca="1">'EF ele_warmte'!B22</f>
        <v>0.23711358076567554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0.12552360888082797</v>
      </c>
      <c r="C17" s="524">
        <f ca="1">'EF ele_warmte'!B22</f>
        <v>0.23711358076567554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3</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4.6900000000000004</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2019-08-12T08:22:26Z</dcterms:modified>
</cp:coreProperties>
</file>