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H22"/>
  <c r="H27" s="1"/>
  <c r="J20" i="15"/>
  <c r="K40" i="14" s="1"/>
  <c r="Q7" i="48"/>
  <c r="E20" i="15"/>
  <c r="F40" i="14" s="1"/>
  <c r="J18" i="16"/>
  <c r="E18"/>
  <c r="F18"/>
  <c r="F22" s="1"/>
  <c r="G43" i="14" s="1"/>
  <c r="N18" i="16"/>
  <c r="G18" i="22"/>
  <c r="H50" i="14" s="1"/>
  <c r="H52" s="1"/>
  <c r="H61" s="1"/>
  <c r="E22" i="16"/>
  <c r="F43" i="14" s="1"/>
  <c r="H18" i="22"/>
  <c r="I50" i="14" s="1"/>
  <c r="I52" s="1"/>
  <c r="I61" s="1"/>
  <c r="I63" s="1"/>
  <c r="N63" l="1"/>
  <c r="J22" i="16"/>
  <c r="K43" i="14" s="1"/>
  <c r="K46" s="1"/>
  <c r="K61" s="1"/>
  <c r="K63" s="1"/>
  <c r="J8" i="48"/>
  <c r="K13" i="14"/>
  <c r="E8" i="48"/>
  <c r="E26" s="1"/>
  <c r="F13" i="14"/>
  <c r="F16" s="1"/>
  <c r="F27" s="1"/>
  <c r="H63"/>
  <c r="F46"/>
  <c r="F61" s="1"/>
  <c r="K16"/>
  <c r="K27" s="1"/>
  <c r="R20"/>
  <c r="R22" s="1"/>
  <c r="E33" i="48"/>
  <c r="E15"/>
  <c r="M27"/>
  <c r="M33" s="1"/>
  <c r="M15"/>
  <c r="G27"/>
  <c r="G33" s="1"/>
  <c r="G15"/>
  <c r="Q9"/>
  <c r="N8"/>
  <c r="N26" s="1"/>
  <c r="O13" i="14"/>
  <c r="N22" i="16"/>
  <c r="O43" i="14" s="1"/>
  <c r="G13"/>
  <c r="F8" i="48"/>
  <c r="J26" l="1"/>
  <c r="J33" s="1"/>
  <c r="J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<sst xmlns="http://schemas.openxmlformats.org/spreadsheetml/2006/main" count="2401" uniqueCount="895">
  <si>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</si>
  <si>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</si>
  <si>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</si>
  <si>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</si>
  <si>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</si>
  <si>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</si>
  <si>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</si>
  <si>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</si>
  <si>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</si>
  <si>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</si>
  <si>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</si>
  <si>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</si>
  <si>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</si>
  <si>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</si>
  <si>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</si>
  <si>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</si>
  <si>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</si>
  <si>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</si>
  <si>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</si>
  <si>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</si>
  <si>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</si>
  <si>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</si>
  <si>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</si>
  <si>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</si>
  <si>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</si>
  <si>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</si>
  <si>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</si>
  <si>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</si>
  <si>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</si>
  <si>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</si>
  <si>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</si>
  <si>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</si>
  <si>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</si>
  <si>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</si>
  <si>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</si>
  <si>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</si>
  <si>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</si>
  <si>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</si>
  <si>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</si>
  <si>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</si>
  <si>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</si>
  <si>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</si>
  <si>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</si>
  <si>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</si>
  <si>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</si>
  <si>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</si>
  <si>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</si>
  <si>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</si>
  <si>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</si>
  <si>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</si>
  <si>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</si>
  <si>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</si>
  <si>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</si>
  <si>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</si>
  <si>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</si>
  <si>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</si>
  <si>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</si>
  <si>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</si>
  <si>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</si>
  <si>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</si>
  <si>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</si>
  <si>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</si>
  <si>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</si>
  <si>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</si>
  <si>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</si>
  <si>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</si>
  <si>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</si>
  <si>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</si>
  <si>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</si>
  <si>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</si>
  <si>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</si>
  <si>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</si>
  <si>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</si>
  <si>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</si>
  <si>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</si>
  <si>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</si>
  <si>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</si>
  <si>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</si>
  <si>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</si>
  <si>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</si>
  <si>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</si>
  <si>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</si>
  <si>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</si>
  <si>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</si>
  <si>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</si>
  <si>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</si>
  <si>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</si>
  <si>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</si>
  <si>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</si>
  <si>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</si>
  <si>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</si>
  <si>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</si>
  <si>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</si>
  <si>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</si>
  <si>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</si>
  <si>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</si>
  <si>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</si>
  <si>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</si>
  <si>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</si>
  <si>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</si>
  <si>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</si>
  <si>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</si>
  <si>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</si>
  <si>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</si>
  <si>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</si>
  <si>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</si>
  <si>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</si>
  <si>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</si>
  <si>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</si>
  <si>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</si>
  <si>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</si>
  <si>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</si>
  <si>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</si>
  <si>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</si>
  <si>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</si>
  <si>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</si>
  <si>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</si>
  <si>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</si>
  <si>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</si>
  <si>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</si>
  <si>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</si>
  <si>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</si>
  <si>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</si>
  <si>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</si>
  <si>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</si>
  <si>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</si>
  <si>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</si>
  <si>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</si>
  <si>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</si>
  <si>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</si>
  <si>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</si>
  <si>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</si>
  <si>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</si>
  <si>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</si>
  <si>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</si>
  <si>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</si>
  <si>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</si>
  <si>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</si>
  <si>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</si>
  <si>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</si>
  <si>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</si>
  <si>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</si>
  <si>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</si>
  <si>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</si>
  <si>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</si>
  <si>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</si>
  <si>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</si>
  <si>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</si>
  <si>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</si>
  <si>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</si>
  <si>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</si>
  <si>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</si>
  <si>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</si>
  <si>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</si>
  <si>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</si>
  <si>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</si>
  <si>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</si>
  <si>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</si>
  <si>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</si>
  <si>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</si>
  <si>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</si>
  <si>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</si>
  <si>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</si>
  <si>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</si>
  <si>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</si>
  <si>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</si>
  <si>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</si>
  <si>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</si>
  <si>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</si>
  <si>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</si>
  <si>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</si>
  <si>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</si>
  <si>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</si>
  <si>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</si>
  <si>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</si>
  <si>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</si>
  <si>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</si>
  <si>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</si>
  <si>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</si>
  <si>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</si>
  <si>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</si>
  <si>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</si>
  <si>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</si>
  <si>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</si>
  <si>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</si>
  <si>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</si>
  <si>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</si>
  <si>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</si>
  <si>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</si>
  <si>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</si>
  <si>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</si>
  <si>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</si>
  <si>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</si>
  <si>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</si>
  <si>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</si>
  <si>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</si>
  <si>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</si>
  <si>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</si>
  <si>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</si>
  <si>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</si>
  <si>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</si>
  <si>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</si>
  <si>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</si>
  <si>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</si>
  <si>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</si>
  <si>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</si>
  <si>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</si>
  <si>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</si>
  <si>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</si>
  <si>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</si>
  <si>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</si>
  <si>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</si>
  <si>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</si>
  <si>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</si>
  <si>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</si>
  <si>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</si>
  <si>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</si>
  <si>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</si>
  <si>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</si>
  <si>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</si>
  <si>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</si>
  <si>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</si>
  <si>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</si>
  <si>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</si>
  <si>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</si>
  <si>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</si>
  <si>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</si>
  <si>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</si>
  <si>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</si>
  <si>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</si>
  <si>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</si>
  <si>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</si>
  <si>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</si>
  <si>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</si>
  <si>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</si>
  <si>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</si>
  <si>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</si>
  <si>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</si>
  <si>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</si>
  <si>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</si>
  <si>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</si>
  <si>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</si>
  <si>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</si>
  <si>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</si>
  <si>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</si>
  <si>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</si>
  <si>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</si>
  <si>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</si>
  <si>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</si>
  <si>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</si>
  <si>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</si>
  <si>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</si>
  <si>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</si>
  <si>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</si>
  <si>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</si>
  <si>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</si>
  <si>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</si>
  <si>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</si>
  <si>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</si>
  <si>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</si>
  <si>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</si>
  <si>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</si>
  <si>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</si>
  <si>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</si>
  <si>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</si>
  <si>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</si>
  <si>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</si>
  <si>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</si>
  <si>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</si>
  <si>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</si>
  <si>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</si>
  <si>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</si>
  <si>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</si>
  <si>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</si>
  <si>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</si>
  <si>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</si>
  <si>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</si>
  <si>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</si>
  <si>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</si>
  <si>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</si>
  <si>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</si>
  <si>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</si>
  <si>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</si>
  <si>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</si>
  <si>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</si>
  <si>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</si>
  <si>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</si>
  <si>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</si>
  <si>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</si>
  <si>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</si>
  <si>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</si>
  <si>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</si>
  <si>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</si>
  <si>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</si>
  <si>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</si>
  <si>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</si>
  <si>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</si>
  <si>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</si>
  <si>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</si>
  <si>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</si>
  <si>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</si>
  <si>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</si>
  <si>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</si>
  <si>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</si>
  <si>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</si>
  <si>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</si>
  <si>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</si>
  <si>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</si>
  <si>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</si>
  <si>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</si>
  <si>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</si>
  <si>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</si>
  <si>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</si>
  <si>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</si>
  <si>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</si>
  <si>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</si>
  <si>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</si>
  <si>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</si>
  <si>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</si>
  <si>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</si>
  <si>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</si>
  <si>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</si>
  <si>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</si>
  <si>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</si>
  <si>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</si>
  <si>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</si>
  <si>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</si>
  <si>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</si>
  <si>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</si>
  <si>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</si>
  <si>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</si>
  <si>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</si>
  <si>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</si>
  <si>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</si>
  <si>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</si>
  <si>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</si>
  <si>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</si>
  <si>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</si>
  <si>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</si>
  <si>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</si>
  <si>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</si>
  <si>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</si>
  <si>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</si>
  <si>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</si>
  <si>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</si>
  <si>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</si>
  <si>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</si>
  <si>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</si>
  <si>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</si>
  <si>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</si>
  <si>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</si>
  <si>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</si>
  <si>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</si>
  <si>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</si>
  <si>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</si>
  <si>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</si>
  <si>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</si>
  <si>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</si>
  <si>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</si>
  <si>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</si>
  <si>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</si>
  <si>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</si>
  <si>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</si>
  <si>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</si>
  <si>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</si>
  <si>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</si>
  <si>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</si>
  <si>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</si>
  <si>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</si>
  <si>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</si>
  <si>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</si>
  <si>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</si>
  <si>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</si>
  <si>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</si>
  <si>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</si>
  <si>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</si>
  <si>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</si>
  <si>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</si>
  <si>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</si>
  <si>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</si>
  <si>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</si>
  <si>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</si>
  <si>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</si>
  <si>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</si>
  <si>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</si>
  <si>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</si>
  <si>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</si>
  <si>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</si>
  <si>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</si>
  <si>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</si>
  <si>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</si>
  <si>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</si>
  <si>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</si>
  <si>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</si>
  <si>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</si>
  <si>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</si>
  <si>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</si>
  <si>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</si>
  <si>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</si>
  <si>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</si>
  <si>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</si>
  <si>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</si>
  <si>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</si>
  <si>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</si>
  <si>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</si>
  <si>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</si>
  <si>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</si>
  <si>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</si>
  <si>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</si>
  <si>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</si>
  <si>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</si>
  <si>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</si>
  <si>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</si>
  <si>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</si>
  <si>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</si>
  <si>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</si>
  <si>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</si>
  <si>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</si>
  <si>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</si>
  <si>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</si>
  <si>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</si>
  <si>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</si>
  <si>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</si>
  <si>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</si>
  <si>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</si>
  <si>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</si>
  <si>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</si>
  <si>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</si>
  <si>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</si>
  <si>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</si>
  <si>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</si>
  <si>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</si>
  <si>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</si>
  <si>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</si>
  <si>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</si>
  <si>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</si>
  <si>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</si>
  <si>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</si>
  <si>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</si>
  <si>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</si>
  <si>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</si>
  <si>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</si>
  <si>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</si>
  <si>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</si>
  <si>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</si>
  <si>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</si>
  <si>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</si>
  <si>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</si>
  <si>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</si>
  <si>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</si>
  <si>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</si>
  <si>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</si>
  <si>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</si>
  <si>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</si>
  <si>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</si>
  <si>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</si>
  <si>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</si>
  <si>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</si>
  <si>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</si>
  <si>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</si>
  <si>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</si>
  <si>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</si>
  <si>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</si>
  <si>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</si>
  <si>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</si>
  <si>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</si>
  <si>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</si>
  <si>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</si>
  <si>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</si>
  <si>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</si>
  <si>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</si>
  <si>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</si>
  <si>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</si>
  <si>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</si>
  <si>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</si>
  <si>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</si>
  <si>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</si>
  <si>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</si>
  <si>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</si>
  <si>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</si>
  <si>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</si>
  <si>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</si>
  <si>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</si>
  <si>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</si>
  <si>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</si>
  <si>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</si>
  <si>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</si>
  <si>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</si>
  <si>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</si>
  <si>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</si>
  <si>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</si>
  <si>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</si>
  <si>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</si>
  <si>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</si>
  <si>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</si>
  <si>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</si>
  <si>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</si>
  <si>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</si>
  <si>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</si>
  <si>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</si>
  <si>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</si>
  <si>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</si>
  <si>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</si>
  <si>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</si>
  <si>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</si>
  <si>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</si>
  <si>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</si>
  <si>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</si>
  <si>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</si>
  <si>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</si>
  <si>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</si>
  <si>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</si>
  <si>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</si>
  <si>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</si>
  <si>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</si>
  <si>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</si>
  <si>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</si>
  <si>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</si>
  <si>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</si>
  <si>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</si>
  <si>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</si>
  <si>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</si>
  <si>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</si>
  <si>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</si>
  <si>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</si>
  <si>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</si>
  <si>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</si>
  <si>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</si>
  <si>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</si>
  <si>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</si>
  <si>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</si>
  <si>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</si>
  <si>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</si>
  <si>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</si>
  <si>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</si>
  <si>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</si>
  <si>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</si>
  <si>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</si>
  <si>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</si>
  <si>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</si>
  <si>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</si>
  <si>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</si>
  <si>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</si>
  <si>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</si>
  <si>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</si>
  <si>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</si>
  <si>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</si>
  <si>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</si>
  <si>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</si>
  <si>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</si>
  <si>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</si>
  <si>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</si>
  <si>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</si>
  <si>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</si>
  <si>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</si>
  <si>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</si>
  <si>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</si>
  <si>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</si>
  <si>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</si>
  <si>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</si>
  <si>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</si>
  <si>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</si>
  <si>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</si>
  <si>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</si>
  <si>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</si>
  <si>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</si>
  <si>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</si>
  <si>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</si>
  <si>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</si>
  <si>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</si>
  <si>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</si>
  <si>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</si>
  <si>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</si>
  <si>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</si>
  <si>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</si>
  <si>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</si>
  <si>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</si>
  <si>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</si>
  <si>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</si>
  <si>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</si>
  <si>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</si>
  <si>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</si>
  <si>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</si>
  <si>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</si>
  <si>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</si>
  <si>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</si>
  <si>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</si>
  <si>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</si>
  <si>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</si>
  <si>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</si>
  <si>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</si>
  <si>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</si>
  <si>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</si>
  <si>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</si>
  <si>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</si>
  <si>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</si>
  <si>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</si>
  <si>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</si>
  <si>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</si>
  <si>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</si>
  <si>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</si>
  <si>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</si>
  <si>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</si>
  <si>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</si>
  <si>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</si>
  <si>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</si>
  <si>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</si>
  <si>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</si>
  <si>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</si>
  <si>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</si>
  <si>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</si>
  <si>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</si>
  <si>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</si>
  <si>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</si>
  <si>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</si>
  <si>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</si>
  <si>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</si>
  <si>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</si>
  <si>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</si>
  <si>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</si>
  <si>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</si>
  <si>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</si>
  <si>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</si>
  <si>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</si>
  <si>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</si>
  <si>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</si>
  <si>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</si>
  <si>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</si>
  <si>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</si>
  <si>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</si>
  <si>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</si>
  <si>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</si>
  <si>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</si>
  <si>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</si>
  <si>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</si>
  <si>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</si>
  <si>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</si>
  <si>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</si>
  <si>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</si>
  <si>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</si>
  <si>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</si>
  <si>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</si>
  <si>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</si>
  <si>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</si>
  <si>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</si>
  <si>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</si>
  <si>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</si>
  <si>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</si>
  <si>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</si>
  <si>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</si>
  <si>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</si>
  <si>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</si>
  <si>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</si>
  <si>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</si>
  <si>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</si>
  <si>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</si>
  <si>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</si>
  <si>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</si>
  <si>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</si>
  <si>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</si>
  <si>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</si>
  <si>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</si>
  <si>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</si>
  <si>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</si>
  <si>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</si>
  <si>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</si>
  <si>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</si>
  <si>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</si>
  <si>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</si>
  <si>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</si>
  <si>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</si>
  <si>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</si>
  <si>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</si>
  <si>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</si>
  <si>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</si>
  <si>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</si>
  <si>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</si>
  <si>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</si>
  <si>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</si>
  <si>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</si>
  <si>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</si>
  <si>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</si>
  <si>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</si>
  <si>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</si>
  <si>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</si>
  <si>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</si>
  <si>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</si>
  <si>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</si>
  <si>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</si>
  <si>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</si>
  <si>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</si>
  <si>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</si>
  <si>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</si>
  <si>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</si>
  <si>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</si>
  <si>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</si>
  <si>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</si>
  <si>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</si>
  <si>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</si>
  <si>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</si>
  <si>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</si>
  <si>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</si>
  <si>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</si>
  <si>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</si>
  <si>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</si>
  <si>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</si>
  <si>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</si>
  <si>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</si>
  <si>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</si>
  <si>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</si>
  <si>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</si>
  <si>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</si>
  <si>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</si>
  <si>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</si>
  <si>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</si>
  <si>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</si>
  <si>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</si>
  <si>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</si>
  <si>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</si>
  <si>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</si>
  <si>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</si>
  <si>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</si>
  <si>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</si>
  <si>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</si>
  <si>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</si>
  <si>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</si>
  <si>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</si>
  <si>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</si>
  <si>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</si>
  <si>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</si>
  <si>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</si>
  <si>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</si>
  <si>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</si>
  <si>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</si>
  <si>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</si>
  <si>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</si>
  <si>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</si>
  <si>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</si>
  <si>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</si>
  <si>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</si>
  <si>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</si>
  <si>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</si>
  <si>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</si>
  <si>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</si>
  <si>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</si>
  <si>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</si>
  <si>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</si>
  <si>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</si>
  <si>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</si>
  <si>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</si>
  <si>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</si>
  <si>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</si>
  <si>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</si>
  <si>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</si>
  <si>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</si>
  <si>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</si>
  <si>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</si>
  <si>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</si>
  <si>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</si>
  <si>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</si>
  <si>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</si>
  <si>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</si>
  <si>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</si>
  <si>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</si>
  <si>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</si>
  <si>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</si>
  <si>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</si>
  <si>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</si>
  <si>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</si>
  <si>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</si>
  <si>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</si>
  <si>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</si>
  <si>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</si>
  <si>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</si>
  <si>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</si>
  <si>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</si>
  <si>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</si>
  <si>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</si>
  <si>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</si>
  <si>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</si>
  <si>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</si>
  <si>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</si>
  <si>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</si>
  <si>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</si>
  <si>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</si>
  <si>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</si>
  <si>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</si>
  <si>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</si>
  <si>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</si>
  <si>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</si>
  <si>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</si>
  <si>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</si>
  <si>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</si>
  <si>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</si>
  <si>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</si>
  <si>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</si>
  <si>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</si>
  <si>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</si>
  <si>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</si>
  <si>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</si>
  <si>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</si>
  <si>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</si>
  <si>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</si>
  <si>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</si>
  <si>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</si>
  <si>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</si>
  <si>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</si>
  <si>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</si>
  <si>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</si>
  <si>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</si>
  <si>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</si>
  <si>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</si>
  <si>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</si>
  <si>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</si>
  <si>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</si>
  <si>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</si>
  <si>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</si>
  <si>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</si>
  <si>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</si>
  <si>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</si>
  <si>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</si>
  <si>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</si>
  <si>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</si>
  <si>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</si>
  <si>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</si>
  <si>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</si>
  <si>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</si>
  <si>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</si>
  <si>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</si>
  <si>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</si>
  <si>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</si>
  <si>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</si>
  <si>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</si>
  <si>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</si>
  <si>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</si>
  <si>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</si>
  <si>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</si>
  <si>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</si>
  <si>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</si>
  <si>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</si>
  <si>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</si>
  <si>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</si>
  <si>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</si>
  <si>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</si>
  <si>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</si>
  <si>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</si>
  <si>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</si>
  <si>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</si>
  <si>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</si>
  <si>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</si>
  <si>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</si>
  <si>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</si>
  <si>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</si>
  <si>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</si>
  <si>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</si>
  <si>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</si>
  <si>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</si>
  <si>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</si>
  <si>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</si>
  <si>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</si>
  <si>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</si>
  <si>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</si>
  <si>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</si>
  <si>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</si>
  <si>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</si>
  <si>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</si>
  <si>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</si>
  <si>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</si>
  <si>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</si>
  <si>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</si>
  <si>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</si>
  <si>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</si>
  <si>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</si>
  <si>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</si>
  <si>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</si>
  <si>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</si>
  <si>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</si>
  <si>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</si>
  <si>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</si>
  <si>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</si>
  <si>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</si>
  <si>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</si>
  <si>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11040</t>
  </si>
  <si>
    <t>SCHOTEN</t>
  </si>
  <si>
    <t>Paarden&amp;pony's 200 - 600 kg</t>
  </si>
  <si>
    <t>Paarden&amp;pony's &lt; 200 kg</t>
  </si>
  <si>
    <t>referentietaak LNE (2017); Jaarverslag De Lijn (2015)</t>
  </si>
  <si>
    <t>op basis van VEA (maart 2018) en Inventaris Hernieuwbare Energiebronnen (juni 2018)</t>
  </si>
  <si>
    <t>VEA (januari 2017)</t>
  </si>
  <si>
    <t>VEA (juni 2018)</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</si>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</sst>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244591.42355062137</c:v>
                </c:pt>
                <c:pt idx="1">
                  <c:v>117578.44312962661</c:v>
                </c:pt>
                <c:pt idx="2">
                  <c:v>1886.914</c:v>
                </c:pt>
                <c:pt idx="3">
                  <c:v>1967.1510284905742</c:v>
                </c:pt>
                <c:pt idx="4">
                  <c:v>232273.88215776189</c:v>
                </c:pt>
                <c:pt idx="5">
                  <c:v>346896.81830880023</c:v>
                </c:pt>
                <c:pt idx="6">
                  <c:v>3852.7328308637493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244591.42355062137</c:v>
                </c:pt>
                <c:pt idx="1">
                  <c:v>117578.44312962661</c:v>
                </c:pt>
                <c:pt idx="2">
                  <c:v>1886.914</c:v>
                </c:pt>
                <c:pt idx="3">
                  <c:v>1967.1510284905742</c:v>
                </c:pt>
                <c:pt idx="4">
                  <c:v>232273.88215776189</c:v>
                </c:pt>
                <c:pt idx="5">
                  <c:v>346896.81830880023</c:v>
                </c:pt>
                <c:pt idx="6">
                  <c:v>3852.7328308637493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47917.372296091831</c:v>
                </c:pt>
                <c:pt idx="2">
                  <c:v>24659.787097802051</c:v>
                </c:pt>
                <c:pt idx="3">
                  <c:v>407.26454396001486</c:v>
                </c:pt>
                <c:pt idx="4">
                  <c:v>470.07912071119176</c:v>
                </c:pt>
                <c:pt idx="5">
                  <c:v>45016.418792316574</c:v>
                </c:pt>
                <c:pt idx="6">
                  <c:v>88925.755885494713</c:v>
                </c:pt>
                <c:pt idx="7">
                  <c:v>997.73224374825463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60320"/>
      </c:barChart>
      <c:catAx>
        <c:axId val="183852032"/>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47917.372296091831</c:v>
                </c:pt>
                <c:pt idx="2">
                  <c:v>24659.787097802051</c:v>
                </c:pt>
                <c:pt idx="3">
                  <c:v>407.26454396001486</c:v>
                </c:pt>
                <c:pt idx="4">
                  <c:v>470.07912071119176</c:v>
                </c:pt>
                <c:pt idx="5">
                  <c:v>45016.418792316574</c:v>
                </c:pt>
                <c:pt idx="6">
                  <c:v>88925.755885494713</c:v>
                </c:pt>
                <c:pt idx="7">
                  <c:v>997.73224374825463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11040</v>
      </c>
      <c r="B6" s="415"/>
      <c r="C6" s="416"/>
    </row>
    <row r="7" spans="1:7" s="413" customFormat="1" ht="15.75" customHeight="1">
      <c r="A7" s="417" t="str">
        <f>txtMunicipality</f>
        <v>SCHOTEN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0.21583630412409621</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0.21583630412409621</v>
      </c>
      <c r="C29" s="525">
        <f ca="1">'EF ele_warmte'!B22</f>
        <v>0.22444444444444442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14315</v>
      </c>
      <c r="C9" s="342">
        <v>14464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170.39</v>
      </c>
    </row>
    <row r="15" spans="1:6">
      <c r="A15" s="348" t="s">
        <v>184</v>
      </c>
      <c r="B15" s="334">
        <v>1</v>
      </c>
    </row>
    <row r="16" spans="1:6">
      <c r="A16" s="348" t="s">
        <v>6</v>
      </c>
      <c r="B16" s="334">
        <v>2</v>
      </c>
    </row>
    <row r="17" spans="1:6">
      <c r="A17" s="348" t="s">
        <v>7</v>
      </c>
      <c r="B17" s="334">
        <v>31</v>
      </c>
    </row>
    <row r="18" spans="1:6">
      <c r="A18" s="348" t="s">
        <v>8</v>
      </c>
      <c r="B18" s="334">
        <v>20</v>
      </c>
    </row>
    <row r="19" spans="1:6">
      <c r="A19" s="348" t="s">
        <v>9</v>
      </c>
      <c r="B19" s="334">
        <v>30</v>
      </c>
    </row>
    <row r="20" spans="1:6">
      <c r="A20" s="348" t="s">
        <v>10</v>
      </c>
      <c r="B20" s="334">
        <v>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30</v>
      </c>
    </row>
    <row r="29" spans="1:6">
      <c r="A29" s="355" t="s">
        <v>884</v>
      </c>
      <c r="B29" s="355">
        <v>35</v>
      </c>
      <c r="C29" s="356"/>
      <c r="D29" s="356"/>
      <c r="E29" s="356"/>
      <c r="F29" s="356"/>
    </row>
    <row r="30" spans="1:6">
      <c r="A30" s="355" t="s">
        <v>885</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954184.85562000005</v>
      </c>
      <c r="E38" s="334">
        <v>7</v>
      </c>
      <c r="F38" s="334">
        <v>1316471.7512999999</v>
      </c>
    </row>
    <row r="39" spans="1:6">
      <c r="A39" s="348" t="s">
        <v>30</v>
      </c>
      <c r="B39" s="348" t="s">
        <v>31</v>
      </c>
      <c r="C39" s="334">
        <v>11538</v>
      </c>
      <c r="D39" s="334">
        <v>190037802.34999999</v>
      </c>
      <c r="E39" s="334">
        <v>14293</v>
      </c>
      <c r="F39" s="334">
        <v>56356755.788999997</v>
      </c>
    </row>
    <row r="40" spans="1:6">
      <c r="A40" s="348" t="s">
        <v>30</v>
      </c>
      <c r="B40" s="348" t="s">
        <v>29</v>
      </c>
      <c r="C40" s="334">
        <v>0</v>
      </c>
      <c r="D40" s="334">
        <v>0</v>
      </c>
      <c r="E40" s="334">
        <v>0</v>
      </c>
      <c r="F40" s="334">
        <v>0</v>
      </c>
    </row>
    <row r="41" spans="1:6">
      <c r="A41" s="348" t="s">
        <v>32</v>
      </c>
      <c r="B41" s="348" t="s">
        <v>33</v>
      </c>
      <c r="C41" s="334">
        <v>131</v>
      </c>
      <c r="D41" s="334">
        <v>15731420.492000001</v>
      </c>
      <c r="E41" s="334">
        <v>218</v>
      </c>
      <c r="F41" s="334">
        <v>5188298.9892999995</v>
      </c>
    </row>
    <row r="42" spans="1:6">
      <c r="A42" s="348" t="s">
        <v>32</v>
      </c>
      <c r="B42" s="348" t="s">
        <v>34</v>
      </c>
      <c r="C42" s="334">
        <v>3</v>
      </c>
      <c r="D42" s="334">
        <v>439810.45434</v>
      </c>
      <c r="E42" s="334">
        <v>0</v>
      </c>
      <c r="F42" s="334">
        <v>0</v>
      </c>
    </row>
    <row r="43" spans="1:6">
      <c r="A43" s="348" t="s">
        <v>32</v>
      </c>
      <c r="B43" s="348" t="s">
        <v>35</v>
      </c>
      <c r="C43" s="334">
        <v>0</v>
      </c>
      <c r="D43" s="334">
        <v>0</v>
      </c>
      <c r="E43" s="334">
        <v>0</v>
      </c>
      <c r="F43" s="334">
        <v>0</v>
      </c>
    </row>
    <row r="44" spans="1:6">
      <c r="A44" s="348" t="s">
        <v>32</v>
      </c>
      <c r="B44" s="348" t="s">
        <v>36</v>
      </c>
      <c r="C44" s="334">
        <v>4</v>
      </c>
      <c r="D44" s="334">
        <v>234271.41047</v>
      </c>
      <c r="E44" s="334">
        <v>24</v>
      </c>
      <c r="F44" s="334">
        <v>775366.12866000005</v>
      </c>
    </row>
    <row r="45" spans="1:6">
      <c r="A45" s="348" t="s">
        <v>32</v>
      </c>
      <c r="B45" s="348" t="s">
        <v>37</v>
      </c>
      <c r="C45" s="334">
        <v>0</v>
      </c>
      <c r="D45" s="334">
        <v>0</v>
      </c>
      <c r="E45" s="334">
        <v>5</v>
      </c>
      <c r="F45" s="334">
        <v>399506.20042000001</v>
      </c>
    </row>
    <row r="46" spans="1:6">
      <c r="A46" s="348" t="s">
        <v>32</v>
      </c>
      <c r="B46" s="348" t="s">
        <v>38</v>
      </c>
      <c r="C46" s="334">
        <v>0</v>
      </c>
      <c r="D46" s="334">
        <v>0</v>
      </c>
      <c r="E46" s="334">
        <v>0</v>
      </c>
      <c r="F46" s="334">
        <v>0</v>
      </c>
    </row>
    <row r="47" spans="1:6">
      <c r="A47" s="348" t="s">
        <v>32</v>
      </c>
      <c r="B47" s="348" t="s">
        <v>39</v>
      </c>
      <c r="C47" s="334">
        <v>8</v>
      </c>
      <c r="D47" s="334">
        <v>276457.31530000002</v>
      </c>
      <c r="E47" s="334">
        <v>10</v>
      </c>
      <c r="F47" s="334">
        <v>274448.18352000002</v>
      </c>
    </row>
    <row r="48" spans="1:6">
      <c r="A48" s="348" t="s">
        <v>32</v>
      </c>
      <c r="B48" s="348" t="s">
        <v>29</v>
      </c>
      <c r="C48" s="334">
        <v>39</v>
      </c>
      <c r="D48" s="334">
        <v>76622394.636000007</v>
      </c>
      <c r="E48" s="334">
        <v>47</v>
      </c>
      <c r="F48" s="334">
        <v>10760164.947000001</v>
      </c>
    </row>
    <row r="49" spans="1:6">
      <c r="A49" s="348" t="s">
        <v>32</v>
      </c>
      <c r="B49" s="348" t="s">
        <v>40</v>
      </c>
      <c r="C49" s="334">
        <v>3</v>
      </c>
      <c r="D49" s="334">
        <v>84064.046369000003</v>
      </c>
      <c r="E49" s="334">
        <v>3</v>
      </c>
      <c r="F49" s="334">
        <v>33050.896901</v>
      </c>
    </row>
    <row r="50" spans="1:6">
      <c r="A50" s="348" t="s">
        <v>32</v>
      </c>
      <c r="B50" s="348" t="s">
        <v>41</v>
      </c>
      <c r="C50" s="334">
        <v>18</v>
      </c>
      <c r="D50" s="334">
        <v>59852432.336000003</v>
      </c>
      <c r="E50" s="334">
        <v>31</v>
      </c>
      <c r="F50" s="334">
        <v>38737746.538999997</v>
      </c>
    </row>
    <row r="51" spans="1:6">
      <c r="A51" s="348" t="s">
        <v>42</v>
      </c>
      <c r="B51" s="348" t="s">
        <v>43</v>
      </c>
      <c r="C51" s="334">
        <v>5</v>
      </c>
      <c r="D51" s="334">
        <v>141239.97607999999</v>
      </c>
      <c r="E51" s="334">
        <v>11</v>
      </c>
      <c r="F51" s="334">
        <v>224537.79058</v>
      </c>
    </row>
    <row r="52" spans="1:6">
      <c r="A52" s="348" t="s">
        <v>42</v>
      </c>
      <c r="B52" s="348" t="s">
        <v>29</v>
      </c>
      <c r="C52" s="334">
        <v>7</v>
      </c>
      <c r="D52" s="334">
        <v>619812.79781999998</v>
      </c>
      <c r="E52" s="334">
        <v>6</v>
      </c>
      <c r="F52" s="334">
        <v>40891.722670000003</v>
      </c>
    </row>
    <row r="53" spans="1:6">
      <c r="A53" s="348" t="s">
        <v>44</v>
      </c>
      <c r="B53" s="348" t="s">
        <v>45</v>
      </c>
      <c r="C53" s="334">
        <v>263</v>
      </c>
      <c r="D53" s="334">
        <v>7706032.4625000004</v>
      </c>
      <c r="E53" s="334">
        <v>546</v>
      </c>
      <c r="F53" s="334">
        <v>2406552.2820000001</v>
      </c>
    </row>
    <row r="54" spans="1:6">
      <c r="A54" s="348" t="s">
        <v>46</v>
      </c>
      <c r="B54" s="348" t="s">
        <v>47</v>
      </c>
      <c r="C54" s="334">
        <v>0</v>
      </c>
      <c r="D54" s="334">
        <v>0</v>
      </c>
      <c r="E54" s="334">
        <v>1</v>
      </c>
      <c r="F54" s="334">
        <v>1886914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3978377.7590999999</v>
      </c>
      <c r="E57" s="334">
        <v>117</v>
      </c>
      <c r="F57" s="334">
        <v>2413633.0931000002</v>
      </c>
    </row>
    <row r="58" spans="1:6">
      <c r="A58" s="348" t="s">
        <v>49</v>
      </c>
      <c r="B58" s="348" t="s">
        <v>51</v>
      </c>
      <c r="C58" s="334">
        <v>62</v>
      </c>
      <c r="D58" s="334">
        <v>3015968.5731000002</v>
      </c>
      <c r="E58" s="334">
        <v>96</v>
      </c>
      <c r="F58" s="334">
        <v>1261575.3095</v>
      </c>
    </row>
    <row r="59" spans="1:6">
      <c r="A59" s="348" t="s">
        <v>49</v>
      </c>
      <c r="B59" s="348" t="s">
        <v>52</v>
      </c>
      <c r="C59" s="334">
        <v>263</v>
      </c>
      <c r="D59" s="334">
        <v>15492126.541999999</v>
      </c>
      <c r="E59" s="334">
        <v>423</v>
      </c>
      <c r="F59" s="334">
        <v>20168551.629999999</v>
      </c>
    </row>
    <row r="60" spans="1:6">
      <c r="A60" s="348" t="s">
        <v>49</v>
      </c>
      <c r="B60" s="348" t="s">
        <v>53</v>
      </c>
      <c r="C60" s="334">
        <v>100</v>
      </c>
      <c r="D60" s="334">
        <v>5336043.0466</v>
      </c>
      <c r="E60" s="334">
        <v>120</v>
      </c>
      <c r="F60" s="334">
        <v>3162952.2261999999</v>
      </c>
    </row>
    <row r="61" spans="1:6">
      <c r="A61" s="348" t="s">
        <v>49</v>
      </c>
      <c r="B61" s="348" t="s">
        <v>54</v>
      </c>
      <c r="C61" s="334">
        <v>473</v>
      </c>
      <c r="D61" s="334">
        <v>27989272.296</v>
      </c>
      <c r="E61" s="334">
        <v>835</v>
      </c>
      <c r="F61" s="334">
        <v>13766456.530999999</v>
      </c>
    </row>
    <row r="62" spans="1:6">
      <c r="A62" s="348" t="s">
        <v>49</v>
      </c>
      <c r="B62" s="348" t="s">
        <v>55</v>
      </c>
      <c r="C62" s="334">
        <v>20</v>
      </c>
      <c r="D62" s="334">
        <v>3925889.3228000002</v>
      </c>
      <c r="E62" s="334">
        <v>25</v>
      </c>
      <c r="F62" s="334">
        <v>1049131.4471</v>
      </c>
    </row>
    <row r="63" spans="1:6">
      <c r="A63" s="348" t="s">
        <v>49</v>
      </c>
      <c r="B63" s="348" t="s">
        <v>29</v>
      </c>
      <c r="C63" s="334">
        <v>99</v>
      </c>
      <c r="D63" s="334">
        <v>4609231.8960999995</v>
      </c>
      <c r="E63" s="334">
        <v>101</v>
      </c>
      <c r="F63" s="334">
        <v>3465016.9515</v>
      </c>
    </row>
    <row r="64" spans="1:6">
      <c r="A64" s="348" t="s">
        <v>56</v>
      </c>
      <c r="B64" s="348" t="s">
        <v>57</v>
      </c>
      <c r="C64" s="334">
        <v>0</v>
      </c>
      <c r="D64" s="334">
        <v>0</v>
      </c>
      <c r="E64" s="334">
        <v>0</v>
      </c>
      <c r="F64" s="334">
        <v>0</v>
      </c>
    </row>
    <row r="65" spans="1:6">
      <c r="A65" s="348" t="s">
        <v>56</v>
      </c>
      <c r="B65" s="348" t="s">
        <v>29</v>
      </c>
      <c r="C65" s="334">
        <v>3</v>
      </c>
      <c r="D65" s="334">
        <v>155954.15505</v>
      </c>
      <c r="E65" s="334">
        <v>5</v>
      </c>
      <c r="F65" s="334">
        <v>26373.075728</v>
      </c>
    </row>
    <row r="66" spans="1:6">
      <c r="A66" s="348" t="s">
        <v>56</v>
      </c>
      <c r="B66" s="348" t="s">
        <v>58</v>
      </c>
      <c r="C66" s="334">
        <v>6</v>
      </c>
      <c r="D66" s="334">
        <v>247238.39092000001</v>
      </c>
      <c r="E66" s="334">
        <v>30</v>
      </c>
      <c r="F66" s="334">
        <v>553853.67601000005</v>
      </c>
    </row>
    <row r="67" spans="1:6">
      <c r="A67" s="355" t="s">
        <v>56</v>
      </c>
      <c r="B67" s="355" t="s">
        <v>59</v>
      </c>
      <c r="C67" s="334">
        <v>0</v>
      </c>
      <c r="D67" s="334">
        <v>0</v>
      </c>
      <c r="E67" s="334">
        <v>0</v>
      </c>
      <c r="F67" s="334">
        <v>0</v>
      </c>
    </row>
    <row r="68" spans="1:6">
      <c r="A68" s="341" t="s">
        <v>56</v>
      </c>
      <c r="B68" s="341" t="s">
        <v>60</v>
      </c>
      <c r="C68" s="334">
        <v>3</v>
      </c>
      <c r="D68" s="334">
        <v>119218.70187</v>
      </c>
      <c r="E68" s="334">
        <v>6</v>
      </c>
      <c r="F68" s="334">
        <v>40653.820145999998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84741028</v>
      </c>
      <c r="E73" s="475">
        <v>86594704.001701012</v>
      </c>
    </row>
    <row r="74" spans="1:6">
      <c r="A74" s="348" t="s">
        <v>64</v>
      </c>
      <c r="B74" s="348" t="s">
        <v>667</v>
      </c>
      <c r="C74" s="1294" t="s">
        <v>669</v>
      </c>
      <c r="D74" s="475">
        <v>3211659.2431377135</v>
      </c>
      <c r="E74" s="475">
        <v>3211945.8598309797</v>
      </c>
    </row>
    <row r="75" spans="1:6">
      <c r="A75" s="348" t="s">
        <v>65</v>
      </c>
      <c r="B75" s="348" t="s">
        <v>666</v>
      </c>
      <c r="C75" s="1294" t="s">
        <v>670</v>
      </c>
      <c r="D75" s="475">
        <v>42949198</v>
      </c>
      <c r="E75" s="475">
        <v>44033672.237008922</v>
      </c>
    </row>
    <row r="76" spans="1:6">
      <c r="A76" s="348" t="s">
        <v>65</v>
      </c>
      <c r="B76" s="348" t="s">
        <v>667</v>
      </c>
      <c r="C76" s="1294" t="s">
        <v>671</v>
      </c>
      <c r="D76" s="475">
        <v>1161047.2431377138</v>
      </c>
      <c r="E76" s="475">
        <v>1182522.6348281824</v>
      </c>
    </row>
    <row r="77" spans="1:6">
      <c r="A77" s="348" t="s">
        <v>66</v>
      </c>
      <c r="B77" s="348" t="s">
        <v>666</v>
      </c>
      <c r="C77" s="1294" t="s">
        <v>672</v>
      </c>
      <c r="D77" s="475">
        <v>197294000</v>
      </c>
      <c r="E77" s="475">
        <v>216426922.43343356</v>
      </c>
    </row>
    <row r="78" spans="1:6">
      <c r="A78" s="341" t="s">
        <v>66</v>
      </c>
      <c r="B78" s="341" t="s">
        <v>667</v>
      </c>
      <c r="C78" s="341" t="s">
        <v>673</v>
      </c>
      <c r="D78" s="1295">
        <v>43179557</v>
      </c>
      <c r="E78" s="1295">
        <v>44143305.118506521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1034791.5137245726</v>
      </c>
      <c r="C83" s="475">
        <v>1034791.5137245726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2812.2609185332199</v>
      </c>
    </row>
    <row r="92" spans="1:6">
      <c r="A92" s="341" t="s">
        <v>69</v>
      </c>
      <c r="B92" s="342">
        <v>1049.2268361558727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8882</v>
      </c>
    </row>
    <row r="98" spans="1:6">
      <c r="A98" s="348" t="s">
        <v>72</v>
      </c>
      <c r="B98" s="334">
        <v>10</v>
      </c>
    </row>
    <row r="99" spans="1:6">
      <c r="A99" s="348" t="s">
        <v>73</v>
      </c>
      <c r="B99" s="334">
        <v>48</v>
      </c>
    </row>
    <row r="100" spans="1:6">
      <c r="A100" s="348" t="s">
        <v>74</v>
      </c>
      <c r="B100" s="334">
        <v>1173</v>
      </c>
    </row>
    <row r="101" spans="1:6">
      <c r="A101" s="348" t="s">
        <v>75</v>
      </c>
      <c r="B101" s="334">
        <v>81</v>
      </c>
    </row>
    <row r="102" spans="1:6">
      <c r="A102" s="348" t="s">
        <v>76</v>
      </c>
      <c r="B102" s="334">
        <v>212</v>
      </c>
    </row>
    <row r="103" spans="1:6">
      <c r="A103" s="348" t="s">
        <v>77</v>
      </c>
      <c r="B103" s="334">
        <v>170</v>
      </c>
    </row>
    <row r="104" spans="1:6">
      <c r="A104" s="348" t="s">
        <v>78</v>
      </c>
      <c r="B104" s="334">
        <v>2394</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165264.21683345991</v>
      </c>
      <c r="C3" s="43" t="s">
        <v>170</v>
      </c>
      <c r="D3" s="43"/>
      <c r="E3" s="154"/>
      <c r="F3" s="43"/>
      <c r="G3" s="43"/>
      <c r="H3" s="43"/>
      <c r="I3" s="43"/>
      <c r="J3" s="43"/>
      <c r="K3" s="96"/>
    </row>
    <row r="4" spans="1:11">
      <c r="A4" s="383" t="s">
        <v>171</v>
      </c>
      <c r="B4" s="49">
        <f>IF(ISERROR('SEAP template'!B78+'SEAP template'!C78),0,'SEAP template'!B78+'SEAP template'!C78)</f>
        <v>3865.7377546890925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0.95388888888888879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0.21583630412409621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1.3663813813813812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6.0878378378378377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1886.914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1886.914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0.21583630412409621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407.26454396001486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56356.755788999995</v>
      </c>
      <c r="C5" s="17">
        <f>IF(ISERROR('Eigen informatie GS &amp; warmtenet'!B57),0,'Eigen informatie GS &amp; warmtenet'!B57)</f>
        <v>0</v>
      </c>
      <c r="D5" s="30">
        <f>(SUM(HH_hh_gas_kWh,HH_rest_gas_kWh)/1000)*0.902</f>
        <v>171414.09771969999</v>
      </c>
      <c r="E5" s="17">
        <f>B46*B57</f>
        <v>2294.725426879148</v>
      </c>
      <c r="F5" s="17">
        <f>B51*B62</f>
        <v>0</v>
      </c>
      <c r="G5" s="18"/>
      <c r="H5" s="17"/>
      <c r="I5" s="17"/>
      <c r="J5" s="17">
        <f>B50*B61+C50*C61</f>
        <v>0</v>
      </c>
      <c r="K5" s="17"/>
      <c r="L5" s="17"/>
      <c r="M5" s="17"/>
      <c r="N5" s="17">
        <f>B48*B59+C48*C59</f>
        <v>10997.727029842346</v>
      </c>
      <c r="O5" s="17">
        <f>B69*B70*B71</f>
        <v>239.19000000000003</v>
      </c>
      <c r="P5" s="17">
        <f>B77*B78*B79/1000-B77*B78*B79/1000/B80</f>
        <v>476.66666666666663</v>
      </c>
    </row>
    <row r="6" spans="1:16">
      <c r="A6" s="16" t="s">
        <v>624</v>
      </c>
      <c r="B6" s="788">
        <f>kWh_PV_kleiner_dan_10kW</f>
        <v>2812.2609185332199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59169.016707533214</v>
      </c>
      <c r="C8" s="21">
        <f>C5</f>
        <v>0</v>
      </c>
      <c r="D8" s="21">
        <f>D5</f>
        <v>171414.09771969999</v>
      </c>
      <c r="E8" s="21">
        <f>E5</f>
        <v>2294.725426879148</v>
      </c>
      <c r="F8" s="21">
        <f>F5</f>
        <v>0</v>
      </c>
      <c r="G8" s="21"/>
      <c r="H8" s="21"/>
      <c r="I8" s="21"/>
      <c r="J8" s="21">
        <f>J5</f>
        <v>0</v>
      </c>
      <c r="K8" s="21"/>
      <c r="L8" s="21">
        <f>L5</f>
        <v>0</v>
      </c>
      <c r="M8" s="21">
        <f>M5</f>
        <v>0</v>
      </c>
      <c r="N8" s="21">
        <f>N5</f>
        <v>10997.727029842346</v>
      </c>
      <c r="O8" s="21">
        <f>O5</f>
        <v>239.19000000000003</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0.21583630412409621</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12770.821884810868</v>
      </c>
      <c r="C12" s="23">
        <f ca="1">C10*C8</f>
        <v>0</v>
      </c>
      <c r="D12" s="23">
        <f>D8*D10</f>
        <v>34625.647739379398</v>
      </c>
      <c r="E12" s="23">
        <f>E10*E8</f>
        <v>520.90267190156658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8882</v>
      </c>
      <c r="C18" s="166" t="s">
        <v>111</v>
      </c>
      <c r="D18" s="228"/>
      <c r="E18" s="15"/>
    </row>
    <row r="19" spans="1:7">
      <c r="A19" s="171" t="s">
        <v>72</v>
      </c>
      <c r="B19" s="37">
        <f>aantalw2001_ander</f>
        <v>10</v>
      </c>
      <c r="C19" s="166" t="s">
        <v>111</v>
      </c>
      <c r="D19" s="229"/>
      <c r="E19" s="15"/>
    </row>
    <row r="20" spans="1:7">
      <c r="A20" s="171" t="s">
        <v>73</v>
      </c>
      <c r="B20" s="37">
        <f>aantalw2001_propaan</f>
        <v>48</v>
      </c>
      <c r="C20" s="167">
        <f>IF(ISERROR(B20/SUM($B$20,$B$21,$B$22)*100),0,B20/SUM($B$20,$B$21,$B$22)*100)</f>
        <v>3.6866359447004609</v>
      </c>
      <c r="D20" s="229"/>
      <c r="E20" s="15"/>
    </row>
    <row r="21" spans="1:7">
      <c r="A21" s="171" t="s">
        <v>74</v>
      </c>
      <c r="B21" s="37">
        <f>aantalw2001_elektriciteit</f>
        <v>1173</v>
      </c>
      <c r="C21" s="167">
        <f>IF(ISERROR(B21/SUM($B$20,$B$21,$B$22)*100),0,B21/SUM($B$20,$B$21,$B$22)*100)</f>
        <v>90.092165898617509</v>
      </c>
      <c r="D21" s="229"/>
      <c r="E21" s="15"/>
    </row>
    <row r="22" spans="1:7">
      <c r="A22" s="171" t="s">
        <v>75</v>
      </c>
      <c r="B22" s="37">
        <f>aantalw2001_hout</f>
        <v>81</v>
      </c>
      <c r="C22" s="167">
        <f>IF(ISERROR(B22/SUM($B$20,$B$21,$B$22)*100),0,B22/SUM($B$20,$B$21,$B$22)*100)</f>
        <v>6.2211981566820276</v>
      </c>
      <c r="D22" s="229"/>
      <c r="E22" s="15"/>
    </row>
    <row r="23" spans="1:7">
      <c r="A23" s="171" t="s">
        <v>76</v>
      </c>
      <c r="B23" s="37">
        <f>aantalw2001_niet_gespec</f>
        <v>212</v>
      </c>
      <c r="C23" s="166" t="s">
        <v>111</v>
      </c>
      <c r="D23" s="228"/>
      <c r="E23" s="15"/>
    </row>
    <row r="24" spans="1:7">
      <c r="A24" s="171" t="s">
        <v>77</v>
      </c>
      <c r="B24" s="37">
        <f>aantalw2001_steenkool</f>
        <v>170</v>
      </c>
      <c r="C24" s="166" t="s">
        <v>111</v>
      </c>
      <c r="D24" s="229"/>
      <c r="E24" s="15"/>
    </row>
    <row r="25" spans="1:7">
      <c r="A25" s="171" t="s">
        <v>78</v>
      </c>
      <c r="B25" s="37">
        <f>aantalw2001_stookolie</f>
        <v>2394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14315</v>
      </c>
      <c r="C28" s="36"/>
      <c r="D28" s="228"/>
    </row>
    <row r="29" spans="1:7" s="15" customFormat="1">
      <c r="A29" s="230" t="s">
        <v>699</v>
      </c>
      <c r="B29" s="37">
        <f>SUM(HH_hh_gas_aantal,HH_rest_gas_aantal)</f>
        <v>11538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11538</v>
      </c>
      <c r="C32" s="167">
        <f>IF(ISERROR(B32/SUM($B$32,$B$34,$B$35,$B$36,$B$38,$B$39)*100),0,B32/SUM($B$32,$B$34,$B$35,$B$36,$B$38,$B$39)*100)</f>
        <v>80.74177746675997</v>
      </c>
      <c r="D32" s="233"/>
      <c r="G32" s="15"/>
    </row>
    <row r="33" spans="1:7">
      <c r="A33" s="171" t="s">
        <v>72</v>
      </c>
      <c r="B33" s="34" t="s">
        <v>111</v>
      </c>
      <c r="C33" s="167"/>
      <c r="D33" s="233"/>
      <c r="G33" s="15"/>
    </row>
    <row r="34" spans="1:7">
      <c r="A34" s="171" t="s">
        <v>73</v>
      </c>
      <c r="B34" s="33">
        <f>IF((($B$28-$B$32-$B$39-$B$77-$B$38)*C20/100)&lt;0,0,($B$28-$B$32-$B$39-$B$77-$B$38)*C20/100)</f>
        <v>101.4562211981567</v>
      </c>
      <c r="C34" s="167">
        <f>IF(ISERROR(B34/SUM($B$32,$B$34,$B$35,$B$36,$B$38,$B$39)*100),0,B34/SUM($B$32,$B$34,$B$35,$B$36,$B$38,$B$39)*100)</f>
        <v>0.70998055422083062</v>
      </c>
      <c r="D34" s="233"/>
      <c r="G34" s="15"/>
    </row>
    <row r="35" spans="1:7">
      <c r="A35" s="171" t="s">
        <v>74</v>
      </c>
      <c r="B35" s="33">
        <f>IF((($B$28-$B$32-$B$39-$B$77-$B$38)*C21/100)&lt;0,0,($B$28-$B$32-$B$39-$B$77-$B$38)*C21/100)</f>
        <v>2479.3364055299539</v>
      </c>
      <c r="C35" s="167">
        <f>IF(ISERROR(B35/SUM($B$32,$B$34,$B$35,$B$36,$B$38,$B$39)*100),0,B35/SUM($B$32,$B$34,$B$35,$B$36,$B$38,$B$39)*100)</f>
        <v>17.350149793771546</v>
      </c>
      <c r="D35" s="233"/>
      <c r="G35" s="15"/>
    </row>
    <row r="36" spans="1:7">
      <c r="A36" s="171" t="s">
        <v>75</v>
      </c>
      <c r="B36" s="33">
        <f>IF((($B$28-$B$32-$B$39-$B$77-$B$38)*C22/100)&lt;0,0,($B$28-$B$32-$B$39-$B$77-$B$38)*C22/100)</f>
        <v>171.20737327188942</v>
      </c>
      <c r="C36" s="167">
        <f>IF(ISERROR(B36/SUM($B$32,$B$34,$B$35,$B$36,$B$38,$B$39)*100),0,B36/SUM($B$32,$B$34,$B$35,$B$36,$B$38,$B$39)*100)</f>
        <v>1.1980921852476516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11538</v>
      </c>
      <c r="C44" s="34" t="s">
        <v>111</v>
      </c>
      <c r="D44" s="174"/>
    </row>
    <row r="45" spans="1:7">
      <c r="A45" s="171" t="s">
        <v>72</v>
      </c>
      <c r="B45" s="33" t="str">
        <f t="shared" si="0"/>
        <v>-</v>
      </c>
      <c r="C45" s="34" t="s">
        <v>111</v>
      </c>
      <c r="D45" s="174"/>
    </row>
    <row r="46" spans="1:7">
      <c r="A46" s="171" t="s">
        <v>73</v>
      </c>
      <c r="B46" s="33">
        <f t="shared" si="0"/>
        <v>101.4562211981567</v>
      </c>
      <c r="C46" s="34" t="s">
        <v>111</v>
      </c>
      <c r="D46" s="174"/>
    </row>
    <row r="47" spans="1:7">
      <c r="A47" s="171" t="s">
        <v>74</v>
      </c>
      <c r="B47" s="33">
        <f t="shared" si="0"/>
        <v>2479.3364055299539</v>
      </c>
      <c r="C47" s="34" t="s">
        <v>111</v>
      </c>
      <c r="D47" s="174"/>
    </row>
    <row r="48" spans="1:7">
      <c r="A48" s="171" t="s">
        <v>75</v>
      </c>
      <c r="B48" s="33">
        <f t="shared" si="0"/>
        <v>171.20737327188942</v>
      </c>
      <c r="C48" s="33">
        <f>B48*10</f>
        <v>1712.0737327188942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45287.317188399997</v>
      </c>
      <c r="C5" s="17">
        <f>IF(ISERROR('Eigen informatie GS &amp; warmtenet'!B58),0,'Eigen informatie GS &amp; warmtenet'!B58)</f>
        <v>0</v>
      </c>
      <c r="D5" s="30">
        <f>SUM(D6:D12)</f>
        <v>58040.912311001397</v>
      </c>
      <c r="E5" s="17">
        <f>SUM(E6:E12)</f>
        <v>988.09018366116288</v>
      </c>
      <c r="F5" s="17">
        <f>SUM(F6:F12)</f>
        <v>10998.560892303891</v>
      </c>
      <c r="G5" s="18"/>
      <c r="H5" s="17"/>
      <c r="I5" s="17"/>
      <c r="J5" s="17">
        <f>SUM(J6:J12)</f>
        <v>0</v>
      </c>
      <c r="K5" s="17"/>
      <c r="L5" s="17"/>
      <c r="M5" s="17"/>
      <c r="N5" s="17">
        <f>SUM(N6:N12)</f>
        <v>2263.1478695754777</v>
      </c>
      <c r="O5" s="17">
        <f>B38*B39*B40</f>
        <v>1.5633333333333335</v>
      </c>
      <c r="P5" s="17">
        <f>B46*B47*B48/1000-B46*B47*B48/1000/B49</f>
        <v>0</v>
      </c>
      <c r="R5" s="32"/>
    </row>
    <row r="6" spans="1:18">
      <c r="A6" s="32" t="s">
        <v>54</v>
      </c>
      <c r="B6" s="37">
        <f>B26</f>
        <v>13766.456531</v>
      </c>
      <c r="C6" s="33"/>
      <c r="D6" s="37">
        <f>IF(ISERROR(TER_kantoor_gas_kWh/1000),0,TER_kantoor_gas_kWh/1000)*0.902</f>
        <v>25246.323610992</v>
      </c>
      <c r="E6" s="33">
        <f>$C$26*'E Balans VL '!I12/100/3.6*1000000</f>
        <v>180.21987380628474</v>
      </c>
      <c r="F6" s="33">
        <f>$C$26*('E Balans VL '!L12+'E Balans VL '!N12)/100/3.6*1000000</f>
        <v>3510.3041581572138</v>
      </c>
      <c r="G6" s="34"/>
      <c r="H6" s="33"/>
      <c r="I6" s="33"/>
      <c r="J6" s="33">
        <f>$C$26*('E Balans VL '!D12+'E Balans VL '!E12)/100/3.6*1000000</f>
        <v>0</v>
      </c>
      <c r="K6" s="33"/>
      <c r="L6" s="33"/>
      <c r="M6" s="33"/>
      <c r="N6" s="33">
        <f>$C$26*'E Balans VL '!Y12/100/3.6*1000000</f>
        <v>13.812814335998059</v>
      </c>
      <c r="O6" s="33"/>
      <c r="P6" s="33"/>
      <c r="R6" s="32"/>
    </row>
    <row r="7" spans="1:18">
      <c r="A7" s="32" t="s">
        <v>53</v>
      </c>
      <c r="B7" s="37">
        <f t="shared" ref="B7:B12" si="0">B27</f>
        <v>3162.9522262</v>
      </c>
      <c r="C7" s="33"/>
      <c r="D7" s="37">
        <f>IF(ISERROR(TER_horeca_gas_kWh/1000),0,TER_horeca_gas_kWh/1000)*0.902</f>
        <v>4813.1108280332001</v>
      </c>
      <c r="E7" s="33">
        <f>$C$27*'E Balans VL '!I9/100/3.6*1000000</f>
        <v>104.67447909423825</v>
      </c>
      <c r="F7" s="33">
        <f>$C$27*('E Balans VL '!L9+'E Balans VL '!N9)/100/3.6*1000000</f>
        <v>1360.0573353647644</v>
      </c>
      <c r="G7" s="34"/>
      <c r="H7" s="33"/>
      <c r="I7" s="33"/>
      <c r="J7" s="33">
        <f>$C$27*('E Balans VL '!D9+'E Balans VL '!E9)/100/3.6*1000000</f>
        <v>0</v>
      </c>
      <c r="K7" s="33"/>
      <c r="L7" s="33"/>
      <c r="M7" s="33"/>
      <c r="N7" s="33">
        <f>$C$27*'E Balans VL '!Y9/100/3.6*1000000</f>
        <v>0.76136853195318444</v>
      </c>
      <c r="O7" s="33"/>
      <c r="P7" s="33"/>
      <c r="R7" s="32"/>
    </row>
    <row r="8" spans="1:18">
      <c r="A8" s="6" t="s">
        <v>52</v>
      </c>
      <c r="B8" s="37">
        <f t="shared" si="0"/>
        <v>20168.551629999998</v>
      </c>
      <c r="C8" s="33"/>
      <c r="D8" s="37">
        <f>IF(ISERROR(TER_handel_gas_kWh/1000),0,TER_handel_gas_kWh/1000)*0.902</f>
        <v>13973.898140884001</v>
      </c>
      <c r="E8" s="33">
        <f>$C$28*'E Balans VL '!I13/100/3.6*1000000</f>
        <v>636.55030607238473</v>
      </c>
      <c r="F8" s="33">
        <f>$C$28*('E Balans VL '!L13+'E Balans VL '!N13)/100/3.6*1000000</f>
        <v>3955.4081207877762</v>
      </c>
      <c r="G8" s="34"/>
      <c r="H8" s="33"/>
      <c r="I8" s="33"/>
      <c r="J8" s="33">
        <f>$C$28*('E Balans VL '!D13+'E Balans VL '!E13)/100/3.6*1000000</f>
        <v>0</v>
      </c>
      <c r="K8" s="33"/>
      <c r="L8" s="33"/>
      <c r="M8" s="33"/>
      <c r="N8" s="33">
        <f>$C$28*'E Balans VL '!Y13/100/3.6*1000000</f>
        <v>23.936155108581694</v>
      </c>
      <c r="O8" s="33"/>
      <c r="P8" s="33"/>
      <c r="R8" s="32"/>
    </row>
    <row r="9" spans="1:18">
      <c r="A9" s="32" t="s">
        <v>51</v>
      </c>
      <c r="B9" s="37">
        <f t="shared" si="0"/>
        <v>1261.5753095</v>
      </c>
      <c r="C9" s="33"/>
      <c r="D9" s="37">
        <f>IF(ISERROR(TER_gezond_gas_kWh/1000),0,TER_gezond_gas_kWh/1000)*0.902</f>
        <v>2720.4036529362002</v>
      </c>
      <c r="E9" s="33">
        <f>$C$29*'E Balans VL '!I10/100/3.6*1000000</f>
        <v>0.16151854618279191</v>
      </c>
      <c r="F9" s="33">
        <f>$C$29*('E Balans VL '!L10+'E Balans VL '!N10)/100/3.6*1000000</f>
        <v>262.83901443594112</v>
      </c>
      <c r="G9" s="34"/>
      <c r="H9" s="33"/>
      <c r="I9" s="33"/>
      <c r="J9" s="33">
        <f>$C$29*('E Balans VL '!D10+'E Balans VL '!E10)/100/3.6*1000000</f>
        <v>0</v>
      </c>
      <c r="K9" s="33"/>
      <c r="L9" s="33"/>
      <c r="M9" s="33"/>
      <c r="N9" s="33">
        <f>$C$29*'E Balans VL '!Y10/100/3.6*1000000</f>
        <v>14.817798308961695</v>
      </c>
      <c r="O9" s="33"/>
      <c r="P9" s="33"/>
      <c r="R9" s="32"/>
    </row>
    <row r="10" spans="1:18">
      <c r="A10" s="32" t="s">
        <v>50</v>
      </c>
      <c r="B10" s="37">
        <f t="shared" si="0"/>
        <v>2413.6330931000002</v>
      </c>
      <c r="C10" s="33"/>
      <c r="D10" s="37">
        <f>IF(ISERROR(TER_ander_gas_kWh/1000),0,TER_ander_gas_kWh/1000)*0.902</f>
        <v>3588.4967387082002</v>
      </c>
      <c r="E10" s="33">
        <f>$C$30*'E Balans VL '!I14/100/3.6*1000000</f>
        <v>3.6295365685770373</v>
      </c>
      <c r="F10" s="33">
        <f>$C$30*('E Balans VL '!L14+'E Balans VL '!N14)/100/3.6*1000000</f>
        <v>532.85238446644826</v>
      </c>
      <c r="G10" s="34"/>
      <c r="H10" s="33"/>
      <c r="I10" s="33"/>
      <c r="J10" s="33">
        <f>$C$30*('E Balans VL '!D14+'E Balans VL '!E14)/100/3.6*1000000</f>
        <v>0</v>
      </c>
      <c r="K10" s="33"/>
      <c r="L10" s="33"/>
      <c r="M10" s="33"/>
      <c r="N10" s="33">
        <f>$C$30*'E Balans VL '!Y14/100/3.6*1000000</f>
        <v>1902.1053087456933</v>
      </c>
      <c r="O10" s="33"/>
      <c r="P10" s="33"/>
      <c r="R10" s="32"/>
    </row>
    <row r="11" spans="1:18">
      <c r="A11" s="32" t="s">
        <v>55</v>
      </c>
      <c r="B11" s="37">
        <f t="shared" si="0"/>
        <v>1049.1314471000001</v>
      </c>
      <c r="C11" s="33"/>
      <c r="D11" s="37">
        <f>IF(ISERROR(TER_onderwijs_gas_kWh/1000),0,TER_onderwijs_gas_kWh/1000)*0.902</f>
        <v>3541.1521691656003</v>
      </c>
      <c r="E11" s="33">
        <f>$C$31*'E Balans VL '!I11/100/3.6*1000000</f>
        <v>1.8476083952544702</v>
      </c>
      <c r="F11" s="33">
        <f>$C$31*('E Balans VL '!L11+'E Balans VL '!N11)/100/3.6*1000000</f>
        <v>484.40297312820724</v>
      </c>
      <c r="G11" s="34"/>
      <c r="H11" s="33"/>
      <c r="I11" s="33"/>
      <c r="J11" s="33">
        <f>$C$31*('E Balans VL '!D11+'E Balans VL '!E11)/100/3.6*1000000</f>
        <v>0</v>
      </c>
      <c r="K11" s="33"/>
      <c r="L11" s="33"/>
      <c r="M11" s="33"/>
      <c r="N11" s="33">
        <f>$C$31*'E Balans VL '!Y11/100/3.6*1000000</f>
        <v>1.9545463941539207</v>
      </c>
      <c r="O11" s="33"/>
      <c r="P11" s="33"/>
      <c r="R11" s="32"/>
    </row>
    <row r="12" spans="1:18">
      <c r="A12" s="32" t="s">
        <v>260</v>
      </c>
      <c r="B12" s="37">
        <f t="shared" si="0"/>
        <v>3465.0169514999998</v>
      </c>
      <c r="C12" s="33"/>
      <c r="D12" s="37">
        <f>IF(ISERROR(TER_rest_gas_kWh/1000),0,TER_rest_gas_kWh/1000)*0.902</f>
        <v>4157.5271702821992</v>
      </c>
      <c r="E12" s="33">
        <f>$C$32*'E Balans VL '!I8/100/3.6*1000000</f>
        <v>61.006861178240754</v>
      </c>
      <c r="F12" s="33">
        <f>$C$32*('E Balans VL '!L8+'E Balans VL '!N8)/100/3.6*1000000</f>
        <v>892.69690596353826</v>
      </c>
      <c r="G12" s="34"/>
      <c r="H12" s="33"/>
      <c r="I12" s="33"/>
      <c r="J12" s="33">
        <f>$C$32*('E Balans VL '!D8+'E Balans VL '!E8)/100/3.6*1000000</f>
        <v>0</v>
      </c>
      <c r="K12" s="33"/>
      <c r="L12" s="33"/>
      <c r="M12" s="33"/>
      <c r="N12" s="33">
        <f>$C$32*'E Balans VL '!Y8/100/3.6*1000000</f>
        <v>305.75987815013576</v>
      </c>
      <c r="O12" s="33"/>
      <c r="P12" s="33"/>
      <c r="R12" s="32"/>
    </row>
    <row r="13" spans="1:18">
      <c r="A13" s="16" t="s">
        <v>491</v>
      </c>
      <c r="B13" s="247">
        <f ca="1">'lokale energieproductie'!N91+'lokale energieproductie'!N60</f>
        <v>4.25</v>
      </c>
      <c r="C13" s="247">
        <f ca="1">'lokale energieproductie'!O91+'lokale energieproductie'!O60</f>
        <v>6.0878378378378377</v>
      </c>
      <c r="D13" s="310">
        <f ca="1">('lokale energieproductie'!P60+'lokale energieproductie'!P91)*(-1)</f>
        <v>-11.486486486486486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45291.567188399997</v>
      </c>
      <c r="C16" s="21">
        <f t="shared" ca="1" si="1"/>
        <v>6.0878378378378377</v>
      </c>
      <c r="D16" s="21">
        <f t="shared" ca="1" si="1"/>
        <v>58029.42582451491</v>
      </c>
      <c r="E16" s="21">
        <f t="shared" si="1"/>
        <v>988.09018366116288</v>
      </c>
      <c r="F16" s="21">
        <f t="shared" ca="1" si="1"/>
        <v>10998.560892303891</v>
      </c>
      <c r="G16" s="21">
        <f t="shared" si="1"/>
        <v>0</v>
      </c>
      <c r="H16" s="21">
        <f t="shared" si="1"/>
        <v>0</v>
      </c>
      <c r="I16" s="21">
        <f t="shared" si="1"/>
        <v>0</v>
      </c>
      <c r="J16" s="21">
        <f t="shared" si="1"/>
        <v>0</v>
      </c>
      <c r="K16" s="21">
        <f t="shared" si="1"/>
        <v>0</v>
      </c>
      <c r="L16" s="21">
        <f t="shared" ca="1" si="1"/>
        <v>0</v>
      </c>
      <c r="M16" s="21">
        <f t="shared" si="1"/>
        <v>0</v>
      </c>
      <c r="N16" s="21">
        <f t="shared" ca="1" si="1"/>
        <v>2263.1478695754777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0.21583630412409621</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9775.5644699324384</v>
      </c>
      <c r="C20" s="23">
        <f t="shared" ref="C20:P20" ca="1" si="2">C16*C18</f>
        <v>1.3663813813813812</v>
      </c>
      <c r="D20" s="23">
        <f t="shared" ca="1" si="2"/>
        <v>11721.944016552012</v>
      </c>
      <c r="E20" s="23">
        <f t="shared" si="2"/>
        <v>224.29647169108398</v>
      </c>
      <c r="F20" s="23">
        <f t="shared" ca="1" si="2"/>
        <v>2936.6157582451392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13766.456531</v>
      </c>
      <c r="C26" s="39">
        <f>IF(ISERROR(B26*3.6/1000000/'E Balans VL '!Z12*100),0,B26*3.6/1000000/'E Balans VL '!Z12*100)</f>
        <v>0.29488819363765068</v>
      </c>
      <c r="D26" s="237" t="s">
        <v>660</v>
      </c>
      <c r="F26" s="6"/>
    </row>
    <row r="27" spans="1:18">
      <c r="A27" s="231" t="s">
        <v>53</v>
      </c>
      <c r="B27" s="33">
        <f>IF(ISERROR(TER_horeca_ele_kWh/1000),0,TER_horeca_ele_kWh/1000)</f>
        <v>3162.9522262</v>
      </c>
      <c r="C27" s="39">
        <f>IF(ISERROR(B27*3.6/1000000/'E Balans VL '!Z9*100),0,B27*3.6/1000000/'E Balans VL '!Z9*100)</f>
        <v>0.25381592184283241</v>
      </c>
      <c r="D27" s="237" t="s">
        <v>660</v>
      </c>
      <c r="F27" s="6"/>
    </row>
    <row r="28" spans="1:18">
      <c r="A28" s="171" t="s">
        <v>52</v>
      </c>
      <c r="B28" s="33">
        <f>IF(ISERROR(TER_handel_ele_kWh/1000),0,TER_handel_ele_kWh/1000)</f>
        <v>20168.551629999998</v>
      </c>
      <c r="C28" s="39">
        <f>IF(ISERROR(B28*3.6/1000000/'E Balans VL '!Z13*100),0,B28*3.6/1000000/'E Balans VL '!Z13*100)</f>
        <v>0.59485659088703824</v>
      </c>
      <c r="D28" s="237" t="s">
        <v>660</v>
      </c>
      <c r="F28" s="6"/>
    </row>
    <row r="29" spans="1:18">
      <c r="A29" s="231" t="s">
        <v>51</v>
      </c>
      <c r="B29" s="33">
        <f>IF(ISERROR(TER_gezond_ele_kWh/1000),0,TER_gezond_ele_kWh/1000)</f>
        <v>1261.5753095</v>
      </c>
      <c r="C29" s="39">
        <f>IF(ISERROR(B29*3.6/1000000/'E Balans VL '!Z10*100),0,B29*3.6/1000000/'E Balans VL '!Z10*100)</f>
        <v>0.13470241895215893</v>
      </c>
      <c r="D29" s="237" t="s">
        <v>660</v>
      </c>
      <c r="F29" s="6"/>
    </row>
    <row r="30" spans="1:18">
      <c r="A30" s="231" t="s">
        <v>50</v>
      </c>
      <c r="B30" s="33">
        <f>IF(ISERROR(TER_ander_ele_kWh/1000),0,TER_ander_ele_kWh/1000)</f>
        <v>2413.6330931000002</v>
      </c>
      <c r="C30" s="39">
        <f>IF(ISERROR(B30*3.6/1000000/'E Balans VL '!Z14*100),0,B30*3.6/1000000/'E Balans VL '!Z14*100)</f>
        <v>0.18231118547669048</v>
      </c>
      <c r="D30" s="237" t="s">
        <v>660</v>
      </c>
      <c r="F30" s="6"/>
    </row>
    <row r="31" spans="1:18">
      <c r="A31" s="231" t="s">
        <v>55</v>
      </c>
      <c r="B31" s="33">
        <f>IF(ISERROR(TER_onderwijs_ele_kWh/1000),0,TER_onderwijs_ele_kWh/1000)</f>
        <v>1049.1314471000001</v>
      </c>
      <c r="C31" s="39">
        <f>IF(ISERROR(B31*3.6/1000000/'E Balans VL '!Z11*100),0,B31*3.6/1000000/'E Balans VL '!Z11*100)</f>
        <v>0.21185466188284635</v>
      </c>
      <c r="D31" s="237" t="s">
        <v>660</v>
      </c>
    </row>
    <row r="32" spans="1:18">
      <c r="A32" s="231" t="s">
        <v>260</v>
      </c>
      <c r="B32" s="33">
        <f>IF(ISERROR(TER_rest_ele_kWh/1000),0,TER_rest_ele_kWh/1000)</f>
        <v>3465.0169514999998</v>
      </c>
      <c r="C32" s="39">
        <f>IF(ISERROR(B32*3.6/1000000/'E Balans VL '!Z8*100),0,B32*3.6/1000000/'E Balans VL '!Z8*100)</f>
        <v>2.8729815529231824E-2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56168.581884800995</v>
      </c>
      <c r="C5" s="17">
        <f>IF(ISERROR('Eigen informatie GS &amp; warmtenet'!B59),0,'Eigen informatie GS &amp; warmtenet'!B59)</f>
        <v>0</v>
      </c>
      <c r="D5" s="30">
        <f>SUM(D6:D15)</f>
        <v>138223.24732281207</v>
      </c>
      <c r="E5" s="17">
        <f>SUM(E6:E15)</f>
        <v>2930.3447564600415</v>
      </c>
      <c r="F5" s="17">
        <f>SUM(F6:F15)</f>
        <v>15990.13447834981</v>
      </c>
      <c r="G5" s="18"/>
      <c r="H5" s="17"/>
      <c r="I5" s="17"/>
      <c r="J5" s="17">
        <f>SUM(J6:J15)</f>
        <v>106.0721631796423</v>
      </c>
      <c r="K5" s="17"/>
      <c r="L5" s="17"/>
      <c r="M5" s="17"/>
      <c r="N5" s="17">
        <f>SUM(N6:N15)</f>
        <v>18855.501552159301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775.36612866000007</v>
      </c>
      <c r="C8" s="33"/>
      <c r="D8" s="37">
        <f>IF( ISERROR(IND_metaal_Gas_kWH/1000),0,IND_metaal_Gas_kWH/1000)*0.902</f>
        <v>211.31281224394002</v>
      </c>
      <c r="E8" s="33">
        <f>C30*'E Balans VL '!I18/100/3.6*1000000</f>
        <v>27.90001895073236</v>
      </c>
      <c r="F8" s="33">
        <f>C30*'E Balans VL '!L18/100/3.6*1000000+C30*'E Balans VL '!N18/100/3.6*1000000</f>
        <v>338.5772537201662</v>
      </c>
      <c r="G8" s="34"/>
      <c r="H8" s="33"/>
      <c r="I8" s="33"/>
      <c r="J8" s="40">
        <f>C30*'E Balans VL '!D18/100/3.6*1000000+C30*'E Balans VL '!E18/100/3.6*1000000</f>
        <v>0</v>
      </c>
      <c r="K8" s="33"/>
      <c r="L8" s="33"/>
      <c r="M8" s="33"/>
      <c r="N8" s="33">
        <f>C30*'E Balans VL '!Y18/100/3.6*1000000</f>
        <v>38.860823451322837</v>
      </c>
      <c r="O8" s="33"/>
      <c r="P8" s="33"/>
      <c r="R8" s="32"/>
    </row>
    <row r="9" spans="1:18">
      <c r="A9" s="6" t="s">
        <v>33</v>
      </c>
      <c r="B9" s="37">
        <f t="shared" si="0"/>
        <v>5188.2989892999994</v>
      </c>
      <c r="C9" s="33"/>
      <c r="D9" s="37">
        <f>IF( ISERROR(IND_andere_gas_kWh/1000),0,IND_andere_gas_kWh/1000)*0.902</f>
        <v>14189.741283784002</v>
      </c>
      <c r="E9" s="33">
        <f>C31*'E Balans VL '!I19/100/3.6*1000000</f>
        <v>1323.9365135167961</v>
      </c>
      <c r="F9" s="33">
        <f>C31*'E Balans VL '!L19/100/3.6*1000000+C31*'E Balans VL '!N19/100/3.6*1000000</f>
        <v>4466.735462074621</v>
      </c>
      <c r="G9" s="34"/>
      <c r="H9" s="33"/>
      <c r="I9" s="33"/>
      <c r="J9" s="40">
        <f>C31*'E Balans VL '!D19/100/3.6*1000000+C31*'E Balans VL '!E19/100/3.6*1000000</f>
        <v>0</v>
      </c>
      <c r="K9" s="33"/>
      <c r="L9" s="33"/>
      <c r="M9" s="33"/>
      <c r="N9" s="33">
        <f>C31*'E Balans VL '!Y19/100/3.6*1000000</f>
        <v>1622.5587746377398</v>
      </c>
      <c r="O9" s="33"/>
      <c r="P9" s="33"/>
      <c r="R9" s="32"/>
    </row>
    <row r="10" spans="1:18">
      <c r="A10" s="6" t="s">
        <v>41</v>
      </c>
      <c r="B10" s="37">
        <f t="shared" si="0"/>
        <v>38737.746539</v>
      </c>
      <c r="C10" s="33"/>
      <c r="D10" s="37">
        <f>IF( ISERROR(IND_voed_gas_kWh/1000),0,IND_voed_gas_kWh/1000)*0.902</f>
        <v>53986.893967072006</v>
      </c>
      <c r="E10" s="33">
        <f>C32*'E Balans VL '!I20/100/3.6*1000000</f>
        <v>984.76670830631394</v>
      </c>
      <c r="F10" s="33">
        <f>C32*'E Balans VL '!L20/100/3.6*1000000+C32*'E Balans VL '!N20/100/3.6*1000000</f>
        <v>8765.7705380512361</v>
      </c>
      <c r="G10" s="34"/>
      <c r="H10" s="33"/>
      <c r="I10" s="33"/>
      <c r="J10" s="40">
        <f>C32*'E Balans VL '!D20/100/3.6*1000000+C32*'E Balans VL '!E20/100/3.6*1000000</f>
        <v>0</v>
      </c>
      <c r="K10" s="33"/>
      <c r="L10" s="33"/>
      <c r="M10" s="33"/>
      <c r="N10" s="33">
        <f>C32*'E Balans VL '!Y20/100/3.6*1000000</f>
        <v>14527.704980046381</v>
      </c>
      <c r="O10" s="33"/>
      <c r="P10" s="33"/>
      <c r="R10" s="32"/>
    </row>
    <row r="11" spans="1:18">
      <c r="A11" s="6" t="s">
        <v>40</v>
      </c>
      <c r="B11" s="37">
        <f t="shared" si="0"/>
        <v>33.050896901000002</v>
      </c>
      <c r="C11" s="33"/>
      <c r="D11" s="37">
        <f>IF( ISERROR(IND_textiel_gas_kWh/1000),0,IND_textiel_gas_kWh/1000)*0.902</f>
        <v>75.825769824838005</v>
      </c>
      <c r="E11" s="33">
        <f>C33*'E Balans VL '!I21/100/3.6*1000000</f>
        <v>9.0733600134640796E-2</v>
      </c>
      <c r="F11" s="33">
        <f>C33*'E Balans VL '!L21/100/3.6*1000000+C33*'E Balans VL '!N21/100/3.6*1000000</f>
        <v>1.7522208128551835</v>
      </c>
      <c r="G11" s="34"/>
      <c r="H11" s="33"/>
      <c r="I11" s="33"/>
      <c r="J11" s="40">
        <f>C33*'E Balans VL '!D21/100/3.6*1000000+C33*'E Balans VL '!E21/100/3.6*1000000</f>
        <v>0</v>
      </c>
      <c r="K11" s="33"/>
      <c r="L11" s="33"/>
      <c r="M11" s="33"/>
      <c r="N11" s="33">
        <f>C33*'E Balans VL '!Y21/100/3.6*1000000</f>
        <v>6.6426833422451675E-2</v>
      </c>
      <c r="O11" s="33"/>
      <c r="P11" s="33"/>
      <c r="R11" s="32"/>
    </row>
    <row r="12" spans="1:18">
      <c r="A12" s="6" t="s">
        <v>37</v>
      </c>
      <c r="B12" s="37">
        <f t="shared" si="0"/>
        <v>399.50620042000003</v>
      </c>
      <c r="C12" s="33"/>
      <c r="D12" s="37">
        <f>IF( ISERROR(IND_min_gas_kWh/1000),0,IND_min_gas_kWh/1000)*0.902</f>
        <v>0</v>
      </c>
      <c r="E12" s="33">
        <f>C34*'E Balans VL '!I22/100/3.6*1000000</f>
        <v>8.4885055076104887</v>
      </c>
      <c r="F12" s="33">
        <f>C34*'E Balans VL '!L22/100/3.6*1000000+C34*'E Balans VL '!N22/100/3.6*1000000</f>
        <v>65.182841229760513</v>
      </c>
      <c r="G12" s="34"/>
      <c r="H12" s="33"/>
      <c r="I12" s="33"/>
      <c r="J12" s="40">
        <f>C34*'E Balans VL '!D22/100/3.6*1000000+C34*'E Balans VL '!E22/100/3.6*1000000</f>
        <v>0.46546200561245066</v>
      </c>
      <c r="K12" s="33"/>
      <c r="L12" s="33"/>
      <c r="M12" s="33"/>
      <c r="N12" s="33">
        <f>C34*'E Balans VL '!Y22/100/3.6*1000000</f>
        <v>0</v>
      </c>
      <c r="O12" s="33"/>
      <c r="P12" s="33"/>
      <c r="R12" s="32"/>
    </row>
    <row r="13" spans="1:18">
      <c r="A13" s="6" t="s">
        <v>39</v>
      </c>
      <c r="B13" s="37">
        <f t="shared" si="0"/>
        <v>274.44818352000004</v>
      </c>
      <c r="C13" s="33"/>
      <c r="D13" s="37">
        <f>IF( ISERROR(IND_papier_gas_kWh/1000),0,IND_papier_gas_kWh/1000)*0.902</f>
        <v>249.36449840060001</v>
      </c>
      <c r="E13" s="33">
        <f>C35*'E Balans VL '!I23/100/3.6*1000000</f>
        <v>1.1770284172600256</v>
      </c>
      <c r="F13" s="33">
        <f>C35*'E Balans VL '!L23/100/3.6*1000000+C35*'E Balans VL '!N23/100/3.6*1000000</f>
        <v>6.8977346847915264</v>
      </c>
      <c r="G13" s="34"/>
      <c r="H13" s="33"/>
      <c r="I13" s="33"/>
      <c r="J13" s="40">
        <f>C35*'E Balans VL '!D23/100/3.6*1000000+C35*'E Balans VL '!E23/100/3.6*1000000</f>
        <v>18.372800600298792</v>
      </c>
      <c r="K13" s="33"/>
      <c r="L13" s="33"/>
      <c r="M13" s="33"/>
      <c r="N13" s="33">
        <f>C35*'E Balans VL '!Y23/100/3.6*1000000</f>
        <v>499.56096027450383</v>
      </c>
      <c r="O13" s="33"/>
      <c r="P13" s="33"/>
      <c r="R13" s="32"/>
    </row>
    <row r="14" spans="1:18">
      <c r="A14" s="6" t="s">
        <v>34</v>
      </c>
      <c r="B14" s="37">
        <f t="shared" si="0"/>
        <v>0</v>
      </c>
      <c r="C14" s="33"/>
      <c r="D14" s="37">
        <f>IF( ISERROR(IND_chemie_gas_kWh/1000),0,IND_chemie_gas_kWh/1000)*0.902</f>
        <v>396.70902981467998</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10760.164947000001</v>
      </c>
      <c r="C15" s="33"/>
      <c r="D15" s="37">
        <f>IF( ISERROR(IND_rest_gas_kWh/1000),0,IND_rest_gas_kWh/1000)*0.902</f>
        <v>69113.39996167201</v>
      </c>
      <c r="E15" s="33">
        <f>C37*'E Balans VL '!I15/100/3.6*1000000</f>
        <v>583.98524816119391</v>
      </c>
      <c r="F15" s="33">
        <f>C37*'E Balans VL '!L15/100/3.6*1000000+C37*'E Balans VL '!N15/100/3.6*1000000</f>
        <v>2345.2184277763799</v>
      </c>
      <c r="G15" s="34"/>
      <c r="H15" s="33"/>
      <c r="I15" s="33"/>
      <c r="J15" s="40">
        <f>C37*'E Balans VL '!D15/100/3.6*1000000+C37*'E Balans VL '!E15/100/3.6*1000000</f>
        <v>87.233900573731063</v>
      </c>
      <c r="K15" s="33"/>
      <c r="L15" s="33"/>
      <c r="M15" s="33"/>
      <c r="N15" s="33">
        <f>C37*'E Balans VL '!Y15/100/3.6*1000000</f>
        <v>2166.7495869159325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56168.581884800995</v>
      </c>
      <c r="C18" s="21">
        <f>C5+C16</f>
        <v>0</v>
      </c>
      <c r="D18" s="21">
        <f>MAX((D5+D16),0)</f>
        <v>138223.24732281207</v>
      </c>
      <c r="E18" s="21">
        <f>MAX((E5+E16),0)</f>
        <v>2930.3447564600415</v>
      </c>
      <c r="F18" s="21">
        <f>MAX((F5+F16),0)</f>
        <v>15990.13447834981</v>
      </c>
      <c r="G18" s="21"/>
      <c r="H18" s="21"/>
      <c r="I18" s="21"/>
      <c r="J18" s="21">
        <f>MAX((J5+J16),0)</f>
        <v>106.0721631796423</v>
      </c>
      <c r="K18" s="21"/>
      <c r="L18" s="21">
        <f>MAX((L5+L16),0)</f>
        <v>0</v>
      </c>
      <c r="M18" s="21"/>
      <c r="N18" s="21">
        <f>MAX((N5+N16),0)</f>
        <v>18855.501552159301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0.21583630412409621</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12123.219121907108</v>
      </c>
      <c r="C22" s="23">
        <f ca="1">C18*C20</f>
        <v>0</v>
      </c>
      <c r="D22" s="23">
        <f>D18*D20</f>
        <v>27921.09595920804</v>
      </c>
      <c r="E22" s="23">
        <f>E18*E20</f>
        <v>665.18825971642946</v>
      </c>
      <c r="F22" s="23">
        <f>F18*F20</f>
        <v>4269.3659057193991</v>
      </c>
      <c r="G22" s="23"/>
      <c r="H22" s="23"/>
      <c r="I22" s="23"/>
      <c r="J22" s="23">
        <f>J18*J20</f>
        <v>37.549545765593372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775.36612866000007</v>
      </c>
      <c r="C30" s="39">
        <f>IF(ISERROR(B30*3.6/1000000/'E Balans VL '!Z18*100),0,B30*3.6/1000000/'E Balans VL '!Z18*100)</f>
        <v>0.16428345925137455</v>
      </c>
      <c r="D30" s="237" t="s">
        <v>660</v>
      </c>
    </row>
    <row r="31" spans="1:18">
      <c r="A31" s="6" t="s">
        <v>33</v>
      </c>
      <c r="B31" s="37">
        <f>IF( ISERROR(IND_ander_ele_kWh/1000),0,IND_ander_ele_kWh/1000)</f>
        <v>5188.2989892999994</v>
      </c>
      <c r="C31" s="39">
        <f>IF(ISERROR(B31*3.6/1000000/'E Balans VL '!Z19*100),0,B31*3.6/1000000/'E Balans VL '!Z19*100)</f>
        <v>0.21838728534926818</v>
      </c>
      <c r="D31" s="237" t="s">
        <v>660</v>
      </c>
    </row>
    <row r="32" spans="1:18">
      <c r="A32" s="171" t="s">
        <v>41</v>
      </c>
      <c r="B32" s="37">
        <f>IF( ISERROR(IND_voed_ele_kWh/1000),0,IND_voed_ele_kWh/1000)</f>
        <v>38737.746539</v>
      </c>
      <c r="C32" s="39">
        <f>IF(ISERROR(B32*3.6/1000000/'E Balans VL '!Z20*100),0,B32*3.6/1000000/'E Balans VL '!Z20*100)</f>
        <v>6.4715788467980859</v>
      </c>
      <c r="D32" s="237" t="s">
        <v>660</v>
      </c>
    </row>
    <row r="33" spans="1:5">
      <c r="A33" s="171" t="s">
        <v>40</v>
      </c>
      <c r="B33" s="37">
        <f>IF( ISERROR(IND_textiel_ele_kWh/1000),0,IND_textiel_ele_kWh/1000)</f>
        <v>33.050896901000002</v>
      </c>
      <c r="C33" s="39">
        <f>IF(ISERROR(B33*3.6/1000000/'E Balans VL '!Z21*100),0,B33*3.6/1000000/'E Balans VL '!Z21*100)</f>
        <v>1.9296102664473984E-3</v>
      </c>
      <c r="D33" s="237" t="s">
        <v>660</v>
      </c>
    </row>
    <row r="34" spans="1:5">
      <c r="A34" s="171" t="s">
        <v>37</v>
      </c>
      <c r="B34" s="37">
        <f>IF( ISERROR(IND_min_ele_kWh/1000),0,IND_min_ele_kWh/1000)</f>
        <v>399.50620042000003</v>
      </c>
      <c r="C34" s="39">
        <f>IF(ISERROR(B34*3.6/1000000/'E Balans VL '!Z22*100),0,B34*3.6/1000000/'E Balans VL '!Z22*100)</f>
        <v>5.0639565433810547E-2</v>
      </c>
      <c r="D34" s="237" t="s">
        <v>660</v>
      </c>
    </row>
    <row r="35" spans="1:5">
      <c r="A35" s="171" t="s">
        <v>39</v>
      </c>
      <c r="B35" s="37">
        <f>IF( ISERROR(IND_papier_ele_kWh/1000),0,IND_papier_ele_kWh/1000)</f>
        <v>274.44818352000004</v>
      </c>
      <c r="C35" s="39">
        <f>IF(ISERROR(B35*3.6/1000000/'E Balans VL '!Z22*100),0,B35*3.6/1000000/'E Balans VL '!Z22*100)</f>
        <v>3.4787787355842328E-2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10760.164947000001</v>
      </c>
      <c r="C37" s="39">
        <f>IF(ISERROR(B37*3.6/1000000/'E Balans VL '!Z15*100),0,B37*3.6/1000000/'E Balans VL '!Z15*100)</f>
        <v>8.6870978143966021E-2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265.42951325000001</v>
      </c>
      <c r="C5" s="17">
        <f>'Eigen informatie GS &amp; warmtenet'!B60</f>
        <v>0</v>
      </c>
      <c r="D5" s="30">
        <f>IF(ISERROR(SUM(LB_lb_gas_kWh,LB_rest_gas_kWh)/1000),0,SUM(LB_lb_gas_kWh,LB_rest_gas_kWh)/1000)*0.902</f>
        <v>686.46960205779999</v>
      </c>
      <c r="E5" s="17">
        <f>B17*'E Balans VL '!I25/3.6*1000000/100</f>
        <v>6.8444080152132605</v>
      </c>
      <c r="F5" s="17">
        <f>B17*('E Balans VL '!L25/3.6*1000000+'E Balans VL '!N25/3.6*1000000)/100</f>
        <v>970.19541952404222</v>
      </c>
      <c r="G5" s="18"/>
      <c r="H5" s="17"/>
      <c r="I5" s="17"/>
      <c r="J5" s="17">
        <f>('E Balans VL '!D25+'E Balans VL '!E25)/3.6*1000000*landbouw!B17/100</f>
        <v>38.212085643518726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265.42951325000001</v>
      </c>
      <c r="C8" s="21">
        <f>C5+C6</f>
        <v>0</v>
      </c>
      <c r="D8" s="21">
        <f>MAX((D5+D6),0)</f>
        <v>686.46960205779999</v>
      </c>
      <c r="E8" s="21">
        <f>MAX((E5+E6),0)</f>
        <v>6.8444080152132605</v>
      </c>
      <c r="F8" s="21">
        <f>MAX((F5+F6),0)</f>
        <v>970.19541952404222</v>
      </c>
      <c r="G8" s="21"/>
      <c r="H8" s="21"/>
      <c r="I8" s="21"/>
      <c r="J8" s="21">
        <f>MAX((J5+J6),0)</f>
        <v>38.212085643518726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0.21583630412409621</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57.289325145337827</v>
      </c>
      <c r="C12" s="23">
        <f ca="1">C8*C10</f>
        <v>0</v>
      </c>
      <c r="D12" s="23">
        <f>D8*D10</f>
        <v>138.66685961567561</v>
      </c>
      <c r="E12" s="23">
        <f>E8*E10</f>
        <v>1.5536806194534101</v>
      </c>
      <c r="F12" s="23">
        <f>F8*F10</f>
        <v>259.0421770129193</v>
      </c>
      <c r="G12" s="23"/>
      <c r="H12" s="23"/>
      <c r="I12" s="23"/>
      <c r="J12" s="23">
        <f>J8*J10</f>
        <v>13.527078317805628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3.7427319533922643E-2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7.5375275672556956</v>
      </c>
      <c r="C26" s="247">
        <f>B26*'GWP N2O_CH4'!B5</f>
        <v>158.2880789123696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0.52172943379938796</v>
      </c>
      <c r="C27" s="247">
        <f>B27*'GWP N2O_CH4'!B5</f>
        <v>10.956318109787148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0.10810247292027329</v>
      </c>
      <c r="C28" s="247">
        <f>B28*'GWP N2O_CH4'!B4</f>
        <v>33.51176660528472</v>
      </c>
      <c r="D28" s="50"/>
    </row>
    <row r="29" spans="1:4">
      <c r="A29" s="41" t="s">
        <v>277</v>
      </c>
      <c r="B29" s="247">
        <f>B34*'ha_N2O bodem landbouw'!B4</f>
        <v>1.1240765661378751</v>
      </c>
      <c r="C29" s="247">
        <f>B29*'GWP N2O_CH4'!B4</f>
        <v>348.46373550274126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2.5297831147852527E-4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2.7415892691256156E-4</v>
      </c>
      <c r="C5" s="463" t="s">
        <v>211</v>
      </c>
      <c r="D5" s="448">
        <f>SUM(D6:D11)</f>
        <v>6.1573138551601755E-4</v>
      </c>
      <c r="E5" s="448">
        <f>SUM(E6:E11)</f>
        <v>2.72066849566663E-3</v>
      </c>
      <c r="F5" s="461" t="s">
        <v>211</v>
      </c>
      <c r="G5" s="448">
        <f>SUM(G6:G11)</f>
        <v>1.0377147768566803</v>
      </c>
      <c r="H5" s="448">
        <f>SUM(H6:H11)</f>
        <v>0.16972583465513785</v>
      </c>
      <c r="I5" s="463" t="s">
        <v>211</v>
      </c>
      <c r="J5" s="463" t="s">
        <v>211</v>
      </c>
      <c r="K5" s="463" t="s">
        <v>211</v>
      </c>
      <c r="L5" s="463" t="s">
        <v>211</v>
      </c>
      <c r="M5" s="448">
        <f>SUM(M6:M11)</f>
        <v>3.777737559176704E-2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7.1488113709086096E-5</v>
      </c>
      <c r="C6" s="449"/>
      <c r="D6" s="892">
        <f>vkm_2011_GW_PW*SUMIFS(TableVerdeelsleutelVkm[CNG],TableVerdeelsleutelVkm[Voertuigtype],"Lichte voertuigen")*SUMIFS(TableECFTransport[EnergieConsumptieFactor (PJ per km)],TableECFTransport[Index],CONCATENATE($A6,"_CNG_CNG"))</f>
        <v>1.4204813416396141E-4</v>
      </c>
      <c r="E6" s="892">
        <f>vkm_2011_GW_PW*SUMIFS(TableVerdeelsleutelVkm[LPG],TableVerdeelsleutelVkm[Voertuigtype],"Lichte voertuigen")*SUMIFS(TableECFTransport[EnergieConsumptieFactor (PJ per km)],TableECFTransport[Index],CONCATENATE($A6,"_LPG_LPG"))</f>
        <v>5.590103283740624E-4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0.13291347532452272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3.8456703341824286E-2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5.3400530127800791E-3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3.077475376336495E-2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9.9415599632512558E-6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9.6966540336946379E-4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3.6232238654669765E-5</v>
      </c>
      <c r="C8" s="449"/>
      <c r="D8" s="451">
        <f>vkm_2011_NGW_PW*SUMIFS(TableVerdeelsleutelVkm[CNG],TableVerdeelsleutelVkm[Voertuigtype],"Lichte voertuigen")*SUMIFS(TableECFTransport[EnergieConsumptieFactor (PJ per km)],TableECFTransport[Index],CONCATENATE($A8,"_CNG_CNG"))</f>
        <v>1.2747527572580617E-4</v>
      </c>
      <c r="E8" s="451">
        <f>vkm_2011_NGW_PW*SUMIFS(TableVerdeelsleutelVkm[LPG],TableVerdeelsleutelVkm[Voertuigtype],"Lichte voertuigen")*SUMIFS(TableECFTransport[EnergieConsumptieFactor (PJ per km)],TableECFTransport[Index],CONCATENATE($A8,"_LPG_LPG"))</f>
        <v>4.6394771264607625E-4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0.10300943425246289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3.3464126540692106E-2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4.2483686941356185E-3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1.4200470194035227E-2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4.338364051560585E-6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4.4742761987004784E-4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1.664385745488057E-4</v>
      </c>
      <c r="C10" s="449"/>
      <c r="D10" s="451">
        <f>vkm_2011_SW_PW*SUMIFS(TableVerdeelsleutelVkm[CNG],TableVerdeelsleutelVkm[Voertuigtype],"Lichte voertuigen")*SUMIFS(TableECFTransport[EnergieConsumptieFactor (PJ per km)],TableECFTransport[Index],CONCATENATE($A10,"_CNG_CNG"))</f>
        <v>3.4620797562625005E-4</v>
      </c>
      <c r="E10" s="451">
        <f>vkm_2011_SW_PW*SUMIFS(TableVerdeelsleutelVkm[LPG],TableVerdeelsleutelVkm[Voertuigtype],"Lichte voertuigen")*SUMIFS(TableECFTransport[EnergieConsumptieFactor (PJ per km)],TableECFTransport[Index],CONCATENATE($A10,"_LPG_LPG"))</f>
        <v>1.6977104546464915E-3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0.36159283436704159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9.7653163846461111E-2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1.4318666825984899E-2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0.39522380895525294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1.3756100214552968E-4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1.2453194035626929E-2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76.155257475711551</v>
      </c>
      <c r="C14" s="21"/>
      <c r="D14" s="21">
        <f t="shared" ref="D14:M14" si="0">((D5)*10^9/3600)+D12</f>
        <v>171.03649597667155</v>
      </c>
      <c r="E14" s="21">
        <f t="shared" si="0"/>
        <v>755.74124879628619</v>
      </c>
      <c r="F14" s="21"/>
      <c r="G14" s="21">
        <f t="shared" si="0"/>
        <v>288254.10468241124</v>
      </c>
      <c r="H14" s="21">
        <f t="shared" si="0"/>
        <v>47146.06518198274</v>
      </c>
      <c r="I14" s="21"/>
      <c r="J14" s="21"/>
      <c r="K14" s="21"/>
      <c r="L14" s="21"/>
      <c r="M14" s="21">
        <f t="shared" si="0"/>
        <v>10493.715442157512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0.21583630412409621</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16.437069313176529</v>
      </c>
      <c r="C18" s="23"/>
      <c r="D18" s="23">
        <f t="shared" ref="D18:M18" si="1">D14*D16</f>
        <v>34.549372187287652</v>
      </c>
      <c r="E18" s="23">
        <f t="shared" si="1"/>
        <v>171.55326347675697</v>
      </c>
      <c r="F18" s="23"/>
      <c r="G18" s="23">
        <f t="shared" si="1"/>
        <v>76963.845950203802</v>
      </c>
      <c r="H18" s="23">
        <f t="shared" si="1"/>
        <v>11739.370230313702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1.3452569578628153E-2</v>
      </c>
      <c r="H50" s="321">
        <f t="shared" si="2"/>
        <v>0</v>
      </c>
      <c r="I50" s="321">
        <f t="shared" si="2"/>
        <v>0</v>
      </c>
      <c r="J50" s="321">
        <f t="shared" si="2"/>
        <v>0</v>
      </c>
      <c r="K50" s="321">
        <f t="shared" si="2"/>
        <v>0</v>
      </c>
      <c r="L50" s="321">
        <f t="shared" si="2"/>
        <v>0</v>
      </c>
      <c r="M50" s="321">
        <f t="shared" si="2"/>
        <v>4.1726861248134466E-4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1.3452569578628153E-2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4.1726861248134466E-4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3736.8248829522645</v>
      </c>
      <c r="H54" s="21">
        <f t="shared" si="3"/>
        <v>0</v>
      </c>
      <c r="I54" s="21">
        <f t="shared" si="3"/>
        <v>0</v>
      </c>
      <c r="J54" s="21">
        <f t="shared" si="3"/>
        <v>0</v>
      </c>
      <c r="K54" s="21">
        <f t="shared" si="3"/>
        <v>0</v>
      </c>
      <c r="L54" s="21">
        <f t="shared" si="3"/>
        <v>0</v>
      </c>
      <c r="M54" s="21">
        <f t="shared" si="3"/>
        <v>115.90794791148463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0.21583630412409621</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997.73224374825463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47178.481188399994</v>
      </c>
      <c r="D10" s="1012">
        <f ca="1">tertiair!C16</f>
        <v>6.0878378378378377</v>
      </c>
      <c r="E10" s="1012">
        <f ca="1">tertiair!D16</f>
        <v>58029.42582451491</v>
      </c>
      <c r="F10" s="1012">
        <f>tertiair!E16</f>
        <v>988.09018366116288</v>
      </c>
      <c r="G10" s="1012">
        <f ca="1">tertiair!F16</f>
        <v>10998.560892303891</v>
      </c>
      <c r="H10" s="1012">
        <f>tertiair!G16</f>
        <v>0</v>
      </c>
      <c r="I10" s="1012">
        <f>tertiair!H16</f>
        <v>0</v>
      </c>
      <c r="J10" s="1012">
        <f>tertiair!I16</f>
        <v>0</v>
      </c>
      <c r="K10" s="1012">
        <f>tertiair!J16</f>
        <v>0</v>
      </c>
      <c r="L10" s="1012">
        <f>tertiair!K16</f>
        <v>0</v>
      </c>
      <c r="M10" s="1012">
        <f ca="1">tertiair!L16</f>
        <v>0</v>
      </c>
      <c r="N10" s="1012">
        <f>tertiair!M16</f>
        <v>0</v>
      </c>
      <c r="O10" s="1012">
        <f ca="1">tertiair!N16</f>
        <v>2263.1478695754777</v>
      </c>
      <c r="P10" s="1012">
        <f>tertiair!O16</f>
        <v>1.5633333333333335</v>
      </c>
      <c r="Q10" s="1013">
        <f>tertiair!P16</f>
        <v>0</v>
      </c>
      <c r="R10" s="700">
        <f ca="1">SUM(C10:Q10)</f>
        <v>119465.35712962662</v>
      </c>
      <c r="S10" s="67"/>
    </row>
    <row r="11" spans="1:19" s="473" customFormat="1">
      <c r="A11" s="809" t="s">
        <v>225</v>
      </c>
      <c r="B11" s="814"/>
      <c r="C11" s="1012">
        <f>huishoudens!B8</f>
        <v>59169.016707533214</v>
      </c>
      <c r="D11" s="1012">
        <f>huishoudens!C8</f>
        <v>0</v>
      </c>
      <c r="E11" s="1012">
        <f>huishoudens!D8</f>
        <v>171414.09771969999</v>
      </c>
      <c r="F11" s="1012">
        <f>huishoudens!E8</f>
        <v>2294.725426879148</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10997.727029842346</v>
      </c>
      <c r="P11" s="1012">
        <f>huishoudens!O8</f>
        <v>239.19000000000003</v>
      </c>
      <c r="Q11" s="1013">
        <f>huishoudens!P8</f>
        <v>476.66666666666663</v>
      </c>
      <c r="R11" s="700">
        <f>SUM(C11:Q11)</f>
        <v>244591.42355062137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56168.581884800995</v>
      </c>
      <c r="D13" s="1012">
        <f>industrie!C18</f>
        <v>0</v>
      </c>
      <c r="E13" s="1012">
        <f>industrie!D18</f>
        <v>138223.24732281207</v>
      </c>
      <c r="F13" s="1012">
        <f>industrie!E18</f>
        <v>2930.3447564600415</v>
      </c>
      <c r="G13" s="1012">
        <f>industrie!F18</f>
        <v>15990.13447834981</v>
      </c>
      <c r="H13" s="1012">
        <f>industrie!G18</f>
        <v>0</v>
      </c>
      <c r="I13" s="1012">
        <f>industrie!H18</f>
        <v>0</v>
      </c>
      <c r="J13" s="1012">
        <f>industrie!I18</f>
        <v>0</v>
      </c>
      <c r="K13" s="1012">
        <f>industrie!J18</f>
        <v>106.0721631796423</v>
      </c>
      <c r="L13" s="1012">
        <f>industrie!K18</f>
        <v>0</v>
      </c>
      <c r="M13" s="1012">
        <f>industrie!L18</f>
        <v>0</v>
      </c>
      <c r="N13" s="1012">
        <f>industrie!M18</f>
        <v>0</v>
      </c>
      <c r="O13" s="1012">
        <f>industrie!N18</f>
        <v>18855.501552159301</v>
      </c>
      <c r="P13" s="1012">
        <f>industrie!O18</f>
        <v>0</v>
      </c>
      <c r="Q13" s="1013">
        <f>industrie!P18</f>
        <v>0</v>
      </c>
      <c r="R13" s="700">
        <f>SUM(C13:Q13)</f>
        <v>232273.88215776189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162516.0797807342</v>
      </c>
      <c r="D16" s="732">
        <f t="shared" ref="D16:R16" ca="1" si="0">SUM(D9:D15)</f>
        <v>6.0878378378378377</v>
      </c>
      <c r="E16" s="732">
        <f t="shared" ca="1" si="0"/>
        <v>367666.77086702699</v>
      </c>
      <c r="F16" s="732">
        <f t="shared" si="0"/>
        <v>6213.1603670003524</v>
      </c>
      <c r="G16" s="732">
        <f t="shared" ca="1" si="0"/>
        <v>26988.695370653702</v>
      </c>
      <c r="H16" s="732">
        <f t="shared" si="0"/>
        <v>0</v>
      </c>
      <c r="I16" s="732">
        <f t="shared" si="0"/>
        <v>0</v>
      </c>
      <c r="J16" s="732">
        <f t="shared" si="0"/>
        <v>0</v>
      </c>
      <c r="K16" s="732">
        <f t="shared" si="0"/>
        <v>106.0721631796423</v>
      </c>
      <c r="L16" s="732">
        <f t="shared" si="0"/>
        <v>0</v>
      </c>
      <c r="M16" s="732">
        <f t="shared" ca="1" si="0"/>
        <v>0</v>
      </c>
      <c r="N16" s="732">
        <f t="shared" si="0"/>
        <v>0</v>
      </c>
      <c r="O16" s="732">
        <f t="shared" ca="1" si="0"/>
        <v>32116.376451577125</v>
      </c>
      <c r="P16" s="732">
        <f t="shared" si="0"/>
        <v>240.75333333333336</v>
      </c>
      <c r="Q16" s="732">
        <f t="shared" si="0"/>
        <v>476.66666666666663</v>
      </c>
      <c r="R16" s="732">
        <f t="shared" ca="1" si="0"/>
        <v>596330.66283800988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3736.8248829522645</v>
      </c>
      <c r="I19" s="1012">
        <f>transport!H54</f>
        <v>0</v>
      </c>
      <c r="J19" s="1012">
        <f>transport!I54</f>
        <v>0</v>
      </c>
      <c r="K19" s="1012">
        <f>transport!J54</f>
        <v>0</v>
      </c>
      <c r="L19" s="1012">
        <f>transport!K54</f>
        <v>0</v>
      </c>
      <c r="M19" s="1012">
        <f>transport!L54</f>
        <v>0</v>
      </c>
      <c r="N19" s="1012">
        <f>transport!M54</f>
        <v>115.90794791148463</v>
      </c>
      <c r="O19" s="1012">
        <f>transport!N54</f>
        <v>0</v>
      </c>
      <c r="P19" s="1012">
        <f>transport!O54</f>
        <v>0</v>
      </c>
      <c r="Q19" s="1013">
        <f>transport!P54</f>
        <v>0</v>
      </c>
      <c r="R19" s="700">
        <f>SUM(C19:Q19)</f>
        <v>3852.7328308637493</v>
      </c>
      <c r="S19" s="67"/>
    </row>
    <row r="20" spans="1:19" s="473" customFormat="1">
      <c r="A20" s="809" t="s">
        <v>307</v>
      </c>
      <c r="B20" s="814"/>
      <c r="C20" s="1012">
        <f>transport!B14</f>
        <v>76.155257475711551</v>
      </c>
      <c r="D20" s="1012">
        <f>transport!C14</f>
        <v>0</v>
      </c>
      <c r="E20" s="1012">
        <f>transport!D14</f>
        <v>171.03649597667155</v>
      </c>
      <c r="F20" s="1012">
        <f>transport!E14</f>
        <v>755.74124879628619</v>
      </c>
      <c r="G20" s="1012">
        <f>transport!F14</f>
        <v>0</v>
      </c>
      <c r="H20" s="1012">
        <f>transport!G14</f>
        <v>288254.10468241124</v>
      </c>
      <c r="I20" s="1012">
        <f>transport!H14</f>
        <v>47146.06518198274</v>
      </c>
      <c r="J20" s="1012">
        <f>transport!I14</f>
        <v>0</v>
      </c>
      <c r="K20" s="1012">
        <f>transport!J14</f>
        <v>0</v>
      </c>
      <c r="L20" s="1012">
        <f>transport!K14</f>
        <v>0</v>
      </c>
      <c r="M20" s="1012">
        <f>transport!L14</f>
        <v>0</v>
      </c>
      <c r="N20" s="1012">
        <f>transport!M14</f>
        <v>10493.715442157512</v>
      </c>
      <c r="O20" s="1012">
        <f>transport!N14</f>
        <v>0</v>
      </c>
      <c r="P20" s="1012">
        <f>transport!O14</f>
        <v>0</v>
      </c>
      <c r="Q20" s="1013">
        <f>transport!P14</f>
        <v>0</v>
      </c>
      <c r="R20" s="700">
        <f>SUM(C20:Q20)</f>
        <v>346896.81830880023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76.155257475711551</v>
      </c>
      <c r="D22" s="812">
        <f t="shared" ref="D22:R22" si="1">SUM(D18:D21)</f>
        <v>0</v>
      </c>
      <c r="E22" s="812">
        <f t="shared" si="1"/>
        <v>171.03649597667155</v>
      </c>
      <c r="F22" s="812">
        <f t="shared" si="1"/>
        <v>755.74124879628619</v>
      </c>
      <c r="G22" s="812">
        <f t="shared" si="1"/>
        <v>0</v>
      </c>
      <c r="H22" s="812">
        <f t="shared" si="1"/>
        <v>291990.92956536351</v>
      </c>
      <c r="I22" s="812">
        <f t="shared" si="1"/>
        <v>47146.06518198274</v>
      </c>
      <c r="J22" s="812">
        <f t="shared" si="1"/>
        <v>0</v>
      </c>
      <c r="K22" s="812">
        <f t="shared" si="1"/>
        <v>0</v>
      </c>
      <c r="L22" s="812">
        <f t="shared" si="1"/>
        <v>0</v>
      </c>
      <c r="M22" s="812">
        <f t="shared" si="1"/>
        <v>0</v>
      </c>
      <c r="N22" s="812">
        <f t="shared" si="1"/>
        <v>10609.623390068997</v>
      </c>
      <c r="O22" s="812">
        <f t="shared" si="1"/>
        <v>0</v>
      </c>
      <c r="P22" s="812">
        <f t="shared" si="1"/>
        <v>0</v>
      </c>
      <c r="Q22" s="812">
        <f t="shared" si="1"/>
        <v>0</v>
      </c>
      <c r="R22" s="812">
        <f t="shared" si="1"/>
        <v>350749.55113966396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265.42951325000001</v>
      </c>
      <c r="D24" s="1012">
        <f>+landbouw!C8</f>
        <v>0</v>
      </c>
      <c r="E24" s="1012">
        <f>+landbouw!D8</f>
        <v>686.46960205779999</v>
      </c>
      <c r="F24" s="1012">
        <f>+landbouw!E8</f>
        <v>6.8444080152132605</v>
      </c>
      <c r="G24" s="1012">
        <f>+landbouw!F8</f>
        <v>970.19541952404222</v>
      </c>
      <c r="H24" s="1012">
        <f>+landbouw!G8</f>
        <v>0</v>
      </c>
      <c r="I24" s="1012">
        <f>+landbouw!H8</f>
        <v>0</v>
      </c>
      <c r="J24" s="1012">
        <f>+landbouw!I8</f>
        <v>0</v>
      </c>
      <c r="K24" s="1012">
        <f>+landbouw!J8</f>
        <v>38.212085643518726</v>
      </c>
      <c r="L24" s="1012">
        <f>+landbouw!K8</f>
        <v>0</v>
      </c>
      <c r="M24" s="1012">
        <f>+landbouw!L8</f>
        <v>0</v>
      </c>
      <c r="N24" s="1012">
        <f>+landbouw!M8</f>
        <v>0</v>
      </c>
      <c r="O24" s="1012">
        <f>+landbouw!N8</f>
        <v>0</v>
      </c>
      <c r="P24" s="1012">
        <f>+landbouw!O8</f>
        <v>0</v>
      </c>
      <c r="Q24" s="1013">
        <f>+landbouw!P8</f>
        <v>0</v>
      </c>
      <c r="R24" s="700">
        <f>SUM(C24:Q24)</f>
        <v>1967.1510284905742</v>
      </c>
      <c r="S24" s="67"/>
    </row>
    <row r="25" spans="1:19" s="473" customFormat="1" ht="15" thickBot="1">
      <c r="A25" s="831" t="s">
        <v>848</v>
      </c>
      <c r="B25" s="1015"/>
      <c r="C25" s="1016">
        <f>IF(Onbekend_ele_kWh="---",0,Onbekend_ele_kWh)/1000+IF(REST_rest_ele_kWh="---",0,REST_rest_ele_kWh)/1000</f>
        <v>2406.5522820000001</v>
      </c>
      <c r="D25" s="1016"/>
      <c r="E25" s="1016">
        <f>IF(onbekend_gas_kWh="---",0,onbekend_gas_kWh)/1000+IF(REST_rest_gas_kWh="---",0,REST_rest_gas_kWh)/1000</f>
        <v>7706.0324625000003</v>
      </c>
      <c r="F25" s="1016"/>
      <c r="G25" s="1016"/>
      <c r="H25" s="1016"/>
      <c r="I25" s="1016"/>
      <c r="J25" s="1016"/>
      <c r="K25" s="1016"/>
      <c r="L25" s="1016"/>
      <c r="M25" s="1016"/>
      <c r="N25" s="1016"/>
      <c r="O25" s="1016"/>
      <c r="P25" s="1016"/>
      <c r="Q25" s="1017"/>
      <c r="R25" s="700">
        <f>SUM(C25:Q25)</f>
        <v>10112.5847445</v>
      </c>
      <c r="S25" s="67"/>
    </row>
    <row r="26" spans="1:19" s="473" customFormat="1" ht="15.75" thickBot="1">
      <c r="A26" s="705" t="s">
        <v>849</v>
      </c>
      <c r="B26" s="817"/>
      <c r="C26" s="812">
        <f>SUM(C24:C25)</f>
        <v>2671.9817952500002</v>
      </c>
      <c r="D26" s="812">
        <f t="shared" ref="D26:R26" si="2">SUM(D24:D25)</f>
        <v>0</v>
      </c>
      <c r="E26" s="812">
        <f t="shared" si="2"/>
        <v>8392.5020645578006</v>
      </c>
      <c r="F26" s="812">
        <f t="shared" si="2"/>
        <v>6.8444080152132605</v>
      </c>
      <c r="G26" s="812">
        <f t="shared" si="2"/>
        <v>970.19541952404222</v>
      </c>
      <c r="H26" s="812">
        <f t="shared" si="2"/>
        <v>0</v>
      </c>
      <c r="I26" s="812">
        <f t="shared" si="2"/>
        <v>0</v>
      </c>
      <c r="J26" s="812">
        <f t="shared" si="2"/>
        <v>0</v>
      </c>
      <c r="K26" s="812">
        <f t="shared" si="2"/>
        <v>38.212085643518726</v>
      </c>
      <c r="L26" s="812">
        <f t="shared" si="2"/>
        <v>0</v>
      </c>
      <c r="M26" s="812">
        <f t="shared" si="2"/>
        <v>0</v>
      </c>
      <c r="N26" s="812">
        <f t="shared" si="2"/>
        <v>0</v>
      </c>
      <c r="O26" s="812">
        <f t="shared" si="2"/>
        <v>0</v>
      </c>
      <c r="P26" s="812">
        <f t="shared" si="2"/>
        <v>0</v>
      </c>
      <c r="Q26" s="812">
        <f t="shared" si="2"/>
        <v>0</v>
      </c>
      <c r="R26" s="812">
        <f t="shared" si="2"/>
        <v>12079.735772990574</v>
      </c>
      <c r="S26" s="67"/>
    </row>
    <row r="27" spans="1:19" s="473" customFormat="1" ht="17.25" thickTop="1" thickBot="1">
      <c r="A27" s="706" t="s">
        <v>116</v>
      </c>
      <c r="B27" s="805"/>
      <c r="C27" s="707">
        <f ca="1">C22+C16+C26</f>
        <v>165264.21683345991</v>
      </c>
      <c r="D27" s="707">
        <f t="shared" ref="D27:R27" ca="1" si="3">D22+D16+D26</f>
        <v>6.0878378378378377</v>
      </c>
      <c r="E27" s="707">
        <f t="shared" ca="1" si="3"/>
        <v>376230.30942756147</v>
      </c>
      <c r="F27" s="707">
        <f t="shared" si="3"/>
        <v>6975.746023811852</v>
      </c>
      <c r="G27" s="707">
        <f t="shared" ca="1" si="3"/>
        <v>27958.890790177746</v>
      </c>
      <c r="H27" s="707">
        <f t="shared" si="3"/>
        <v>291990.92956536351</v>
      </c>
      <c r="I27" s="707">
        <f t="shared" si="3"/>
        <v>47146.06518198274</v>
      </c>
      <c r="J27" s="707">
        <f t="shared" si="3"/>
        <v>0</v>
      </c>
      <c r="K27" s="707">
        <f t="shared" si="3"/>
        <v>144.28424882316102</v>
      </c>
      <c r="L27" s="707">
        <f t="shared" si="3"/>
        <v>0</v>
      </c>
      <c r="M27" s="707">
        <f t="shared" ca="1" si="3"/>
        <v>0</v>
      </c>
      <c r="N27" s="707">
        <f t="shared" si="3"/>
        <v>10609.623390068997</v>
      </c>
      <c r="O27" s="707">
        <f t="shared" ca="1" si="3"/>
        <v>32116.376451577125</v>
      </c>
      <c r="P27" s="707">
        <f t="shared" si="3"/>
        <v>240.75333333333336</v>
      </c>
      <c r="Q27" s="707">
        <f t="shared" si="3"/>
        <v>476.66666666666663</v>
      </c>
      <c r="R27" s="707">
        <f t="shared" ca="1" si="3"/>
        <v>959159.94975066441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10182.829013892453</v>
      </c>
      <c r="D40" s="1012">
        <f ca="1">tertiair!C20</f>
        <v>1.3663813813813812</v>
      </c>
      <c r="E40" s="1012">
        <f ca="1">tertiair!D20</f>
        <v>11721.944016552012</v>
      </c>
      <c r="F40" s="1012">
        <f>tertiair!E20</f>
        <v>224.29647169108398</v>
      </c>
      <c r="G40" s="1012">
        <f ca="1">tertiair!F20</f>
        <v>2936.6157582451392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25067.051641762067</v>
      </c>
    </row>
    <row r="41" spans="1:18">
      <c r="A41" s="822" t="s">
        <v>225</v>
      </c>
      <c r="B41" s="829"/>
      <c r="C41" s="1012">
        <f ca="1">huishoudens!B12</f>
        <v>12770.821884810868</v>
      </c>
      <c r="D41" s="1012">
        <f ca="1">huishoudens!C12</f>
        <v>0</v>
      </c>
      <c r="E41" s="1012">
        <f>huishoudens!D12</f>
        <v>34625.647739379398</v>
      </c>
      <c r="F41" s="1012">
        <f>huishoudens!E12</f>
        <v>520.90267190156658</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47917.372296091831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12123.219121907108</v>
      </c>
      <c r="D43" s="1012">
        <f ca="1">industrie!C22</f>
        <v>0</v>
      </c>
      <c r="E43" s="1012">
        <f>industrie!D22</f>
        <v>27921.09595920804</v>
      </c>
      <c r="F43" s="1012">
        <f>industrie!E22</f>
        <v>665.18825971642946</v>
      </c>
      <c r="G43" s="1012">
        <f>industrie!F22</f>
        <v>4269.3659057193991</v>
      </c>
      <c r="H43" s="1012">
        <f>industrie!G22</f>
        <v>0</v>
      </c>
      <c r="I43" s="1012">
        <f>industrie!H22</f>
        <v>0</v>
      </c>
      <c r="J43" s="1012">
        <f>industrie!I22</f>
        <v>0</v>
      </c>
      <c r="K43" s="1012">
        <f>industrie!J22</f>
        <v>37.549545765593372</v>
      </c>
      <c r="L43" s="1012">
        <f>industrie!K22</f>
        <v>0</v>
      </c>
      <c r="M43" s="1012">
        <f>industrie!L22</f>
        <v>0</v>
      </c>
      <c r="N43" s="1012">
        <f>industrie!M22</f>
        <v>0</v>
      </c>
      <c r="O43" s="1012">
        <f>industrie!N22</f>
        <v>0</v>
      </c>
      <c r="P43" s="1012">
        <f>industrie!O22</f>
        <v>0</v>
      </c>
      <c r="Q43" s="774">
        <f>industrie!P22</f>
        <v>0</v>
      </c>
      <c r="R43" s="849">
        <f t="shared" ca="1" si="4"/>
        <v>45016.418792316574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35076.870020610433</v>
      </c>
      <c r="D46" s="732">
        <f t="shared" ref="D46:Q46" ca="1" si="5">SUM(D39:D45)</f>
        <v>1.3663813813813812</v>
      </c>
      <c r="E46" s="732">
        <f t="shared" ca="1" si="5"/>
        <v>74268.687715139444</v>
      </c>
      <c r="F46" s="732">
        <f t="shared" si="5"/>
        <v>1410.3874033090801</v>
      </c>
      <c r="G46" s="732">
        <f t="shared" ca="1" si="5"/>
        <v>7205.9816639645378</v>
      </c>
      <c r="H46" s="732">
        <f t="shared" si="5"/>
        <v>0</v>
      </c>
      <c r="I46" s="732">
        <f t="shared" si="5"/>
        <v>0</v>
      </c>
      <c r="J46" s="732">
        <f t="shared" si="5"/>
        <v>0</v>
      </c>
      <c r="K46" s="732">
        <f t="shared" si="5"/>
        <v>37.549545765593372</v>
      </c>
      <c r="L46" s="732">
        <f t="shared" si="5"/>
        <v>0</v>
      </c>
      <c r="M46" s="732">
        <f t="shared" ca="1" si="5"/>
        <v>0</v>
      </c>
      <c r="N46" s="732">
        <f t="shared" si="5"/>
        <v>0</v>
      </c>
      <c r="O46" s="732">
        <f t="shared" ca="1" si="5"/>
        <v>0</v>
      </c>
      <c r="P46" s="732">
        <f t="shared" si="5"/>
        <v>0</v>
      </c>
      <c r="Q46" s="732">
        <f t="shared" si="5"/>
        <v>0</v>
      </c>
      <c r="R46" s="732">
        <f ca="1">SUM(R39:R45)</f>
        <v>118000.84273017047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997.73224374825463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997.73224374825463</v>
      </c>
    </row>
    <row r="50" spans="1:18">
      <c r="A50" s="825" t="s">
        <v>307</v>
      </c>
      <c r="B50" s="835"/>
      <c r="C50" s="703">
        <f ca="1">transport!B18</f>
        <v>16.437069313176529</v>
      </c>
      <c r="D50" s="703">
        <f>transport!C18</f>
        <v>0</v>
      </c>
      <c r="E50" s="703">
        <f>transport!D18</f>
        <v>34.549372187287652</v>
      </c>
      <c r="F50" s="703">
        <f>transport!E18</f>
        <v>171.55326347675697</v>
      </c>
      <c r="G50" s="703">
        <f>transport!F18</f>
        <v>0</v>
      </c>
      <c r="H50" s="703">
        <f>transport!G18</f>
        <v>76963.845950203802</v>
      </c>
      <c r="I50" s="703">
        <f>transport!H18</f>
        <v>11739.370230313702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88925.755885494713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16.437069313176529</v>
      </c>
      <c r="D52" s="732">
        <f t="shared" ref="D52:Q52" ca="1" si="6">SUM(D48:D51)</f>
        <v>0</v>
      </c>
      <c r="E52" s="732">
        <f t="shared" si="6"/>
        <v>34.549372187287652</v>
      </c>
      <c r="F52" s="732">
        <f t="shared" si="6"/>
        <v>171.55326347675697</v>
      </c>
      <c r="G52" s="732">
        <f t="shared" si="6"/>
        <v>0</v>
      </c>
      <c r="H52" s="732">
        <f t="shared" si="6"/>
        <v>77961.578193952053</v>
      </c>
      <c r="I52" s="732">
        <f t="shared" si="6"/>
        <v>11739.370230313702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89923.488129242964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57.289325145337827</v>
      </c>
      <c r="D54" s="703">
        <f ca="1">+landbouw!C12</f>
        <v>0</v>
      </c>
      <c r="E54" s="703">
        <f>+landbouw!D12</f>
        <v>138.66685961567561</v>
      </c>
      <c r="F54" s="703">
        <f>+landbouw!E12</f>
        <v>1.5536806194534101</v>
      </c>
      <c r="G54" s="703">
        <f>+landbouw!F12</f>
        <v>259.0421770129193</v>
      </c>
      <c r="H54" s="703">
        <f>+landbouw!G12</f>
        <v>0</v>
      </c>
      <c r="I54" s="703">
        <f>+landbouw!H12</f>
        <v>0</v>
      </c>
      <c r="J54" s="703">
        <f>+landbouw!I12</f>
        <v>0</v>
      </c>
      <c r="K54" s="703">
        <f>+landbouw!J12</f>
        <v>13.527078317805628</v>
      </c>
      <c r="L54" s="703">
        <f>+landbouw!K12</f>
        <v>0</v>
      </c>
      <c r="M54" s="703">
        <f>+landbouw!L12</f>
        <v>0</v>
      </c>
      <c r="N54" s="703">
        <f>+landbouw!M12</f>
        <v>0</v>
      </c>
      <c r="O54" s="703">
        <f>+landbouw!N12</f>
        <v>0</v>
      </c>
      <c r="P54" s="703">
        <f>+landbouw!O12</f>
        <v>0</v>
      </c>
      <c r="Q54" s="704">
        <f>+landbouw!P12</f>
        <v>0</v>
      </c>
      <c r="R54" s="731">
        <f ca="1">SUM(C54:Q54)</f>
        <v>470.07912071119176</v>
      </c>
    </row>
    <row r="55" spans="1:18" ht="15" thickBot="1">
      <c r="A55" s="825" t="s">
        <v>848</v>
      </c>
      <c r="B55" s="835"/>
      <c r="C55" s="703">
        <f ca="1">C25*'EF ele_warmte'!B12</f>
        <v>519.42135022828973</v>
      </c>
      <c r="D55" s="703"/>
      <c r="E55" s="703">
        <f>E25*EF_CO2_aardgas</f>
        <v>1556.6185574250001</v>
      </c>
      <c r="F55" s="703"/>
      <c r="G55" s="703"/>
      <c r="H55" s="703"/>
      <c r="I55" s="703"/>
      <c r="J55" s="703"/>
      <c r="K55" s="703"/>
      <c r="L55" s="703"/>
      <c r="M55" s="703"/>
      <c r="N55" s="703"/>
      <c r="O55" s="703"/>
      <c r="P55" s="703"/>
      <c r="Q55" s="704"/>
      <c r="R55" s="731">
        <f ca="1">SUM(C55:Q55)</f>
        <v>2076.0399076532899</v>
      </c>
    </row>
    <row r="56" spans="1:18" ht="15.75" thickBot="1">
      <c r="A56" s="823" t="s">
        <v>849</v>
      </c>
      <c r="B56" s="836"/>
      <c r="C56" s="732">
        <f ca="1">SUM(C54:C55)</f>
        <v>576.71067537362751</v>
      </c>
      <c r="D56" s="732">
        <f t="shared" ref="D56:Q56" ca="1" si="7">SUM(D54:D55)</f>
        <v>0</v>
      </c>
      <c r="E56" s="732">
        <f t="shared" si="7"/>
        <v>1695.2854170406756</v>
      </c>
      <c r="F56" s="732">
        <f t="shared" si="7"/>
        <v>1.5536806194534101</v>
      </c>
      <c r="G56" s="732">
        <f t="shared" si="7"/>
        <v>259.0421770129193</v>
      </c>
      <c r="H56" s="732">
        <f t="shared" si="7"/>
        <v>0</v>
      </c>
      <c r="I56" s="732">
        <f t="shared" si="7"/>
        <v>0</v>
      </c>
      <c r="J56" s="732">
        <f t="shared" si="7"/>
        <v>0</v>
      </c>
      <c r="K56" s="732">
        <f t="shared" si="7"/>
        <v>13.527078317805628</v>
      </c>
      <c r="L56" s="732">
        <f t="shared" si="7"/>
        <v>0</v>
      </c>
      <c r="M56" s="732">
        <f t="shared" si="7"/>
        <v>0</v>
      </c>
      <c r="N56" s="732">
        <f t="shared" si="7"/>
        <v>0</v>
      </c>
      <c r="O56" s="732">
        <f t="shared" si="7"/>
        <v>0</v>
      </c>
      <c r="P56" s="732">
        <f t="shared" si="7"/>
        <v>0</v>
      </c>
      <c r="Q56" s="733">
        <f t="shared" si="7"/>
        <v>0</v>
      </c>
      <c r="R56" s="734">
        <f ca="1">SUM(R54:R55)</f>
        <v>2546.1190283644819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35670.017765297242</v>
      </c>
      <c r="D61" s="740">
        <f t="shared" ref="D61:Q61" ca="1" si="8">D46+D52+D56</f>
        <v>1.3663813813813812</v>
      </c>
      <c r="E61" s="740">
        <f t="shared" ca="1" si="8"/>
        <v>75998.522504367415</v>
      </c>
      <c r="F61" s="740">
        <f t="shared" si="8"/>
        <v>1583.4943474052905</v>
      </c>
      <c r="G61" s="740">
        <f t="shared" ca="1" si="8"/>
        <v>7465.0238409774574</v>
      </c>
      <c r="H61" s="740">
        <f t="shared" si="8"/>
        <v>77961.578193952053</v>
      </c>
      <c r="I61" s="740">
        <f t="shared" si="8"/>
        <v>11739.370230313702</v>
      </c>
      <c r="J61" s="740">
        <f t="shared" si="8"/>
        <v>0</v>
      </c>
      <c r="K61" s="740">
        <f t="shared" si="8"/>
        <v>51.076624083398997</v>
      </c>
      <c r="L61" s="740">
        <f t="shared" si="8"/>
        <v>0</v>
      </c>
      <c r="M61" s="740">
        <f t="shared" ca="1" si="8"/>
        <v>0</v>
      </c>
      <c r="N61" s="740">
        <f t="shared" si="8"/>
        <v>0</v>
      </c>
      <c r="O61" s="740">
        <f t="shared" ca="1" si="8"/>
        <v>0</v>
      </c>
      <c r="P61" s="740">
        <f t="shared" si="8"/>
        <v>0</v>
      </c>
      <c r="Q61" s="740">
        <f t="shared" si="8"/>
        <v>0</v>
      </c>
      <c r="R61" s="740">
        <f ca="1">R46+R52+R56</f>
        <v>210470.44988777791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0.21583630412409627</v>
      </c>
      <c r="D63" s="781">
        <f t="shared" ca="1" si="9"/>
        <v>0.22444444444444442</v>
      </c>
      <c r="E63" s="1023">
        <f t="shared" ca="1" si="9"/>
        <v>0.20199999999999999</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3861.4877546890925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4.25</v>
      </c>
      <c r="D76" s="1033">
        <f>'lokale energieproductie'!C8</f>
        <v>4.7222222222222214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0.95388888888888879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3861.4877546890925</v>
      </c>
      <c r="C78" s="755">
        <f>SUM(C72:C77)</f>
        <v>4.25</v>
      </c>
      <c r="D78" s="756">
        <f t="shared" ref="D78:H78" si="10">SUM(D76:D77)</f>
        <v>4.7222222222222214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0.95388888888888879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6.0878378378378377</v>
      </c>
      <c r="D87" s="777">
        <f>'lokale energieproductie'!C17</f>
        <v>6.7642642642642627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1.3663813813813812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6.0878378378378377</v>
      </c>
      <c r="D90" s="755">
        <f t="shared" ref="D90:H90" si="12">SUM(D87:D89)</f>
        <v>6.7642642642642627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1.3663813813813812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3861.4877546890925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4.25</v>
      </c>
      <c r="C8" s="570">
        <f>B101</f>
        <v>4.7222222222222214</v>
      </c>
      <c r="D8" s="1043"/>
      <c r="E8" s="1043">
        <f>E101</f>
        <v>0</v>
      </c>
      <c r="F8" s="1044"/>
      <c r="G8" s="571"/>
      <c r="H8" s="1043">
        <f>I101</f>
        <v>0</v>
      </c>
      <c r="I8" s="1043">
        <f>G101+F101</f>
        <v>0</v>
      </c>
      <c r="J8" s="1043">
        <f>H101+D101+C101</f>
        <v>0</v>
      </c>
      <c r="K8" s="1043"/>
      <c r="L8" s="1043"/>
      <c r="M8" s="1043"/>
      <c r="N8" s="572"/>
      <c r="O8" s="573">
        <f>C8*$C$12+D8*$D$12+E8*$E$12+F8*$F$12+G8*$G$12+H8*$H$12+I8*$I$12+J8*$J$12</f>
        <v>0.95388888888888879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3865.7377546890925</v>
      </c>
      <c r="C10" s="583">
        <f t="shared" ref="C10:L10" si="0">SUM(C8:C9)</f>
        <v>4.7222222222222214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0.95388888888888879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6.0878378378378377</v>
      </c>
      <c r="C17" s="595">
        <f>B102</f>
        <v>6.7642642642642627</v>
      </c>
      <c r="D17" s="596"/>
      <c r="E17" s="596">
        <f>E102</f>
        <v>0</v>
      </c>
      <c r="F17" s="1049"/>
      <c r="G17" s="597"/>
      <c r="H17" s="595">
        <f>I102</f>
        <v>0</v>
      </c>
      <c r="I17" s="596">
        <f>G102+F102</f>
        <v>0</v>
      </c>
      <c r="J17" s="596">
        <f>H102+D102+C102</f>
        <v>0</v>
      </c>
      <c r="K17" s="596"/>
      <c r="L17" s="596"/>
      <c r="M17" s="596"/>
      <c r="N17" s="1050"/>
      <c r="O17" s="598">
        <f>C17*$C$22+E17*$E$22+H17*$H$22+I17*$I$22+J17*$J$22+D17*$D$22+F17*$F$22+G17*$G$22+K17*$K$22+L17*$L$22</f>
        <v>1.3663813813813812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6.0878378378378377</v>
      </c>
      <c r="C20" s="582">
        <f>SUM(C17:C19)</f>
        <v>6.7642642642642627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1.3663813813813812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11040</v>
      </c>
      <c r="C28" s="796">
        <v>2900</v>
      </c>
      <c r="D28" s="653" t="s">
        <v>890</v>
      </c>
      <c r="E28" s="652" t="s">
        <v>891</v>
      </c>
      <c r="F28" s="652" t="s">
        <v>892</v>
      </c>
      <c r="G28" s="652" t="s">
        <v>893</v>
      </c>
      <c r="H28" s="652" t="s">
        <v>893</v>
      </c>
      <c r="I28" s="652" t="s">
        <v>891</v>
      </c>
      <c r="J28" s="795">
        <v>42256</v>
      </c>
      <c r="K28" s="795">
        <v>42256</v>
      </c>
      <c r="L28" s="652" t="s">
        <v>894</v>
      </c>
      <c r="M28" s="652">
        <v>3.4</v>
      </c>
      <c r="N28" s="652">
        <v>4.25</v>
      </c>
      <c r="O28" s="652">
        <v>6.0878378378378377</v>
      </c>
      <c r="P28" s="652">
        <v>11.486486486486486</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3.4</v>
      </c>
      <c r="N58" s="610">
        <f>SUM(N28:N57)</f>
        <v>4.25</v>
      </c>
      <c r="O58" s="610">
        <f t="shared" ref="O58:W58" si="2">SUM(O28:O57)</f>
        <v>6.0878378378378377</v>
      </c>
      <c r="P58" s="610">
        <f t="shared" si="2"/>
        <v>11.486486486486486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3.4</v>
      </c>
      <c r="N60" s="610">
        <f ca="1">SUMIF($Z$28:AD57,"tertiair",N28:N57)</f>
        <v>4.25</v>
      </c>
      <c r="O60" s="610">
        <f ca="1">SUMIF($Z$28:AE57,"tertiair",O28:O57)</f>
        <v>6.0878378378378377</v>
      </c>
      <c r="P60" s="610">
        <f ca="1">SUMIF($Z$28:AF57,"tertiair",P28:P57)</f>
        <v>11.486486486486486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0.5888888888888888</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4.7222222222222214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6.7642642642642627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59169.016707533214</v>
      </c>
      <c r="C4" s="477">
        <f>huishoudens!C8</f>
        <v>0</v>
      </c>
      <c r="D4" s="477">
        <f>huishoudens!D8</f>
        <v>171414.09771969999</v>
      </c>
      <c r="E4" s="477">
        <f>huishoudens!E8</f>
        <v>2294.725426879148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10997.727029842346</v>
      </c>
      <c r="O4" s="477">
        <f>huishoudens!O8</f>
        <v>239.19000000000003</v>
      </c>
      <c r="P4" s="478">
        <f>huishoudens!P8</f>
        <v>476.66666666666663</v>
      </c>
      <c r="Q4" s="479">
        <f>SUM(B4:P4)</f>
        <v>244591.42355062137</v>
      </c>
    </row>
    <row r="5" spans="1:17">
      <c r="A5" s="476" t="s">
        <v>156</v>
      </c>
      <c r="B5" s="477">
        <f ca="1">tertiair!B16</f>
        <v>45291.567188399997</v>
      </c>
      <c r="C5" s="477">
        <f ca="1">tertiair!C16</f>
        <v>6.0878378378378377</v>
      </c>
      <c r="D5" s="477">
        <f ca="1">tertiair!D16</f>
        <v>58029.42582451491</v>
      </c>
      <c r="E5" s="477">
        <f>tertiair!E16</f>
        <v>988.09018366116288</v>
      </c>
      <c r="F5" s="477">
        <f ca="1">tertiair!F16</f>
        <v>10998.560892303891</v>
      </c>
      <c r="G5" s="477">
        <f>tertiair!G16</f>
        <v>0</v>
      </c>
      <c r="H5" s="477">
        <f>tertiair!H16</f>
        <v>0</v>
      </c>
      <c r="I5" s="477">
        <f>tertiair!I16</f>
        <v>0</v>
      </c>
      <c r="J5" s="477">
        <f>tertiair!J16</f>
        <v>0</v>
      </c>
      <c r="K5" s="477">
        <f>tertiair!K16</f>
        <v>0</v>
      </c>
      <c r="L5" s="477">
        <f ca="1">tertiair!L16</f>
        <v>0</v>
      </c>
      <c r="M5" s="477">
        <f>tertiair!M16</f>
        <v>0</v>
      </c>
      <c r="N5" s="477">
        <f ca="1">tertiair!N16</f>
        <v>2263.1478695754777</v>
      </c>
      <c r="O5" s="477">
        <f>tertiair!O16</f>
        <v>1.5633333333333335</v>
      </c>
      <c r="P5" s="478">
        <f>tertiair!P16</f>
        <v>0</v>
      </c>
      <c r="Q5" s="476">
        <f t="shared" ref="Q5:Q14" ca="1" si="0">SUM(B5:P5)</f>
        <v>117578.44312962661</v>
      </c>
    </row>
    <row r="6" spans="1:17">
      <c r="A6" s="476" t="s">
        <v>194</v>
      </c>
      <c r="B6" s="477">
        <f>'openbare verlichting'!B8</f>
        <v>1886.914</v>
      </c>
      <c r="C6" s="477"/>
      <c r="D6" s="477"/>
      <c r="E6" s="477"/>
      <c r="F6" s="477"/>
      <c r="G6" s="477"/>
      <c r="H6" s="477"/>
      <c r="I6" s="477"/>
      <c r="J6" s="477"/>
      <c r="K6" s="477"/>
      <c r="L6" s="477"/>
      <c r="M6" s="477"/>
      <c r="N6" s="477"/>
      <c r="O6" s="477"/>
      <c r="P6" s="478"/>
      <c r="Q6" s="476">
        <f t="shared" si="0"/>
        <v>1886.914</v>
      </c>
    </row>
    <row r="7" spans="1:17">
      <c r="A7" s="476" t="s">
        <v>112</v>
      </c>
      <c r="B7" s="477">
        <f>landbouw!B8</f>
        <v>265.42951325000001</v>
      </c>
      <c r="C7" s="477">
        <f>landbouw!C8</f>
        <v>0</v>
      </c>
      <c r="D7" s="477">
        <f>landbouw!D8</f>
        <v>686.46960205779999</v>
      </c>
      <c r="E7" s="477">
        <f>landbouw!E8</f>
        <v>6.8444080152132605</v>
      </c>
      <c r="F7" s="477">
        <f>landbouw!F8</f>
        <v>970.19541952404222</v>
      </c>
      <c r="G7" s="477">
        <f>landbouw!G8</f>
        <v>0</v>
      </c>
      <c r="H7" s="477">
        <f>landbouw!H8</f>
        <v>0</v>
      </c>
      <c r="I7" s="477">
        <f>landbouw!I8</f>
        <v>0</v>
      </c>
      <c r="J7" s="477">
        <f>landbouw!J8</f>
        <v>38.212085643518726</v>
      </c>
      <c r="K7" s="477">
        <f>landbouw!K8</f>
        <v>0</v>
      </c>
      <c r="L7" s="477">
        <f>landbouw!L8</f>
        <v>0</v>
      </c>
      <c r="M7" s="477">
        <f>landbouw!M8</f>
        <v>0</v>
      </c>
      <c r="N7" s="477">
        <f>landbouw!N8</f>
        <v>0</v>
      </c>
      <c r="O7" s="477">
        <f>landbouw!O8</f>
        <v>0</v>
      </c>
      <c r="P7" s="478">
        <f>landbouw!P8</f>
        <v>0</v>
      </c>
      <c r="Q7" s="476">
        <f t="shared" si="0"/>
        <v>1967.1510284905742</v>
      </c>
    </row>
    <row r="8" spans="1:17">
      <c r="A8" s="476" t="s">
        <v>638</v>
      </c>
      <c r="B8" s="477">
        <f>industrie!B18</f>
        <v>56168.581884800995</v>
      </c>
      <c r="C8" s="477">
        <f>industrie!C18</f>
        <v>0</v>
      </c>
      <c r="D8" s="477">
        <f>industrie!D18</f>
        <v>138223.24732281207</v>
      </c>
      <c r="E8" s="477">
        <f>industrie!E18</f>
        <v>2930.3447564600415</v>
      </c>
      <c r="F8" s="477">
        <f>industrie!F18</f>
        <v>15990.13447834981</v>
      </c>
      <c r="G8" s="477">
        <f>industrie!G18</f>
        <v>0</v>
      </c>
      <c r="H8" s="477">
        <f>industrie!H18</f>
        <v>0</v>
      </c>
      <c r="I8" s="477">
        <f>industrie!I18</f>
        <v>0</v>
      </c>
      <c r="J8" s="477">
        <f>industrie!J18</f>
        <v>106.0721631796423</v>
      </c>
      <c r="K8" s="477">
        <f>industrie!K18</f>
        <v>0</v>
      </c>
      <c r="L8" s="477">
        <f>industrie!L18</f>
        <v>0</v>
      </c>
      <c r="M8" s="477">
        <f>industrie!M18</f>
        <v>0</v>
      </c>
      <c r="N8" s="477">
        <f>industrie!N18</f>
        <v>18855.501552159301</v>
      </c>
      <c r="O8" s="477">
        <f>industrie!O18</f>
        <v>0</v>
      </c>
      <c r="P8" s="478">
        <f>industrie!P18</f>
        <v>0</v>
      </c>
      <c r="Q8" s="476">
        <f t="shared" si="0"/>
        <v>232273.88215776189</v>
      </c>
    </row>
    <row r="9" spans="1:17" s="482" customFormat="1">
      <c r="A9" s="480" t="s">
        <v>564</v>
      </c>
      <c r="B9" s="481">
        <f>transport!B14</f>
        <v>76.155257475711551</v>
      </c>
      <c r="C9" s="481">
        <f>transport!C14</f>
        <v>0</v>
      </c>
      <c r="D9" s="481">
        <f>transport!D14</f>
        <v>171.03649597667155</v>
      </c>
      <c r="E9" s="481">
        <f>transport!E14</f>
        <v>755.74124879628619</v>
      </c>
      <c r="F9" s="481">
        <f>transport!F14</f>
        <v>0</v>
      </c>
      <c r="G9" s="481">
        <f>transport!G14</f>
        <v>288254.10468241124</v>
      </c>
      <c r="H9" s="481">
        <f>transport!H14</f>
        <v>47146.06518198274</v>
      </c>
      <c r="I9" s="481">
        <f>transport!I14</f>
        <v>0</v>
      </c>
      <c r="J9" s="481">
        <f>transport!J14</f>
        <v>0</v>
      </c>
      <c r="K9" s="481">
        <f>transport!K14</f>
        <v>0</v>
      </c>
      <c r="L9" s="481">
        <f>transport!L14</f>
        <v>0</v>
      </c>
      <c r="M9" s="481">
        <f>transport!M14</f>
        <v>10493.715442157512</v>
      </c>
      <c r="N9" s="481">
        <f>transport!N14</f>
        <v>0</v>
      </c>
      <c r="O9" s="481">
        <f>transport!O14</f>
        <v>0</v>
      </c>
      <c r="P9" s="481">
        <f>transport!P14</f>
        <v>0</v>
      </c>
      <c r="Q9" s="480">
        <f>SUM(B9:P9)</f>
        <v>346896.81830880023</v>
      </c>
    </row>
    <row r="10" spans="1:17">
      <c r="A10" s="476" t="s">
        <v>554</v>
      </c>
      <c r="B10" s="477">
        <f>transport!B54</f>
        <v>0</v>
      </c>
      <c r="C10" s="477">
        <f>transport!C54</f>
        <v>0</v>
      </c>
      <c r="D10" s="477">
        <f>transport!D54</f>
        <v>0</v>
      </c>
      <c r="E10" s="477">
        <f>transport!E54</f>
        <v>0</v>
      </c>
      <c r="F10" s="477">
        <f>transport!F54</f>
        <v>0</v>
      </c>
      <c r="G10" s="477">
        <f>transport!G54</f>
        <v>3736.8248829522645</v>
      </c>
      <c r="H10" s="477">
        <f>transport!H54</f>
        <v>0</v>
      </c>
      <c r="I10" s="477">
        <f>transport!I54</f>
        <v>0</v>
      </c>
      <c r="J10" s="477">
        <f>transport!J54</f>
        <v>0</v>
      </c>
      <c r="K10" s="477">
        <f>transport!K54</f>
        <v>0</v>
      </c>
      <c r="L10" s="477">
        <f>transport!L54</f>
        <v>0</v>
      </c>
      <c r="M10" s="477">
        <f>transport!M54</f>
        <v>115.90794791148463</v>
      </c>
      <c r="N10" s="477">
        <f>transport!N54</f>
        <v>0</v>
      </c>
      <c r="O10" s="477">
        <f>transport!O54</f>
        <v>0</v>
      </c>
      <c r="P10" s="478">
        <f>transport!P54</f>
        <v>0</v>
      </c>
      <c r="Q10" s="476">
        <f t="shared" si="0"/>
        <v>3852.7328308637493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2406.5522820000001</v>
      </c>
      <c r="C14" s="484"/>
      <c r="D14" s="484">
        <f>'SEAP template'!E25</f>
        <v>7706.0324625000003</v>
      </c>
      <c r="E14" s="484"/>
      <c r="F14" s="484"/>
      <c r="G14" s="484"/>
      <c r="H14" s="484"/>
      <c r="I14" s="484"/>
      <c r="J14" s="484"/>
      <c r="K14" s="484"/>
      <c r="L14" s="484"/>
      <c r="M14" s="484"/>
      <c r="N14" s="484"/>
      <c r="O14" s="484"/>
      <c r="P14" s="485"/>
      <c r="Q14" s="476">
        <f t="shared" si="0"/>
        <v>10112.5847445</v>
      </c>
    </row>
    <row r="15" spans="1:17" s="486" customFormat="1">
      <c r="A15" s="1038" t="s">
        <v>558</v>
      </c>
      <c r="B15" s="978">
        <f ca="1">SUM(B4:B14)</f>
        <v>165264.21683345991</v>
      </c>
      <c r="C15" s="978">
        <f t="shared" ref="C15:Q15" ca="1" si="1">SUM(C4:C14)</f>
        <v>6.0878378378378377</v>
      </c>
      <c r="D15" s="978">
        <f t="shared" ca="1" si="1"/>
        <v>376230.30942756141</v>
      </c>
      <c r="E15" s="978">
        <f t="shared" si="1"/>
        <v>6975.746023811852</v>
      </c>
      <c r="F15" s="978">
        <f t="shared" ca="1" si="1"/>
        <v>27958.890790177742</v>
      </c>
      <c r="G15" s="978">
        <f t="shared" si="1"/>
        <v>291990.92956536351</v>
      </c>
      <c r="H15" s="978">
        <f t="shared" si="1"/>
        <v>47146.06518198274</v>
      </c>
      <c r="I15" s="978">
        <f t="shared" si="1"/>
        <v>0</v>
      </c>
      <c r="J15" s="978">
        <f t="shared" si="1"/>
        <v>144.28424882316102</v>
      </c>
      <c r="K15" s="978">
        <f t="shared" si="1"/>
        <v>0</v>
      </c>
      <c r="L15" s="978">
        <f t="shared" ca="1" si="1"/>
        <v>0</v>
      </c>
      <c r="M15" s="978">
        <f t="shared" si="1"/>
        <v>10609.623390068997</v>
      </c>
      <c r="N15" s="978">
        <f t="shared" ca="1" si="1"/>
        <v>32116.376451577125</v>
      </c>
      <c r="O15" s="978">
        <f t="shared" si="1"/>
        <v>240.75333333333336</v>
      </c>
      <c r="P15" s="978">
        <f t="shared" si="1"/>
        <v>476.66666666666663</v>
      </c>
      <c r="Q15" s="978">
        <f t="shared" ca="1" si="1"/>
        <v>959159.94975066453</v>
      </c>
    </row>
    <row r="17" spans="1:17">
      <c r="A17" s="487" t="s">
        <v>559</v>
      </c>
      <c r="B17" s="786">
        <f ca="1">huishoudens!B10</f>
        <v>0.21583630412409621</v>
      </c>
      <c r="C17" s="786">
        <f ca="1">huishoudens!C10</f>
        <v>0.22444444444444442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12770.821884810868</v>
      </c>
      <c r="C22" s="477">
        <f t="shared" ref="C22:C32" ca="1" si="3">C4*$C$17</f>
        <v>0</v>
      </c>
      <c r="D22" s="477">
        <f t="shared" ref="D22:D32" si="4">D4*$D$17</f>
        <v>34625.647739379398</v>
      </c>
      <c r="E22" s="477">
        <f t="shared" ref="E22:E32" si="5">E4*$E$17</f>
        <v>520.90267190156658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47917.372296091831</v>
      </c>
    </row>
    <row r="23" spans="1:17">
      <c r="A23" s="476" t="s">
        <v>156</v>
      </c>
      <c r="B23" s="477">
        <f t="shared" ca="1" si="2"/>
        <v>9775.5644699324384</v>
      </c>
      <c r="C23" s="477">
        <f t="shared" ca="1" si="3"/>
        <v>1.3663813813813812</v>
      </c>
      <c r="D23" s="477">
        <f t="shared" ca="1" si="4"/>
        <v>11721.944016552012</v>
      </c>
      <c r="E23" s="477">
        <f t="shared" si="5"/>
        <v>224.29647169108398</v>
      </c>
      <c r="F23" s="477">
        <f t="shared" ca="1" si="6"/>
        <v>2936.6157582451392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24659.787097802051</v>
      </c>
    </row>
    <row r="24" spans="1:17">
      <c r="A24" s="476" t="s">
        <v>194</v>
      </c>
      <c r="B24" s="477">
        <f t="shared" ca="1" si="2"/>
        <v>407.26454396001486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407.26454396001486</v>
      </c>
    </row>
    <row r="25" spans="1:17">
      <c r="A25" s="476" t="s">
        <v>112</v>
      </c>
      <c r="B25" s="477">
        <f t="shared" ca="1" si="2"/>
        <v>57.289325145337827</v>
      </c>
      <c r="C25" s="477">
        <f t="shared" ca="1" si="3"/>
        <v>0</v>
      </c>
      <c r="D25" s="477">
        <f t="shared" si="4"/>
        <v>138.66685961567561</v>
      </c>
      <c r="E25" s="477">
        <f t="shared" si="5"/>
        <v>1.5536806194534101</v>
      </c>
      <c r="F25" s="477">
        <f t="shared" si="6"/>
        <v>259.0421770129193</v>
      </c>
      <c r="G25" s="477">
        <f t="shared" si="7"/>
        <v>0</v>
      </c>
      <c r="H25" s="477">
        <f t="shared" si="8"/>
        <v>0</v>
      </c>
      <c r="I25" s="477">
        <f t="shared" si="9"/>
        <v>0</v>
      </c>
      <c r="J25" s="477">
        <f t="shared" si="10"/>
        <v>13.527078317805628</v>
      </c>
      <c r="K25" s="477">
        <f t="shared" si="11"/>
        <v>0</v>
      </c>
      <c r="L25" s="477">
        <f t="shared" si="12"/>
        <v>0</v>
      </c>
      <c r="M25" s="477">
        <f t="shared" si="13"/>
        <v>0</v>
      </c>
      <c r="N25" s="477">
        <f t="shared" si="14"/>
        <v>0</v>
      </c>
      <c r="O25" s="477">
        <f t="shared" si="15"/>
        <v>0</v>
      </c>
      <c r="P25" s="478">
        <f t="shared" si="16"/>
        <v>0</v>
      </c>
      <c r="Q25" s="476">
        <f t="shared" ca="1" si="17"/>
        <v>470.07912071119176</v>
      </c>
    </row>
    <row r="26" spans="1:17">
      <c r="A26" s="476" t="s">
        <v>638</v>
      </c>
      <c r="B26" s="477">
        <f t="shared" ca="1" si="2"/>
        <v>12123.219121907108</v>
      </c>
      <c r="C26" s="477">
        <f t="shared" ca="1" si="3"/>
        <v>0</v>
      </c>
      <c r="D26" s="477">
        <f t="shared" si="4"/>
        <v>27921.09595920804</v>
      </c>
      <c r="E26" s="477">
        <f t="shared" si="5"/>
        <v>665.18825971642946</v>
      </c>
      <c r="F26" s="477">
        <f t="shared" si="6"/>
        <v>4269.3659057193991</v>
      </c>
      <c r="G26" s="477">
        <f t="shared" si="7"/>
        <v>0</v>
      </c>
      <c r="H26" s="477">
        <f t="shared" si="8"/>
        <v>0</v>
      </c>
      <c r="I26" s="477">
        <f t="shared" si="9"/>
        <v>0</v>
      </c>
      <c r="J26" s="477">
        <f t="shared" si="10"/>
        <v>37.549545765593372</v>
      </c>
      <c r="K26" s="477">
        <f t="shared" si="11"/>
        <v>0</v>
      </c>
      <c r="L26" s="477">
        <f t="shared" si="12"/>
        <v>0</v>
      </c>
      <c r="M26" s="477">
        <f t="shared" si="13"/>
        <v>0</v>
      </c>
      <c r="N26" s="477">
        <f t="shared" si="14"/>
        <v>0</v>
      </c>
      <c r="O26" s="477">
        <f t="shared" si="15"/>
        <v>0</v>
      </c>
      <c r="P26" s="478">
        <f t="shared" si="16"/>
        <v>0</v>
      </c>
      <c r="Q26" s="476">
        <f t="shared" ca="1" si="17"/>
        <v>45016.418792316574</v>
      </c>
    </row>
    <row r="27" spans="1:17" s="482" customFormat="1">
      <c r="A27" s="480" t="s">
        <v>564</v>
      </c>
      <c r="B27" s="780">
        <f t="shared" ca="1" si="2"/>
        <v>16.437069313176529</v>
      </c>
      <c r="C27" s="481">
        <f t="shared" ca="1" si="3"/>
        <v>0</v>
      </c>
      <c r="D27" s="481">
        <f t="shared" si="4"/>
        <v>34.549372187287652</v>
      </c>
      <c r="E27" s="481">
        <f t="shared" si="5"/>
        <v>171.55326347675697</v>
      </c>
      <c r="F27" s="481">
        <f t="shared" si="6"/>
        <v>0</v>
      </c>
      <c r="G27" s="481">
        <f t="shared" si="7"/>
        <v>76963.845950203802</v>
      </c>
      <c r="H27" s="481">
        <f t="shared" si="8"/>
        <v>11739.370230313702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88925.755885494713</v>
      </c>
    </row>
    <row r="28" spans="1:17">
      <c r="A28" s="476" t="s">
        <v>554</v>
      </c>
      <c r="B28" s="477">
        <f t="shared" ca="1" si="2"/>
        <v>0</v>
      </c>
      <c r="C28" s="477">
        <f t="shared" ca="1" si="3"/>
        <v>0</v>
      </c>
      <c r="D28" s="477">
        <f t="shared" si="4"/>
        <v>0</v>
      </c>
      <c r="E28" s="477">
        <f t="shared" si="5"/>
        <v>0</v>
      </c>
      <c r="F28" s="477">
        <f t="shared" si="6"/>
        <v>0</v>
      </c>
      <c r="G28" s="477">
        <f t="shared" si="7"/>
        <v>997.73224374825463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997.73224374825463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519.42135022828973</v>
      </c>
      <c r="C32" s="477">
        <f t="shared" ca="1" si="3"/>
        <v>0</v>
      </c>
      <c r="D32" s="477">
        <f t="shared" si="4"/>
        <v>1556.6185574250001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2076.0399076532899</v>
      </c>
    </row>
    <row r="33" spans="1:17" s="486" customFormat="1">
      <c r="A33" s="1038" t="s">
        <v>558</v>
      </c>
      <c r="B33" s="978">
        <f ca="1">SUM(B22:B32)</f>
        <v>35670.017765297234</v>
      </c>
      <c r="C33" s="978">
        <f t="shared" ref="C33:Q33" ca="1" si="18">SUM(C22:C32)</f>
        <v>1.3663813813813812</v>
      </c>
      <c r="D33" s="978">
        <f t="shared" ca="1" si="18"/>
        <v>75998.522504367415</v>
      </c>
      <c r="E33" s="978">
        <f t="shared" si="18"/>
        <v>1583.4943474052902</v>
      </c>
      <c r="F33" s="978">
        <f t="shared" ca="1" si="18"/>
        <v>7465.0238409774574</v>
      </c>
      <c r="G33" s="978">
        <f t="shared" si="18"/>
        <v>77961.578193952053</v>
      </c>
      <c r="H33" s="978">
        <f t="shared" si="18"/>
        <v>11739.370230313702</v>
      </c>
      <c r="I33" s="978">
        <f t="shared" si="18"/>
        <v>0</v>
      </c>
      <c r="J33" s="978">
        <f t="shared" si="18"/>
        <v>51.076624083398997</v>
      </c>
      <c r="K33" s="978">
        <f t="shared" si="18"/>
        <v>0</v>
      </c>
      <c r="L33" s="978">
        <f t="shared" ca="1" si="18"/>
        <v>0</v>
      </c>
      <c r="M33" s="978">
        <f t="shared" si="18"/>
        <v>0</v>
      </c>
      <c r="N33" s="978">
        <f t="shared" ca="1" si="18"/>
        <v>0</v>
      </c>
      <c r="O33" s="978">
        <f t="shared" si="18"/>
        <v>0</v>
      </c>
      <c r="P33" s="978">
        <f t="shared" si="18"/>
        <v>0</v>
      </c>
      <c r="Q33" s="978">
        <f t="shared" ca="1" si="18"/>
        <v>210470.44988777791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3861.4877546890925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4.25</v>
      </c>
      <c r="D8" s="1055">
        <f>'SEAP template'!D76</f>
        <v>4.7222222222222214</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0.95388888888888879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3861.4877546890925</v>
      </c>
      <c r="C10" s="1059">
        <f>SUM(C4:C9)</f>
        <v>4.25</v>
      </c>
      <c r="D10" s="1059">
        <f t="shared" ref="D10:H10" si="0">SUM(D8:D9)</f>
        <v>4.7222222222222214</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0.95388888888888879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0.21583630412409621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6.0878378378378377</v>
      </c>
      <c r="D17" s="1056">
        <f>'SEAP template'!D87</f>
        <v>6.7642642642642627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1.3663813813813812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6.0878378378378377</v>
      </c>
      <c r="D20" s="1059">
        <f t="shared" ref="D20:H20" si="2">SUM(D17:D19)</f>
        <v>6.7642642642642627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1.3663813813813812</v>
      </c>
    </row>
    <row r="22" spans="1:16">
      <c r="A22" s="487" t="s">
        <v>871</v>
      </c>
      <c r="B22" s="786" t="s">
        <v>865</v>
      </c>
      <c r="C22" s="786">
        <f ca="1">'EF ele_warmte'!B22</f>
        <v>0.22444444444444442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0.21583630412409621</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4.6900000000000004</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2019-08-12T08:22:22Z</dcterms:modified>
</cp:coreProperties>
</file>