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P8"/>
  <c r="P26" s="1"/>
  <c r="Q13" i="14"/>
  <c r="F20"/>
  <c r="F22" s="1"/>
  <c r="E9" i="48"/>
  <c r="E27" s="1"/>
  <c r="E20" i="14"/>
  <c r="E22" s="1"/>
  <c r="D9" i="48"/>
  <c r="D27" s="1"/>
  <c r="O5"/>
  <c r="O23" s="1"/>
  <c r="P10" i="14"/>
  <c r="J7" i="48"/>
  <c r="J25" s="1"/>
  <c r="K24" i="14"/>
  <c r="K26" s="1"/>
  <c r="P22" i="48"/>
  <c r="C20" i="14"/>
  <c r="B9" i="48"/>
  <c r="Q16" i="14"/>
  <c r="Q27" s="1"/>
  <c r="Q63" s="1"/>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N20"/>
  <c r="M9" i="48"/>
  <c r="O22" i="16"/>
  <c r="P43" i="14" s="1"/>
  <c r="O8" i="48"/>
  <c r="O26" s="1"/>
  <c r="O33" s="1"/>
  <c r="P13" i="14"/>
  <c r="P16" s="1"/>
  <c r="P27" s="1"/>
  <c r="H20"/>
  <c r="R20" s="1"/>
  <c r="G9" i="48"/>
  <c r="I20" i="14"/>
  <c r="H9" i="48"/>
  <c r="M10"/>
  <c r="M28" s="1"/>
  <c r="N19" i="14"/>
  <c r="G10" i="48"/>
  <c r="H19" i="14"/>
  <c r="R19" s="1"/>
  <c r="R18"/>
  <c r="G31" i="48"/>
  <c r="Q13"/>
  <c r="I23"/>
  <c r="I33" s="1"/>
  <c r="I15"/>
  <c r="J4"/>
  <c r="K11" i="14"/>
  <c r="E7" i="48"/>
  <c r="E25" s="1"/>
  <c r="F24" i="14"/>
  <c r="F26" s="1"/>
  <c r="C22"/>
  <c r="N22"/>
  <c r="N27" s="1"/>
  <c r="P46"/>
  <c r="P61" s="1"/>
  <c r="P15" i="48"/>
  <c r="J63" i="14"/>
  <c r="P33" i="48"/>
  <c r="I22" i="14"/>
  <c r="I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J22" i="48" l="1"/>
  <c r="G28"/>
  <c r="Q10"/>
  <c r="E22"/>
  <c r="Q4"/>
  <c r="E5"/>
  <c r="E23" s="1"/>
  <c r="F10" i="14"/>
  <c r="G27" i="48"/>
  <c r="G33" s="1"/>
  <c r="G15"/>
  <c r="J5"/>
  <c r="J23" s="1"/>
  <c r="K10" i="14"/>
  <c r="H27" i="48"/>
  <c r="H33" s="1"/>
  <c r="H15"/>
  <c r="M27"/>
  <c r="M33" s="1"/>
  <c r="M15"/>
  <c r="R11" i="14"/>
  <c r="P63"/>
  <c r="H22"/>
  <c r="H27" s="1"/>
  <c r="O15" i="48"/>
  <c r="R22" i="14"/>
  <c r="Q9" i="48"/>
  <c r="Q7"/>
  <c r="E20" i="15"/>
  <c r="F40" i="14" s="1"/>
  <c r="J18" i="16"/>
  <c r="E18"/>
  <c r="F18"/>
  <c r="F22" s="1"/>
  <c r="G43" i="14" s="1"/>
  <c r="N18" i="16"/>
  <c r="G18" i="22"/>
  <c r="H50" i="14" s="1"/>
  <c r="H52" s="1"/>
  <c r="H61" s="1"/>
  <c r="H63" s="1"/>
  <c r="E22" i="16"/>
  <c r="F43" i="14" s="1"/>
  <c r="H18" i="22"/>
  <c r="I50" i="14" s="1"/>
  <c r="I52" s="1"/>
  <c r="I61" s="1"/>
  <c r="I63" s="1"/>
  <c r="J22" i="16" l="1"/>
  <c r="K43" i="14" s="1"/>
  <c r="K46" s="1"/>
  <c r="K61" s="1"/>
  <c r="J8" i="48"/>
  <c r="K13" i="14"/>
  <c r="E8" i="48"/>
  <c r="E26" s="1"/>
  <c r="E33" s="1"/>
  <c r="F13" i="14"/>
  <c r="F16" s="1"/>
  <c r="F27" s="1"/>
  <c r="F46"/>
  <c r="F61" s="1"/>
  <c r="K16"/>
  <c r="K27" s="1"/>
  <c r="N8" i="48"/>
  <c r="N26" s="1"/>
  <c r="O13" i="14"/>
  <c r="N22" i="16"/>
  <c r="O43" i="14" s="1"/>
  <c r="G13"/>
  <c r="R13" s="1"/>
  <c r="F8" i="48"/>
  <c r="J26" l="1"/>
  <c r="J33" s="1"/>
  <c r="J15"/>
  <c r="F6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<sst xmlns="http://schemas.openxmlformats.org/spreadsheetml/2006/main" count="2392" uniqueCount="890">
  <si>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</si>
  <si>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</si>
  <si>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</si>
  <si>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</si>
  <si>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</si>
  <si>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</si>
  <si>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</si>
  <si>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</si>
  <si>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</si>
  <si>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</si>
  <si>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</si>
  <si>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</si>
  <si>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</si>
  <si>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</si>
  <si>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</si>
  <si>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</si>
  <si>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</si>
  <si>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</si>
  <si>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</si>
  <si>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</si>
  <si>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</si>
  <si>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</si>
  <si>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</si>
  <si>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</si>
  <si>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</si>
  <si>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</si>
  <si>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</si>
  <si>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</si>
  <si>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</si>
  <si>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</si>
  <si>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</si>
  <si>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</si>
  <si>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</si>
  <si>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</si>
  <si>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</si>
  <si>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</si>
  <si>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</si>
  <si>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</si>
  <si>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</si>
  <si>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</si>
  <si>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</si>
  <si>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</si>
  <si>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</si>
  <si>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</si>
  <si>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</si>
  <si>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</si>
  <si>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</si>
  <si>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</si>
  <si>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</si>
  <si>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</si>
  <si>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</si>
  <si>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</si>
  <si>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</si>
  <si>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</si>
  <si>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</si>
  <si>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</si>
  <si>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</si>
  <si>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</si>
  <si>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</si>
  <si>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</si>
  <si>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</si>
  <si>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</si>
  <si>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</si>
  <si>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</si>
  <si>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</si>
  <si>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</si>
  <si>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</si>
  <si>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</si>
  <si>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</si>
  <si>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</si>
  <si>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</si>
  <si>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</si>
  <si>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</si>
  <si>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</si>
  <si>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</si>
  <si>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</si>
  <si>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</si>
  <si>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</si>
  <si>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</si>
  <si>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</si>
  <si>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</si>
  <si>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</si>
  <si>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</si>
  <si>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</si>
  <si>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</si>
  <si>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</si>
  <si>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</si>
  <si>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</si>
  <si>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</si>
  <si>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</si>
  <si>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</si>
  <si>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</si>
  <si>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</si>
  <si>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</si>
  <si>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</si>
  <si>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</si>
  <si>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</si>
  <si>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</si>
  <si>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</si>
  <si>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</si>
  <si>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</si>
  <si>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</si>
  <si>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</si>
  <si>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</si>
  <si>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</si>
  <si>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</si>
  <si>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</si>
  <si>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</si>
  <si>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</si>
  <si>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</si>
  <si>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</si>
  <si>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</si>
  <si>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</si>
  <si>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</si>
  <si>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</si>
  <si>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</si>
  <si>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</si>
  <si>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</si>
  <si>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</si>
  <si>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</si>
  <si>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</si>
  <si>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</si>
  <si>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</si>
  <si>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</si>
  <si>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</si>
  <si>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</si>
  <si>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</si>
  <si>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</si>
  <si>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</si>
  <si>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</si>
  <si>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</si>
  <si>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</si>
  <si>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</si>
  <si>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</si>
  <si>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</si>
  <si>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</si>
  <si>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</si>
  <si>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</si>
  <si>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</si>
  <si>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</si>
  <si>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</si>
  <si>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</si>
  <si>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</si>
  <si>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</si>
  <si>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</si>
  <si>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</si>
  <si>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</si>
  <si>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</si>
  <si>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</si>
  <si>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</si>
  <si>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</si>
  <si>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</si>
  <si>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</si>
  <si>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</si>
  <si>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</si>
  <si>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</si>
  <si>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</si>
  <si>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</si>
  <si>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</si>
  <si>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</si>
  <si>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</si>
  <si>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</si>
  <si>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</si>
  <si>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</si>
  <si>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</si>
  <si>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</si>
  <si>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</si>
  <si>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</si>
  <si>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</si>
  <si>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</si>
  <si>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</si>
  <si>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</si>
  <si>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</si>
  <si>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</si>
  <si>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</si>
  <si>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</si>
  <si>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</si>
  <si>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</si>
  <si>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</si>
  <si>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</si>
  <si>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</si>
  <si>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</si>
  <si>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</si>
  <si>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</si>
  <si>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</si>
  <si>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</si>
  <si>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</si>
  <si>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</si>
  <si>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</si>
  <si>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</si>
  <si>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</si>
  <si>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</si>
  <si>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</si>
  <si>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</si>
  <si>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</si>
  <si>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</si>
  <si>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</si>
  <si>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</si>
  <si>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</si>
  <si>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</si>
  <si>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</si>
  <si>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</si>
  <si>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</si>
  <si>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</si>
  <si>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</si>
  <si>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</si>
  <si>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</si>
  <si>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</si>
  <si>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</si>
  <si>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</si>
  <si>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</si>
  <si>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</si>
  <si>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</si>
  <si>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</si>
  <si>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</si>
  <si>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</si>
  <si>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</si>
  <si>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</si>
  <si>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</si>
  <si>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</si>
  <si>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</si>
  <si>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</si>
  <si>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</si>
  <si>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</si>
  <si>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</si>
  <si>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</si>
  <si>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</si>
  <si>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</si>
  <si>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</si>
  <si>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</si>
  <si>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</si>
  <si>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</si>
  <si>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</si>
  <si>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</si>
  <si>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</si>
  <si>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</si>
  <si>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</si>
  <si>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</si>
  <si>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</si>
  <si>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</si>
  <si>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</si>
  <si>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</si>
  <si>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</si>
  <si>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</si>
  <si>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</si>
  <si>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</si>
  <si>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</si>
  <si>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</si>
  <si>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</si>
  <si>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</si>
  <si>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</si>
  <si>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</si>
  <si>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</si>
  <si>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</si>
  <si>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</si>
  <si>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</si>
  <si>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</si>
  <si>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</si>
  <si>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</si>
  <si>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</si>
  <si>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</si>
  <si>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</si>
  <si>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</si>
  <si>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</si>
  <si>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</si>
  <si>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</si>
  <si>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</si>
  <si>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</si>
  <si>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</si>
  <si>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</si>
  <si>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</si>
  <si>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</si>
  <si>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</si>
  <si>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</si>
  <si>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</si>
  <si>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</si>
  <si>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</si>
  <si>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</si>
  <si>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</si>
  <si>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</si>
  <si>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</si>
  <si>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</si>
  <si>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</si>
  <si>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</si>
  <si>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</si>
  <si>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</si>
  <si>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</si>
  <si>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</si>
  <si>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</si>
  <si>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</si>
  <si>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</si>
  <si>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</si>
  <si>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</si>
  <si>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</si>
  <si>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</si>
  <si>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</si>
  <si>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</si>
  <si>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</si>
  <si>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</si>
  <si>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</si>
  <si>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</si>
  <si>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</si>
  <si>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</si>
  <si>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</si>
  <si>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</si>
  <si>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</si>
  <si>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</si>
  <si>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</si>
  <si>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</si>
  <si>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</si>
  <si>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</si>
  <si>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</si>
  <si>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</si>
  <si>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</si>
  <si>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</si>
  <si>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</si>
  <si>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</si>
  <si>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</si>
  <si>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</si>
  <si>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</si>
  <si>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</si>
  <si>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</si>
  <si>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</si>
  <si>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</si>
  <si>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</si>
  <si>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</si>
  <si>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</si>
  <si>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</si>
  <si>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</si>
  <si>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</si>
  <si>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</si>
  <si>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</si>
  <si>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</si>
  <si>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</si>
  <si>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</si>
  <si>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</si>
  <si>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</si>
  <si>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</si>
  <si>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</si>
  <si>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</si>
  <si>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</si>
  <si>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</si>
  <si>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</si>
  <si>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</si>
  <si>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</si>
  <si>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</si>
  <si>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</si>
  <si>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</si>
  <si>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</si>
  <si>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</si>
  <si>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</si>
  <si>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</si>
  <si>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</si>
  <si>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</si>
  <si>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</si>
  <si>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</si>
  <si>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</si>
  <si>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</si>
  <si>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</si>
  <si>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</si>
  <si>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</si>
  <si>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</si>
  <si>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</si>
  <si>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</si>
  <si>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</si>
  <si>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</si>
  <si>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</si>
  <si>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</si>
  <si>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</si>
  <si>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</si>
  <si>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</si>
  <si>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</si>
  <si>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</si>
  <si>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</si>
  <si>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</si>
  <si>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</si>
  <si>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</si>
  <si>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</si>
  <si>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</si>
  <si>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</si>
  <si>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</si>
  <si>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</si>
  <si>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</si>
  <si>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</si>
  <si>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</si>
  <si>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</si>
  <si>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</si>
  <si>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</si>
  <si>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</si>
  <si>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</si>
  <si>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</si>
  <si>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</si>
  <si>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</si>
  <si>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</si>
  <si>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</si>
  <si>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</si>
  <si>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</si>
  <si>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</si>
  <si>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</si>
  <si>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</si>
  <si>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</si>
  <si>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</si>
  <si>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</si>
  <si>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</si>
  <si>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</si>
  <si>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</si>
  <si>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</si>
  <si>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</si>
  <si>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</si>
  <si>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</si>
  <si>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</si>
  <si>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</si>
  <si>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</si>
  <si>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</si>
  <si>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</si>
  <si>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</si>
  <si>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</si>
  <si>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</si>
  <si>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</si>
  <si>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</si>
  <si>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</si>
  <si>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</si>
  <si>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</si>
  <si>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</si>
  <si>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</si>
  <si>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</si>
  <si>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</si>
  <si>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</si>
  <si>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</si>
  <si>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</si>
  <si>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</si>
  <si>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</si>
  <si>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</si>
  <si>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</si>
  <si>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</si>
  <si>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</si>
  <si>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</si>
  <si>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</si>
  <si>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</si>
  <si>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</si>
  <si>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</si>
  <si>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</si>
  <si>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</si>
  <si>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</si>
  <si>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</si>
  <si>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</si>
  <si>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</si>
  <si>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</si>
  <si>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</si>
  <si>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</si>
  <si>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</si>
  <si>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</si>
  <si>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</si>
  <si>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</si>
  <si>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</si>
  <si>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</si>
  <si>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</si>
  <si>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</si>
  <si>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</si>
  <si>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</si>
  <si>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</si>
  <si>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</si>
  <si>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</si>
  <si>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</si>
  <si>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</si>
  <si>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</si>
  <si>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</si>
  <si>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</si>
  <si>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</si>
  <si>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</si>
  <si>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</si>
  <si>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</si>
  <si>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</si>
  <si>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</si>
  <si>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</si>
  <si>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</si>
  <si>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</si>
  <si>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</si>
  <si>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</si>
  <si>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</si>
  <si>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</si>
  <si>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</si>
  <si>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</si>
  <si>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</si>
  <si>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</si>
  <si>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</si>
  <si>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</si>
  <si>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</si>
  <si>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</si>
  <si>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</si>
  <si>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</si>
  <si>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</si>
  <si>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</si>
  <si>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</si>
  <si>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</si>
  <si>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</si>
  <si>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</si>
  <si>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</si>
  <si>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</si>
  <si>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</si>
  <si>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</si>
  <si>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</si>
  <si>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</si>
  <si>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</si>
  <si>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</si>
  <si>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</si>
  <si>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</si>
  <si>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</si>
  <si>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</si>
  <si>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</si>
  <si>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</si>
  <si>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</si>
  <si>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</si>
  <si>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</si>
  <si>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</si>
  <si>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</si>
  <si>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</si>
  <si>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</si>
  <si>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</si>
  <si>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</si>
  <si>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</si>
  <si>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</si>
  <si>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</si>
  <si>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</si>
  <si>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</si>
  <si>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</si>
  <si>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</si>
  <si>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</si>
  <si>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</si>
  <si>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</si>
  <si>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</si>
  <si>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</si>
  <si>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</si>
  <si>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</si>
  <si>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</si>
  <si>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</si>
  <si>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</si>
  <si>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</si>
  <si>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</si>
  <si>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</si>
  <si>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</si>
  <si>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</si>
  <si>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</si>
  <si>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</si>
  <si>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</si>
  <si>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</si>
  <si>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</si>
  <si>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</si>
  <si>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</si>
  <si>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</si>
  <si>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</si>
  <si>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</si>
  <si>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</si>
  <si>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</si>
  <si>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</si>
  <si>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</si>
  <si>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</si>
  <si>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</si>
  <si>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</si>
  <si>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</si>
  <si>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</si>
  <si>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</si>
  <si>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</si>
  <si>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</si>
  <si>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</si>
  <si>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</si>
  <si>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</si>
  <si>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</si>
  <si>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</si>
  <si>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</si>
  <si>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</si>
  <si>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</si>
  <si>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</si>
  <si>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</si>
  <si>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</si>
  <si>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</si>
  <si>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</si>
  <si>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</si>
  <si>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</si>
  <si>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</si>
  <si>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</si>
  <si>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</si>
  <si>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</si>
  <si>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</si>
  <si>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</si>
  <si>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</si>
  <si>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</si>
  <si>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</si>
  <si>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</si>
  <si>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</si>
  <si>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</si>
  <si>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</si>
  <si>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</si>
  <si>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</si>
  <si>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</si>
  <si>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</si>
  <si>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</si>
  <si>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</si>
  <si>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</si>
  <si>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</si>
  <si>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</si>
  <si>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</si>
  <si>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</si>
  <si>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</si>
  <si>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</si>
  <si>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</si>
  <si>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</si>
  <si>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</si>
  <si>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</si>
  <si>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</si>
  <si>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</si>
  <si>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</si>
  <si>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</si>
  <si>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</si>
  <si>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</si>
  <si>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</si>
  <si>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</si>
  <si>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</si>
  <si>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</si>
  <si>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</si>
  <si>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</si>
  <si>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</si>
  <si>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</si>
  <si>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</si>
  <si>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</si>
  <si>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</si>
  <si>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</si>
  <si>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</si>
  <si>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</si>
  <si>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</si>
  <si>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</si>
  <si>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</si>
  <si>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</si>
  <si>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</si>
  <si>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</si>
  <si>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</si>
  <si>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</si>
  <si>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</si>
  <si>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</si>
  <si>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</si>
  <si>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</si>
  <si>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</si>
  <si>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</si>
  <si>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</si>
  <si>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</si>
  <si>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</si>
  <si>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</si>
  <si>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</si>
  <si>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</si>
  <si>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</si>
  <si>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</si>
  <si>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</si>
  <si>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</si>
  <si>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</si>
  <si>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</si>
  <si>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</si>
  <si>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</si>
  <si>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</si>
  <si>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</si>
  <si>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</si>
  <si>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</si>
  <si>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</si>
  <si>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</si>
  <si>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</si>
  <si>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</si>
  <si>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</si>
  <si>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</si>
  <si>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</si>
  <si>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</si>
  <si>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</si>
  <si>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</si>
  <si>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</si>
  <si>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</si>
  <si>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</si>
  <si>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</si>
  <si>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</si>
  <si>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</si>
  <si>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</si>
  <si>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</si>
  <si>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</si>
  <si>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</si>
  <si>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</si>
  <si>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</si>
  <si>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</si>
  <si>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</si>
  <si>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</si>
  <si>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</si>
  <si>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</si>
  <si>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</si>
  <si>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</si>
  <si>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</si>
  <si>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</si>
  <si>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</si>
  <si>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</si>
  <si>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</si>
  <si>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</si>
  <si>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</si>
  <si>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</si>
  <si>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</si>
  <si>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</si>
  <si>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</si>
  <si>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</si>
  <si>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</si>
  <si>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</si>
  <si>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</si>
  <si>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</si>
  <si>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</si>
  <si>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</si>
  <si>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</si>
  <si>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</si>
  <si>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</si>
  <si>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</si>
  <si>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</si>
  <si>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</si>
  <si>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</si>
  <si>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</si>
  <si>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</si>
  <si>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</si>
  <si>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</si>
  <si>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</si>
  <si>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</si>
  <si>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</si>
  <si>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</si>
  <si>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</si>
  <si>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</si>
  <si>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</si>
  <si>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</si>
  <si>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</si>
  <si>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</si>
  <si>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</si>
  <si>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</si>
  <si>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</si>
  <si>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</si>
  <si>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</si>
  <si>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</si>
  <si>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</si>
  <si>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</si>
  <si>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</si>
  <si>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</si>
  <si>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</si>
  <si>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</si>
  <si>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</si>
  <si>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</si>
  <si>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</si>
  <si>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</si>
  <si>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</si>
  <si>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</si>
  <si>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</si>
  <si>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</si>
  <si>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</si>
  <si>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</si>
  <si>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</si>
  <si>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</si>
  <si>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</si>
  <si>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</si>
  <si>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</si>
  <si>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</si>
  <si>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</si>
  <si>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</si>
  <si>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</si>
  <si>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</si>
  <si>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</si>
  <si>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</si>
  <si>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</si>
  <si>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</si>
  <si>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</si>
  <si>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</si>
  <si>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</si>
  <si>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</si>
  <si>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</si>
  <si>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</si>
  <si>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</si>
  <si>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</si>
  <si>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</si>
  <si>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</si>
  <si>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</si>
  <si>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</si>
  <si>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</si>
  <si>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</si>
  <si>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</si>
  <si>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</si>
  <si>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</si>
  <si>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</si>
  <si>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</si>
  <si>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</si>
  <si>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</si>
  <si>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</si>
  <si>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</si>
  <si>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</si>
  <si>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</si>
  <si>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</si>
  <si>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</si>
  <si>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</si>
  <si>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</si>
  <si>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</si>
  <si>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</si>
  <si>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</si>
  <si>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</si>
  <si>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</si>
  <si>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</si>
  <si>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</si>
  <si>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</si>
  <si>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</si>
  <si>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</si>
  <si>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</si>
  <si>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</si>
  <si>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</si>
  <si>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</si>
  <si>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</si>
  <si>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</si>
  <si>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</si>
  <si>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</si>
  <si>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</si>
  <si>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</si>
  <si>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</si>
  <si>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</si>
  <si>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</si>
  <si>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</si>
  <si>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</si>
  <si>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</si>
  <si>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</si>
  <si>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</si>
  <si>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</si>
  <si>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</si>
  <si>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</si>
  <si>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</si>
  <si>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</si>
  <si>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</si>
  <si>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</si>
  <si>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</si>
  <si>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</si>
  <si>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</si>
  <si>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</si>
  <si>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</si>
  <si>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</si>
  <si>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</si>
  <si>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</si>
  <si>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</si>
  <si>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</si>
  <si>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</si>
  <si>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</si>
  <si>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</si>
  <si>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</si>
  <si>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</si>
  <si>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</si>
  <si>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</si>
  <si>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</si>
  <si>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</si>
  <si>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</si>
  <si>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</si>
  <si>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</si>
  <si>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</si>
  <si>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</si>
  <si>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</si>
  <si>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</si>
  <si>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</si>
  <si>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</si>
  <si>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</si>
  <si>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</si>
  <si>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</si>
  <si>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</si>
  <si>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</si>
  <si>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</si>
  <si>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</si>
  <si>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</si>
  <si>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</si>
  <si>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</si>
  <si>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</si>
  <si>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</si>
  <si>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</si>
  <si>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</si>
  <si>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</si>
  <si>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</si>
  <si>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</si>
  <si>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</si>
  <si>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</si>
  <si>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</si>
  <si>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</si>
  <si>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</si>
  <si>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</si>
  <si>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</si>
  <si>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</si>
  <si>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11038</t>
  </si>
  <si>
    <t>SCHELLE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</si>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</sst>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54994.602220374989</c:v>
                </c:pt>
                <c:pt idx="1">
                  <c:v>28649.736562330931</c:v>
                </c:pt>
                <c:pt idx="2">
                  <c:v>413.33</c:v>
                </c:pt>
                <c:pt idx="3">
                  <c:v>900.19153381993374</c:v>
                </c:pt>
                <c:pt idx="4">
                  <c:v>6571.2700541267823</c:v>
                </c:pt>
                <c:pt idx="5">
                  <c:v>60388.455281735238</c:v>
                </c:pt>
                <c:pt idx="6">
                  <c:v>688.91891222684274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54994.602220374989</c:v>
                </c:pt>
                <c:pt idx="1">
                  <c:v>28649.736562330931</c:v>
                </c:pt>
                <c:pt idx="2">
                  <c:v>413.33</c:v>
                </c:pt>
                <c:pt idx="3">
                  <c:v>900.19153381993374</c:v>
                </c:pt>
                <c:pt idx="4">
                  <c:v>6571.2700541267823</c:v>
                </c:pt>
                <c:pt idx="5">
                  <c:v>60388.455281735238</c:v>
                </c:pt>
                <c:pt idx="6">
                  <c:v>688.91891222684274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9706.2574115895586</c:v>
                </c:pt>
                <c:pt idx="2">
                  <c:v>5084.8438318516983</c:v>
                </c:pt>
                <c:pt idx="3">
                  <c:v>60.509121671638106</c:v>
                </c:pt>
                <c:pt idx="4">
                  <c:v>219.236541776601</c:v>
                </c:pt>
                <c:pt idx="5">
                  <c:v>1187.7593043406739</c:v>
                </c:pt>
                <c:pt idx="6">
                  <c:v>15487.735753569163</c:v>
                </c:pt>
                <c:pt idx="7">
                  <c:v>178.40754659922666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84800"/>
        <c:axId val="184001280"/>
      </c:barChart>
      <c:catAx>
        <c:axId val="183884800"/>
        <c:scaling>
          <c:orientation val="minMax"/>
        </c:scaling>
        <c:axPos val="b"/>
        <c:numFmt formatCode="General" sourceLinked="0"/>
        <c:tickLblPos val="nextTo"/>
        <c:crossAx val="184001280"/>
        <c:crosses val="autoZero"/>
        <c:auto val="1"/>
        <c:lblAlgn val="ctr"/>
        <c:lblOffset val="100"/>
      </c:catAx>
      <c:valAx>
        <c:axId val="184001280"/>
        <c:scaling>
          <c:orientation val="minMax"/>
        </c:scaling>
        <c:axPos val="l"/>
        <c:majorGridlines/>
        <c:numFmt formatCode="#,##0" sourceLinked="1"/>
        <c:tickLblPos val="nextTo"/>
        <c:crossAx val="183884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9706.2574115895586</c:v>
                </c:pt>
                <c:pt idx="2">
                  <c:v>5084.8438318516983</c:v>
                </c:pt>
                <c:pt idx="3">
                  <c:v>60.509121671638106</c:v>
                </c:pt>
                <c:pt idx="4">
                  <c:v>219.236541776601</c:v>
                </c:pt>
                <c:pt idx="5">
                  <c:v>1187.7593043406739</c:v>
                </c:pt>
                <c:pt idx="6">
                  <c:v>15487.735753569163</c:v>
                </c:pt>
                <c:pt idx="7">
                  <c:v>178.40754659922666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11038</v>
      </c>
      <c r="B6" s="415"/>
      <c r="C6" s="416"/>
    </row>
    <row r="7" spans="1:7" s="413" customFormat="1" ht="15.75" customHeight="1">
      <c r="A7" s="417" t="str">
        <f>txtMunicipality</f>
        <v>SCHELLE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0.14639421690087365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0.14639421690087365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3338</v>
      </c>
      <c r="C9" s="342">
        <v>3666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277.10000000000002</v>
      </c>
    </row>
    <row r="15" spans="1:6">
      <c r="A15" s="348" t="s">
        <v>184</v>
      </c>
      <c r="B15" s="334">
        <v>2</v>
      </c>
    </row>
    <row r="16" spans="1:6">
      <c r="A16" s="348" t="s">
        <v>6</v>
      </c>
      <c r="B16" s="334">
        <v>163</v>
      </c>
    </row>
    <row r="17" spans="1:6">
      <c r="A17" s="348" t="s">
        <v>7</v>
      </c>
      <c r="B17" s="334">
        <v>3</v>
      </c>
    </row>
    <row r="18" spans="1:6">
      <c r="A18" s="348" t="s">
        <v>8</v>
      </c>
      <c r="B18" s="334">
        <v>54</v>
      </c>
    </row>
    <row r="19" spans="1:6">
      <c r="A19" s="348" t="s">
        <v>9</v>
      </c>
      <c r="B19" s="334">
        <v>56</v>
      </c>
    </row>
    <row r="20" spans="1:6">
      <c r="A20" s="348" t="s">
        <v>10</v>
      </c>
      <c r="B20" s="334">
        <v>59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97</v>
      </c>
    </row>
    <row r="27" spans="1:6">
      <c r="A27" s="348" t="s">
        <v>17</v>
      </c>
      <c r="B27" s="334">
        <v>0</v>
      </c>
    </row>
    <row r="28" spans="1:6" s="356" customFormat="1">
      <c r="A28" s="355" t="s">
        <v>18</v>
      </c>
      <c r="B28" s="355">
        <v>0</v>
      </c>
    </row>
    <row r="29" spans="1:6">
      <c r="A29" s="355" t="s">
        <v>884</v>
      </c>
      <c r="B29" s="355">
        <v>15</v>
      </c>
      <c r="C29" s="356"/>
      <c r="D29" s="356"/>
      <c r="E29" s="356"/>
      <c r="F29" s="356"/>
    </row>
    <row r="30" spans="1:6">
      <c r="A30" s="355" t="s">
        <v>885</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430958.55481</v>
      </c>
    </row>
    <row r="37" spans="1:6">
      <c r="A37" s="348" t="s">
        <v>25</v>
      </c>
      <c r="B37" s="348" t="s">
        <v>28</v>
      </c>
      <c r="C37" s="334">
        <v>0</v>
      </c>
      <c r="D37" s="334">
        <v>0</v>
      </c>
      <c r="E37" s="334">
        <v>0</v>
      </c>
      <c r="F37" s="334">
        <v>0</v>
      </c>
    </row>
    <row r="38" spans="1:6">
      <c r="A38" s="348" t="s">
        <v>25</v>
      </c>
      <c r="B38" s="348" t="s">
        <v>29</v>
      </c>
      <c r="C38" s="334">
        <v>1</v>
      </c>
      <c r="D38" s="334">
        <v>197530.19185999999</v>
      </c>
      <c r="E38" s="334">
        <v>2</v>
      </c>
      <c r="F38" s="334">
        <v>32524.871999999999</v>
      </c>
    </row>
    <row r="39" spans="1:6">
      <c r="A39" s="348" t="s">
        <v>30</v>
      </c>
      <c r="B39" s="348" t="s">
        <v>31</v>
      </c>
      <c r="C39" s="334">
        <v>2753</v>
      </c>
      <c r="D39" s="334">
        <v>41084729.472999997</v>
      </c>
      <c r="E39" s="334">
        <v>3368</v>
      </c>
      <c r="F39" s="334">
        <v>13145441.994000001</v>
      </c>
    </row>
    <row r="40" spans="1:6">
      <c r="A40" s="348" t="s">
        <v>30</v>
      </c>
      <c r="B40" s="348" t="s">
        <v>29</v>
      </c>
      <c r="C40" s="334">
        <v>0</v>
      </c>
      <c r="D40" s="334">
        <v>0</v>
      </c>
      <c r="E40" s="334">
        <v>0</v>
      </c>
      <c r="F40" s="334">
        <v>0</v>
      </c>
    </row>
    <row r="41" spans="1:6">
      <c r="A41" s="348" t="s">
        <v>32</v>
      </c>
      <c r="B41" s="348" t="s">
        <v>33</v>
      </c>
      <c r="C41" s="334">
        <v>26</v>
      </c>
      <c r="D41" s="334">
        <v>1037758.0131</v>
      </c>
      <c r="E41" s="334">
        <v>52</v>
      </c>
      <c r="F41" s="334">
        <v>823681.36523999996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25178.287561000001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575675.23366999999</v>
      </c>
      <c r="E48" s="334">
        <v>24</v>
      </c>
      <c r="F48" s="334">
        <v>931431.65064999997</v>
      </c>
    </row>
    <row r="49" spans="1:6">
      <c r="A49" s="348" t="s">
        <v>32</v>
      </c>
      <c r="B49" s="348" t="s">
        <v>40</v>
      </c>
      <c r="C49" s="334">
        <v>0</v>
      </c>
      <c r="D49" s="334">
        <v>0</v>
      </c>
      <c r="E49" s="334">
        <v>0</v>
      </c>
      <c r="F49" s="334">
        <v>0</v>
      </c>
    </row>
    <row r="50" spans="1:6">
      <c r="A50" s="348" t="s">
        <v>32</v>
      </c>
      <c r="B50" s="348" t="s">
        <v>41</v>
      </c>
      <c r="C50" s="334">
        <v>4</v>
      </c>
      <c r="D50" s="334">
        <v>1599005.1501</v>
      </c>
      <c r="E50" s="334">
        <v>5</v>
      </c>
      <c r="F50" s="334">
        <v>156521.59367999999</v>
      </c>
    </row>
    <row r="51" spans="1:6">
      <c r="A51" s="348" t="s">
        <v>42</v>
      </c>
      <c r="B51" s="348" t="s">
        <v>43</v>
      </c>
      <c r="C51" s="334">
        <v>0</v>
      </c>
      <c r="D51" s="334">
        <v>0</v>
      </c>
      <c r="E51" s="334">
        <v>7</v>
      </c>
      <c r="F51" s="334">
        <v>77067.839540000001</v>
      </c>
    </row>
    <row r="52" spans="1:6">
      <c r="A52" s="348" t="s">
        <v>42</v>
      </c>
      <c r="B52" s="348" t="s">
        <v>29</v>
      </c>
      <c r="C52" s="334">
        <v>1</v>
      </c>
      <c r="D52" s="334">
        <v>19811.573132000001</v>
      </c>
      <c r="E52" s="334">
        <v>1</v>
      </c>
      <c r="F52" s="334">
        <v>105799</v>
      </c>
    </row>
    <row r="53" spans="1:6">
      <c r="A53" s="348" t="s">
        <v>44</v>
      </c>
      <c r="B53" s="348" t="s">
        <v>45</v>
      </c>
      <c r="C53" s="334">
        <v>74</v>
      </c>
      <c r="D53" s="334">
        <v>1266810.2916999999</v>
      </c>
      <c r="E53" s="334">
        <v>154</v>
      </c>
      <c r="F53" s="334">
        <v>668218.58623000002</v>
      </c>
    </row>
    <row r="54" spans="1:6">
      <c r="A54" s="348" t="s">
        <v>46</v>
      </c>
      <c r="B54" s="348" t="s">
        <v>47</v>
      </c>
      <c r="C54" s="334">
        <v>0</v>
      </c>
      <c r="D54" s="334">
        <v>0</v>
      </c>
      <c r="E54" s="334">
        <v>1</v>
      </c>
      <c r="F54" s="334">
        <v>413330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1259133.1721999999</v>
      </c>
      <c r="E57" s="334">
        <v>37</v>
      </c>
      <c r="F57" s="334">
        <v>1076644.1033999999</v>
      </c>
    </row>
    <row r="58" spans="1:6">
      <c r="A58" s="348" t="s">
        <v>49</v>
      </c>
      <c r="B58" s="348" t="s">
        <v>51</v>
      </c>
      <c r="C58" s="334">
        <v>4</v>
      </c>
      <c r="D58" s="334">
        <v>147572.34031</v>
      </c>
      <c r="E58" s="334">
        <v>6</v>
      </c>
      <c r="F58" s="334">
        <v>46901.285379000001</v>
      </c>
    </row>
    <row r="59" spans="1:6">
      <c r="A59" s="348" t="s">
        <v>49</v>
      </c>
      <c r="B59" s="348" t="s">
        <v>52</v>
      </c>
      <c r="C59" s="334">
        <v>57</v>
      </c>
      <c r="D59" s="334">
        <v>2730173.5636</v>
      </c>
      <c r="E59" s="334">
        <v>73</v>
      </c>
      <c r="F59" s="334">
        <v>3099393.8215000001</v>
      </c>
    </row>
    <row r="60" spans="1:6">
      <c r="A60" s="348" t="s">
        <v>49</v>
      </c>
      <c r="B60" s="348" t="s">
        <v>53</v>
      </c>
      <c r="C60" s="334">
        <v>14</v>
      </c>
      <c r="D60" s="334">
        <v>1047278.2533</v>
      </c>
      <c r="E60" s="334">
        <v>25</v>
      </c>
      <c r="F60" s="334">
        <v>1087137.2367</v>
      </c>
    </row>
    <row r="61" spans="1:6">
      <c r="A61" s="348" t="s">
        <v>49</v>
      </c>
      <c r="B61" s="348" t="s">
        <v>54</v>
      </c>
      <c r="C61" s="334">
        <v>57</v>
      </c>
      <c r="D61" s="334">
        <v>2391024.3870000001</v>
      </c>
      <c r="E61" s="334">
        <v>84</v>
      </c>
      <c r="F61" s="334">
        <v>974722.88376</v>
      </c>
    </row>
    <row r="62" spans="1:6">
      <c r="A62" s="348" t="s">
        <v>49</v>
      </c>
      <c r="B62" s="348" t="s">
        <v>55</v>
      </c>
      <c r="C62" s="334">
        <v>0</v>
      </c>
      <c r="D62" s="334">
        <v>0</v>
      </c>
      <c r="E62" s="334">
        <v>3</v>
      </c>
      <c r="F62" s="334">
        <v>36062.313576</v>
      </c>
    </row>
    <row r="63" spans="1:6">
      <c r="A63" s="348" t="s">
        <v>49</v>
      </c>
      <c r="B63" s="348" t="s">
        <v>29</v>
      </c>
      <c r="C63" s="334">
        <v>88</v>
      </c>
      <c r="D63" s="334">
        <v>6639228.7753999997</v>
      </c>
      <c r="E63" s="334">
        <v>110</v>
      </c>
      <c r="F63" s="334">
        <v>5073239.2221999997</v>
      </c>
    </row>
    <row r="64" spans="1:6">
      <c r="A64" s="348" t="s">
        <v>56</v>
      </c>
      <c r="B64" s="348" t="s">
        <v>57</v>
      </c>
      <c r="C64" s="334">
        <v>0</v>
      </c>
      <c r="D64" s="334">
        <v>0</v>
      </c>
      <c r="E64" s="334">
        <v>0</v>
      </c>
      <c r="F64" s="334">
        <v>0</v>
      </c>
    </row>
    <row r="65" spans="1:6">
      <c r="A65" s="348" t="s">
        <v>56</v>
      </c>
      <c r="B65" s="348" t="s">
        <v>29</v>
      </c>
      <c r="C65" s="334">
        <v>2</v>
      </c>
      <c r="D65" s="334">
        <v>36766.706877999997</v>
      </c>
      <c r="E65" s="334">
        <v>1</v>
      </c>
      <c r="F65" s="334">
        <v>1082.5458258000001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233045.17903999999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55155455</v>
      </c>
      <c r="E73" s="475">
        <v>56762214.815344244</v>
      </c>
    </row>
    <row r="74" spans="1:6">
      <c r="A74" s="348" t="s">
        <v>64</v>
      </c>
      <c r="B74" s="348" t="s">
        <v>667</v>
      </c>
      <c r="C74" s="1294" t="s">
        <v>669</v>
      </c>
      <c r="D74" s="475">
        <v>8921401.8861339856</v>
      </c>
      <c r="E74" s="475">
        <v>9173480.1760610081</v>
      </c>
    </row>
    <row r="75" spans="1:6">
      <c r="A75" s="348" t="s">
        <v>65</v>
      </c>
      <c r="B75" s="348" t="s">
        <v>666</v>
      </c>
      <c r="C75" s="1294" t="s">
        <v>670</v>
      </c>
      <c r="D75" s="475">
        <v>3448665</v>
      </c>
      <c r="E75" s="475">
        <v>3545690.9078763542</v>
      </c>
    </row>
    <row r="76" spans="1:6">
      <c r="A76" s="348" t="s">
        <v>65</v>
      </c>
      <c r="B76" s="348" t="s">
        <v>667</v>
      </c>
      <c r="C76" s="1294" t="s">
        <v>671</v>
      </c>
      <c r="D76" s="475">
        <v>55768.886133986409</v>
      </c>
      <c r="E76" s="475">
        <v>58564.318926958105</v>
      </c>
    </row>
    <row r="77" spans="1:6">
      <c r="A77" s="348" t="s">
        <v>66</v>
      </c>
      <c r="B77" s="348" t="s">
        <v>666</v>
      </c>
      <c r="C77" s="1294" t="s">
        <v>672</v>
      </c>
      <c r="D77" s="475">
        <v>460859</v>
      </c>
      <c r="E77" s="475">
        <v>502388.09248108941</v>
      </c>
    </row>
    <row r="78" spans="1:6">
      <c r="A78" s="341" t="s">
        <v>66</v>
      </c>
      <c r="B78" s="341" t="s">
        <v>667</v>
      </c>
      <c r="C78" s="341" t="s">
        <v>673</v>
      </c>
      <c r="D78" s="1295">
        <v>53710</v>
      </c>
      <c r="E78" s="1295">
        <v>56932.064197999214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185034.22773202718</v>
      </c>
      <c r="C83" s="475">
        <v>185034.22773202718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7937.3308276004509</v>
      </c>
    </row>
    <row r="91" spans="1:6">
      <c r="A91" s="348" t="s">
        <v>68</v>
      </c>
      <c r="B91" s="334">
        <v>1369.8003912634972</v>
      </c>
    </row>
    <row r="92" spans="1:6">
      <c r="A92" s="341" t="s">
        <v>69</v>
      </c>
      <c r="B92" s="342">
        <v>524.76745940652904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2045</v>
      </c>
    </row>
    <row r="98" spans="1:6">
      <c r="A98" s="348" t="s">
        <v>72</v>
      </c>
      <c r="B98" s="334">
        <v>5</v>
      </c>
    </row>
    <row r="99" spans="1:6">
      <c r="A99" s="348" t="s">
        <v>73</v>
      </c>
      <c r="B99" s="334">
        <v>12</v>
      </c>
    </row>
    <row r="100" spans="1:6">
      <c r="A100" s="348" t="s">
        <v>74</v>
      </c>
      <c r="B100" s="334">
        <v>386</v>
      </c>
    </row>
    <row r="101" spans="1:6">
      <c r="A101" s="348" t="s">
        <v>75</v>
      </c>
      <c r="B101" s="334">
        <v>32</v>
      </c>
    </row>
    <row r="102" spans="1:6">
      <c r="A102" s="348" t="s">
        <v>76</v>
      </c>
      <c r="B102" s="334">
        <v>51</v>
      </c>
    </row>
    <row r="103" spans="1:6">
      <c r="A103" s="348" t="s">
        <v>77</v>
      </c>
      <c r="B103" s="334">
        <v>72</v>
      </c>
    </row>
    <row r="104" spans="1:6">
      <c r="A104" s="348" t="s">
        <v>78</v>
      </c>
      <c r="B104" s="334">
        <v>379</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59</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29124.412580868957</v>
      </c>
      <c r="C3" s="43" t="s">
        <v>170</v>
      </c>
      <c r="D3" s="43"/>
      <c r="E3" s="154"/>
      <c r="F3" s="43"/>
      <c r="G3" s="43"/>
      <c r="H3" s="43"/>
      <c r="I3" s="43"/>
      <c r="J3" s="43"/>
      <c r="K3" s="96"/>
    </row>
    <row r="4" spans="1:11">
      <c r="A4" s="383" t="s">
        <v>171</v>
      </c>
      <c r="B4" s="49">
        <f>IF(ISERROR('SEAP template'!B78+'SEAP template'!C78),0,'SEAP template'!B78+'SEAP template'!C78)</f>
        <v>9831.8986782704778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0.14639421690087365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413.33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0.14639421690087365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60.509121671638106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13145.441994000001</v>
      </c>
      <c r="C5" s="17">
        <f>IF(ISERROR('Eigen informatie GS &amp; warmtenet'!B57),0,'Eigen informatie GS &amp; warmtenet'!B57)</f>
        <v>0</v>
      </c>
      <c r="D5" s="30">
        <f>(SUM(HH_hh_gas_kWh,HH_rest_gas_kWh)/1000)*0.902</f>
        <v>37058.425984645997</v>
      </c>
      <c r="E5" s="17">
        <f>B46*B57</f>
        <v>362.81196008228994</v>
      </c>
      <c r="F5" s="17">
        <f>B51*B62</f>
        <v>0</v>
      </c>
      <c r="G5" s="18"/>
      <c r="H5" s="17"/>
      <c r="I5" s="17"/>
      <c r="J5" s="17">
        <f>B50*B61+C50*C61</f>
        <v>37.145496145106691</v>
      </c>
      <c r="K5" s="17"/>
      <c r="L5" s="17"/>
      <c r="M5" s="17"/>
      <c r="N5" s="17">
        <f>B48*B59+C48*C59</f>
        <v>2747.7597275714265</v>
      </c>
      <c r="O5" s="17">
        <f>B69*B70*B71</f>
        <v>101.61666666666667</v>
      </c>
      <c r="P5" s="17">
        <f>B77*B78*B79/1000-B77*B78*B79/1000/B80</f>
        <v>171.6</v>
      </c>
    </row>
    <row r="6" spans="1:16">
      <c r="A6" s="16" t="s">
        <v>624</v>
      </c>
      <c r="B6" s="788">
        <f>kWh_PV_kleiner_dan_10kW</f>
        <v>1369.8003912634972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14515.242385263498</v>
      </c>
      <c r="C8" s="21">
        <f>C5</f>
        <v>0</v>
      </c>
      <c r="D8" s="21">
        <f>D5</f>
        <v>37058.425984645997</v>
      </c>
      <c r="E8" s="21">
        <f>E5</f>
        <v>362.81196008228994</v>
      </c>
      <c r="F8" s="21">
        <f>F5</f>
        <v>0</v>
      </c>
      <c r="G8" s="21"/>
      <c r="H8" s="21"/>
      <c r="I8" s="21"/>
      <c r="J8" s="21">
        <f>J5</f>
        <v>37.145496145106691</v>
      </c>
      <c r="K8" s="21"/>
      <c r="L8" s="21">
        <f>L5</f>
        <v>0</v>
      </c>
      <c r="M8" s="21">
        <f>M5</f>
        <v>0</v>
      </c>
      <c r="N8" s="21">
        <f>N5</f>
        <v>2747.7597275714265</v>
      </c>
      <c r="O8" s="21">
        <f>O5</f>
        <v>101.61666666666667</v>
      </c>
      <c r="P8" s="21">
        <f>P5</f>
        <v>171.6</v>
      </c>
    </row>
    <row r="9" spans="1:16">
      <c r="B9" s="19"/>
      <c r="C9" s="19"/>
      <c r="D9" s="258"/>
      <c r="E9" s="19"/>
      <c r="F9" s="19"/>
      <c r="G9" s="19"/>
      <c r="H9" s="19"/>
      <c r="I9" s="19"/>
      <c r="J9" s="19"/>
      <c r="K9" s="19"/>
      <c r="L9" s="19"/>
      <c r="M9" s="19"/>
      <c r="N9" s="19"/>
      <c r="O9" s="19"/>
      <c r="P9" s="19"/>
    </row>
    <row r="10" spans="1:16">
      <c r="A10" s="24" t="s">
        <v>214</v>
      </c>
      <c r="B10" s="25">
        <f ca="1">'EF ele_warmte'!B12</f>
        <v>0.14639421690087365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2124.9475421170191</v>
      </c>
      <c r="C12" s="23">
        <f ca="1">C10*C8</f>
        <v>0</v>
      </c>
      <c r="D12" s="23">
        <f>D8*D10</f>
        <v>7485.8020488984921</v>
      </c>
      <c r="E12" s="23">
        <f>E10*E8</f>
        <v>82.358314938679825</v>
      </c>
      <c r="F12" s="23">
        <f>F10*F8</f>
        <v>0</v>
      </c>
      <c r="G12" s="23"/>
      <c r="H12" s="23"/>
      <c r="I12" s="23"/>
      <c r="J12" s="23">
        <f>J10*J8</f>
        <v>13.149505635367769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2045</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2.7906976744186047</v>
      </c>
      <c r="D20" s="229"/>
      <c r="E20" s="15"/>
    </row>
    <row r="21" spans="1:7">
      <c r="A21" s="171" t="s">
        <v>74</v>
      </c>
      <c r="B21" s="37">
        <f>aantalw2001_elektriciteit</f>
        <v>386</v>
      </c>
      <c r="C21" s="167">
        <f>IF(ISERROR(B21/SUM($B$20,$B$21,$B$22)*100),0,B21/SUM($B$20,$B$21,$B$22)*100)</f>
        <v>89.767441860465112</v>
      </c>
      <c r="D21" s="229"/>
      <c r="E21" s="15"/>
    </row>
    <row r="22" spans="1:7">
      <c r="A22" s="171" t="s">
        <v>75</v>
      </c>
      <c r="B22" s="37">
        <f>aantalw2001_hout</f>
        <v>32</v>
      </c>
      <c r="C22" s="167">
        <f>IF(ISERROR(B22/SUM($B$20,$B$21,$B$22)*100),0,B22/SUM($B$20,$B$21,$B$22)*100)</f>
        <v>7.441860465116279</v>
      </c>
      <c r="D22" s="229"/>
      <c r="E22" s="15"/>
    </row>
    <row r="23" spans="1:7">
      <c r="A23" s="171" t="s">
        <v>76</v>
      </c>
      <c r="B23" s="37">
        <f>aantalw2001_niet_gespec</f>
        <v>51</v>
      </c>
      <c r="C23" s="166" t="s">
        <v>111</v>
      </c>
      <c r="D23" s="228"/>
      <c r="E23" s="15"/>
    </row>
    <row r="24" spans="1:7">
      <c r="A24" s="171" t="s">
        <v>77</v>
      </c>
      <c r="B24" s="37">
        <f>aantalw2001_steenkool</f>
        <v>72</v>
      </c>
      <c r="C24" s="166" t="s">
        <v>111</v>
      </c>
      <c r="D24" s="229"/>
      <c r="E24" s="15"/>
    </row>
    <row r="25" spans="1:7">
      <c r="A25" s="171" t="s">
        <v>78</v>
      </c>
      <c r="B25" s="37">
        <f>aantalw2001_stookolie</f>
        <v>379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3338</v>
      </c>
      <c r="C28" s="36"/>
      <c r="D28" s="228"/>
    </row>
    <row r="29" spans="1:7" s="15" customFormat="1">
      <c r="A29" s="230" t="s">
        <v>699</v>
      </c>
      <c r="B29" s="37">
        <f>SUM(HH_hh_gas_aantal,HH_rest_gas_aantal)</f>
        <v>2753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2753</v>
      </c>
      <c r="C32" s="167">
        <f>IF(ISERROR(B32/SUM($B$32,$B$34,$B$35,$B$36,$B$38,$B$39)*100),0,B32/SUM($B$32,$B$34,$B$35,$B$36,$B$38,$B$39)*100)</f>
        <v>82.697506758786432</v>
      </c>
      <c r="D32" s="233"/>
      <c r="G32" s="15"/>
    </row>
    <row r="33" spans="1:7">
      <c r="A33" s="171" t="s">
        <v>72</v>
      </c>
      <c r="B33" s="34" t="s">
        <v>111</v>
      </c>
      <c r="C33" s="167"/>
      <c r="D33" s="233"/>
      <c r="G33" s="15"/>
    </row>
    <row r="34" spans="1:7">
      <c r="A34" s="171" t="s">
        <v>73</v>
      </c>
      <c r="B34" s="33">
        <f>IF((($B$28-$B$32-$B$39-$B$77-$B$38)*C20/100)&lt;0,0,($B$28-$B$32-$B$39-$B$77-$B$38)*C20/100)</f>
        <v>16.040930232558139</v>
      </c>
      <c r="C34" s="167">
        <f>IF(ISERROR(B34/SUM($B$32,$B$34,$B$35,$B$36,$B$38,$B$39)*100),0,B34/SUM($B$32,$B$34,$B$35,$B$36,$B$38,$B$39)*100)</f>
        <v>0.48185431758961073</v>
      </c>
      <c r="D34" s="233"/>
      <c r="G34" s="15"/>
    </row>
    <row r="35" spans="1:7">
      <c r="A35" s="171" t="s">
        <v>74</v>
      </c>
      <c r="B35" s="33">
        <f>IF((($B$28-$B$32-$B$39-$B$77-$B$38)*C21/100)&lt;0,0,($B$28-$B$32-$B$39-$B$77-$B$38)*C21/100)</f>
        <v>515.98325581395341</v>
      </c>
      <c r="C35" s="167">
        <f>IF(ISERROR(B35/SUM($B$32,$B$34,$B$35,$B$36,$B$38,$B$39)*100),0,B35/SUM($B$32,$B$34,$B$35,$B$36,$B$38,$B$39)*100)</f>
        <v>15.499647215799142</v>
      </c>
      <c r="D35" s="233"/>
      <c r="G35" s="15"/>
    </row>
    <row r="36" spans="1:7">
      <c r="A36" s="171" t="s">
        <v>75</v>
      </c>
      <c r="B36" s="33">
        <f>IF((($B$28-$B$32-$B$39-$B$77-$B$38)*C22/100)&lt;0,0,($B$28-$B$32-$B$39-$B$77-$B$38)*C22/100)</f>
        <v>42.775813953488367</v>
      </c>
      <c r="C36" s="167">
        <f>IF(ISERROR(B36/SUM($B$32,$B$34,$B$35,$B$36,$B$38,$B$39)*100),0,B36/SUM($B$32,$B$34,$B$35,$B$36,$B$38,$B$39)*100)</f>
        <v>1.2849448469056284</v>
      </c>
      <c r="D36" s="233"/>
      <c r="G36" s="15"/>
    </row>
    <row r="37" spans="1:7">
      <c r="A37" s="171" t="s">
        <v>76</v>
      </c>
      <c r="B37" s="34" t="s">
        <v>111</v>
      </c>
      <c r="C37" s="167"/>
      <c r="D37" s="173"/>
      <c r="G37" s="15"/>
    </row>
    <row r="38" spans="1:7">
      <c r="A38" s="171" t="s">
        <v>77</v>
      </c>
      <c r="B38" s="33">
        <f>IF((B24-(B29-B18)*0.1)&lt;0,0,B24-(B29-B18)*0.1)</f>
        <v>1.2000000000000028</v>
      </c>
      <c r="C38" s="167">
        <f>IF(ISERROR(B38/SUM($B$32,$B$34,$B$35,$B$36,$B$38,$B$39)*100),0,B38/SUM($B$32,$B$34,$B$35,$B$36,$B$38,$B$39)*100)</f>
        <v>3.604686091919504E-2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2753</v>
      </c>
      <c r="C44" s="34" t="s">
        <v>111</v>
      </c>
      <c r="D44" s="174"/>
    </row>
    <row r="45" spans="1:7">
      <c r="A45" s="171" t="s">
        <v>72</v>
      </c>
      <c r="B45" s="33" t="str">
        <f t="shared" si="0"/>
        <v>-</v>
      </c>
      <c r="C45" s="34" t="s">
        <v>111</v>
      </c>
      <c r="D45" s="174"/>
    </row>
    <row r="46" spans="1:7">
      <c r="A46" s="171" t="s">
        <v>73</v>
      </c>
      <c r="B46" s="33">
        <f t="shared" si="0"/>
        <v>16.040930232558139</v>
      </c>
      <c r="C46" s="34" t="s">
        <v>111</v>
      </c>
      <c r="D46" s="174"/>
    </row>
    <row r="47" spans="1:7">
      <c r="A47" s="171" t="s">
        <v>74</v>
      </c>
      <c r="B47" s="33">
        <f t="shared" si="0"/>
        <v>515.98325581395341</v>
      </c>
      <c r="C47" s="34" t="s">
        <v>111</v>
      </c>
      <c r="D47" s="174"/>
    </row>
    <row r="48" spans="1:7">
      <c r="A48" s="171" t="s">
        <v>75</v>
      </c>
      <c r="B48" s="33">
        <f t="shared" si="0"/>
        <v>42.775813953488367</v>
      </c>
      <c r="C48" s="33">
        <f>B48*10</f>
        <v>427.75813953488364</v>
      </c>
      <c r="D48" s="234"/>
    </row>
    <row r="49" spans="1:6">
      <c r="A49" s="171" t="s">
        <v>76</v>
      </c>
      <c r="B49" s="33" t="str">
        <f t="shared" si="0"/>
        <v>-</v>
      </c>
      <c r="C49" s="34" t="s">
        <v>111</v>
      </c>
      <c r="D49" s="234"/>
    </row>
    <row r="50" spans="1:6">
      <c r="A50" s="171" t="s">
        <v>77</v>
      </c>
      <c r="B50" s="33">
        <f t="shared" si="0"/>
        <v>1.2000000000000028</v>
      </c>
      <c r="C50" s="33">
        <f>B50*2</f>
        <v>2.4000000000000057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11394.100866515</v>
      </c>
      <c r="C5" s="17">
        <f>IF(ISERROR('Eigen informatie GS &amp; warmtenet'!B58),0,'Eigen informatie GS &amp; warmtenet'!B58)</f>
        <v>0</v>
      </c>
      <c r="D5" s="30">
        <f>SUM(D6:D12)</f>
        <v>12821.39826361262</v>
      </c>
      <c r="E5" s="17">
        <f>SUM(E6:E12)</f>
        <v>237.57013596316006</v>
      </c>
      <c r="F5" s="17">
        <f>SUM(F6:F12)</f>
        <v>2894.9905921171621</v>
      </c>
      <c r="G5" s="18"/>
      <c r="H5" s="17"/>
      <c r="I5" s="17"/>
      <c r="J5" s="17">
        <f>SUM(J6:J12)</f>
        <v>0</v>
      </c>
      <c r="K5" s="17"/>
      <c r="L5" s="17"/>
      <c r="M5" s="17"/>
      <c r="N5" s="17">
        <f>SUM(N6:N12)</f>
        <v>1301.6767041229864</v>
      </c>
      <c r="O5" s="17">
        <f>B38*B39*B40</f>
        <v>0</v>
      </c>
      <c r="P5" s="17">
        <f>B46*B47*B48/1000-B46*B47*B48/1000/B49</f>
        <v>0</v>
      </c>
      <c r="R5" s="32"/>
    </row>
    <row r="6" spans="1:18">
      <c r="A6" s="32" t="s">
        <v>54</v>
      </c>
      <c r="B6" s="37">
        <f>B26</f>
        <v>974.72288375999995</v>
      </c>
      <c r="C6" s="33"/>
      <c r="D6" s="37">
        <f>IF(ISERROR(TER_kantoor_gas_kWh/1000),0,TER_kantoor_gas_kWh/1000)*0.902</f>
        <v>2156.7039970740002</v>
      </c>
      <c r="E6" s="33">
        <f>$C$26*'E Balans VL '!I12/100/3.6*1000000</f>
        <v>12.760323232907108</v>
      </c>
      <c r="F6" s="33">
        <f>$C$26*('E Balans VL '!L12+'E Balans VL '!N12)/100/3.6*1000000</f>
        <v>248.54426294877311</v>
      </c>
      <c r="G6" s="34"/>
      <c r="H6" s="33"/>
      <c r="I6" s="33"/>
      <c r="J6" s="33">
        <f>$C$26*('E Balans VL '!D12+'E Balans VL '!E12)/100/3.6*1000000</f>
        <v>0</v>
      </c>
      <c r="K6" s="33"/>
      <c r="L6" s="33"/>
      <c r="M6" s="33"/>
      <c r="N6" s="33">
        <f>$C$26*'E Balans VL '!Y12/100/3.6*1000000</f>
        <v>0.97800521086216585</v>
      </c>
      <c r="O6" s="33"/>
      <c r="P6" s="33"/>
      <c r="R6" s="32"/>
    </row>
    <row r="7" spans="1:18">
      <c r="A7" s="32" t="s">
        <v>53</v>
      </c>
      <c r="B7" s="37">
        <f t="shared" ref="B7:B12" si="0">B27</f>
        <v>1087.1372366999999</v>
      </c>
      <c r="C7" s="33"/>
      <c r="D7" s="37">
        <f>IF(ISERROR(TER_horeca_gas_kWh/1000),0,TER_horeca_gas_kWh/1000)*0.902</f>
        <v>944.64498447660003</v>
      </c>
      <c r="E7" s="33">
        <f>$C$27*'E Balans VL '!I9/100/3.6*1000000</f>
        <v>35.977629700792882</v>
      </c>
      <c r="F7" s="33">
        <f>$C$27*('E Balans VL '!L9+'E Balans VL '!N9)/100/3.6*1000000</f>
        <v>467.46484536643845</v>
      </c>
      <c r="G7" s="34"/>
      <c r="H7" s="33"/>
      <c r="I7" s="33"/>
      <c r="J7" s="33">
        <f>$C$27*('E Balans VL '!D9+'E Balans VL '!E9)/100/3.6*1000000</f>
        <v>0</v>
      </c>
      <c r="K7" s="33"/>
      <c r="L7" s="33"/>
      <c r="M7" s="33"/>
      <c r="N7" s="33">
        <f>$C$27*'E Balans VL '!Y9/100/3.6*1000000</f>
        <v>0.26168971983884237</v>
      </c>
      <c r="O7" s="33"/>
      <c r="P7" s="33"/>
      <c r="R7" s="32"/>
    </row>
    <row r="8" spans="1:18">
      <c r="A8" s="6" t="s">
        <v>52</v>
      </c>
      <c r="B8" s="37">
        <f t="shared" si="0"/>
        <v>3099.3938215000003</v>
      </c>
      <c r="C8" s="33"/>
      <c r="D8" s="37">
        <f>IF(ISERROR(TER_handel_gas_kWh/1000),0,TER_handel_gas_kWh/1000)*0.902</f>
        <v>2462.6165543672</v>
      </c>
      <c r="E8" s="33">
        <f>$C$28*'E Balans VL '!I13/100/3.6*1000000</f>
        <v>97.82160473933267</v>
      </c>
      <c r="F8" s="33">
        <f>$C$28*('E Balans VL '!L13+'E Balans VL '!N13)/100/3.6*1000000</f>
        <v>607.84570533291003</v>
      </c>
      <c r="G8" s="34"/>
      <c r="H8" s="33"/>
      <c r="I8" s="33"/>
      <c r="J8" s="33">
        <f>$C$28*('E Balans VL '!D13+'E Balans VL '!E13)/100/3.6*1000000</f>
        <v>0</v>
      </c>
      <c r="K8" s="33"/>
      <c r="L8" s="33"/>
      <c r="M8" s="33"/>
      <c r="N8" s="33">
        <f>$C$28*'E Balans VL '!Y13/100/3.6*1000000</f>
        <v>3.6783787261972956</v>
      </c>
      <c r="O8" s="33"/>
      <c r="P8" s="33"/>
      <c r="R8" s="32"/>
    </row>
    <row r="9" spans="1:18">
      <c r="A9" s="32" t="s">
        <v>51</v>
      </c>
      <c r="B9" s="37">
        <f t="shared" si="0"/>
        <v>46.901285379000001</v>
      </c>
      <c r="C9" s="33"/>
      <c r="D9" s="37">
        <f>IF(ISERROR(TER_gezond_gas_kWh/1000),0,TER_gezond_gas_kWh/1000)*0.902</f>
        <v>133.11025095962</v>
      </c>
      <c r="E9" s="33">
        <f>$C$29*'E Balans VL '!I10/100/3.6*1000000</f>
        <v>6.0047365951721747E-3</v>
      </c>
      <c r="F9" s="33">
        <f>$C$29*('E Balans VL '!L10+'E Balans VL '!N10)/100/3.6*1000000</f>
        <v>9.7715035574696856</v>
      </c>
      <c r="G9" s="34"/>
      <c r="H9" s="33"/>
      <c r="I9" s="33"/>
      <c r="J9" s="33">
        <f>$C$29*('E Balans VL '!D10+'E Balans VL '!E10)/100/3.6*1000000</f>
        <v>0</v>
      </c>
      <c r="K9" s="33"/>
      <c r="L9" s="33"/>
      <c r="M9" s="33"/>
      <c r="N9" s="33">
        <f>$C$29*'E Balans VL '!Y10/100/3.6*1000000</f>
        <v>0.55087776523822019</v>
      </c>
      <c r="O9" s="33"/>
      <c r="P9" s="33"/>
      <c r="R9" s="32"/>
    </row>
    <row r="10" spans="1:18">
      <c r="A10" s="32" t="s">
        <v>50</v>
      </c>
      <c r="B10" s="37">
        <f t="shared" si="0"/>
        <v>1076.6441033999999</v>
      </c>
      <c r="C10" s="33"/>
      <c r="D10" s="37">
        <f>IF(ISERROR(TER_ander_gas_kWh/1000),0,TER_ander_gas_kWh/1000)*0.902</f>
        <v>1135.7381213244</v>
      </c>
      <c r="E10" s="33">
        <f>$C$30*'E Balans VL '!I14/100/3.6*1000000</f>
        <v>1.6190195418700428</v>
      </c>
      <c r="F10" s="33">
        <f>$C$30*('E Balans VL '!L14+'E Balans VL '!N14)/100/3.6*1000000</f>
        <v>237.68831284194783</v>
      </c>
      <c r="G10" s="34"/>
      <c r="H10" s="33"/>
      <c r="I10" s="33"/>
      <c r="J10" s="33">
        <f>$C$30*('E Balans VL '!D14+'E Balans VL '!E14)/100/3.6*1000000</f>
        <v>0</v>
      </c>
      <c r="K10" s="33"/>
      <c r="L10" s="33"/>
      <c r="M10" s="33"/>
      <c r="N10" s="33">
        <f>$C$30*'E Balans VL '!Y14/100/3.6*1000000</f>
        <v>848.46800889551741</v>
      </c>
      <c r="O10" s="33"/>
      <c r="P10" s="33"/>
      <c r="R10" s="32"/>
    </row>
    <row r="11" spans="1:18">
      <c r="A11" s="32" t="s">
        <v>55</v>
      </c>
      <c r="B11" s="37">
        <f t="shared" si="0"/>
        <v>36.062313576000001</v>
      </c>
      <c r="C11" s="33"/>
      <c r="D11" s="37">
        <f>IF(ISERROR(TER_onderwijs_gas_kWh/1000),0,TER_onderwijs_gas_kWh/1000)*0.902</f>
        <v>0</v>
      </c>
      <c r="E11" s="33">
        <f>$C$31*'E Balans VL '!I11/100/3.6*1000000</f>
        <v>6.350875621876767E-2</v>
      </c>
      <c r="F11" s="33">
        <f>$C$31*('E Balans VL '!L11+'E Balans VL '!N11)/100/3.6*1000000</f>
        <v>16.650622724524091</v>
      </c>
      <c r="G11" s="34"/>
      <c r="H11" s="33"/>
      <c r="I11" s="33"/>
      <c r="J11" s="33">
        <f>$C$31*('E Balans VL '!D11+'E Balans VL '!E11)/100/3.6*1000000</f>
        <v>0</v>
      </c>
      <c r="K11" s="33"/>
      <c r="L11" s="33"/>
      <c r="M11" s="33"/>
      <c r="N11" s="33">
        <f>$C$31*'E Balans VL '!Y11/100/3.6*1000000</f>
        <v>6.7184588889842245E-2</v>
      </c>
      <c r="O11" s="33"/>
      <c r="P11" s="33"/>
      <c r="R11" s="32"/>
    </row>
    <row r="12" spans="1:18">
      <c r="A12" s="32" t="s">
        <v>260</v>
      </c>
      <c r="B12" s="37">
        <f t="shared" si="0"/>
        <v>5073.2392221999999</v>
      </c>
      <c r="C12" s="33"/>
      <c r="D12" s="37">
        <f>IF(ISERROR(TER_rest_gas_kWh/1000),0,TER_rest_gas_kWh/1000)*0.902</f>
        <v>5988.5843554108005</v>
      </c>
      <c r="E12" s="33">
        <f>$C$32*'E Balans VL '!I8/100/3.6*1000000</f>
        <v>89.322045255443399</v>
      </c>
      <c r="F12" s="33">
        <f>$C$32*('E Balans VL '!L8+'E Balans VL '!N8)/100/3.6*1000000</f>
        <v>1307.0253393450989</v>
      </c>
      <c r="G12" s="34"/>
      <c r="H12" s="33"/>
      <c r="I12" s="33"/>
      <c r="J12" s="33">
        <f>$C$32*('E Balans VL '!D8+'E Balans VL '!E8)/100/3.6*1000000</f>
        <v>0</v>
      </c>
      <c r="K12" s="33"/>
      <c r="L12" s="33"/>
      <c r="M12" s="33"/>
      <c r="N12" s="33">
        <f>$C$32*'E Balans VL '!Y8/100/3.6*1000000</f>
        <v>447.67255921644261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11394.100866515</v>
      </c>
      <c r="C16" s="21">
        <f t="shared" ca="1" si="1"/>
        <v>0</v>
      </c>
      <c r="D16" s="21">
        <f t="shared" ca="1" si="1"/>
        <v>12821.39826361262</v>
      </c>
      <c r="E16" s="21">
        <f t="shared" si="1"/>
        <v>237.57013596316006</v>
      </c>
      <c r="F16" s="21">
        <f t="shared" ca="1" si="1"/>
        <v>2894.9905921171621</v>
      </c>
      <c r="G16" s="21">
        <f t="shared" si="1"/>
        <v>0</v>
      </c>
      <c r="H16" s="21">
        <f t="shared" si="1"/>
        <v>0</v>
      </c>
      <c r="I16" s="21">
        <f t="shared" si="1"/>
        <v>0</v>
      </c>
      <c r="J16" s="21">
        <f t="shared" si="1"/>
        <v>0</v>
      </c>
      <c r="K16" s="21">
        <f t="shared" si="1"/>
        <v>0</v>
      </c>
      <c r="L16" s="21">
        <f t="shared" ca="1" si="1"/>
        <v>0</v>
      </c>
      <c r="M16" s="21">
        <f t="shared" si="1"/>
        <v>0</v>
      </c>
      <c r="N16" s="21">
        <f t="shared" ca="1" si="1"/>
        <v>1301.6767041229864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0.14639421690087365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1668.0304736430294</v>
      </c>
      <c r="C20" s="23">
        <f t="shared" ref="C20:P20" ca="1" si="2">C16*C18</f>
        <v>0</v>
      </c>
      <c r="D20" s="23">
        <f t="shared" ca="1" si="2"/>
        <v>2589.9224492497497</v>
      </c>
      <c r="E20" s="23">
        <f t="shared" si="2"/>
        <v>53.928420863637335</v>
      </c>
      <c r="F20" s="23">
        <f t="shared" ca="1" si="2"/>
        <v>772.96248809528231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974.72288375999995</v>
      </c>
      <c r="C26" s="39">
        <f>IF(ISERROR(B26*3.6/1000000/'E Balans VL '!Z12*100),0,B26*3.6/1000000/'E Balans VL '!Z12*100)</f>
        <v>2.0879321402861306E-2</v>
      </c>
      <c r="D26" s="237" t="s">
        <v>660</v>
      </c>
      <c r="F26" s="6"/>
    </row>
    <row r="27" spans="1:18">
      <c r="A27" s="231" t="s">
        <v>53</v>
      </c>
      <c r="B27" s="33">
        <f>IF(ISERROR(TER_horeca_ele_kWh/1000),0,TER_horeca_ele_kWh/1000)</f>
        <v>1087.1372366999999</v>
      </c>
      <c r="C27" s="39">
        <f>IF(ISERROR(B27*3.6/1000000/'E Balans VL '!Z9*100),0,B27*3.6/1000000/'E Balans VL '!Z9*100)</f>
        <v>8.7238984394711575E-2</v>
      </c>
      <c r="D27" s="237" t="s">
        <v>660</v>
      </c>
      <c r="F27" s="6"/>
    </row>
    <row r="28" spans="1:18">
      <c r="A28" s="171" t="s">
        <v>52</v>
      </c>
      <c r="B28" s="33">
        <f>IF(ISERROR(TER_handel_ele_kWh/1000),0,TER_handel_ele_kWh/1000)</f>
        <v>3099.3938215000003</v>
      </c>
      <c r="C28" s="39">
        <f>IF(ISERROR(B28*3.6/1000000/'E Balans VL '!Z13*100),0,B28*3.6/1000000/'E Balans VL '!Z13*100)</f>
        <v>9.1414340320373322E-2</v>
      </c>
      <c r="D28" s="237" t="s">
        <v>660</v>
      </c>
      <c r="F28" s="6"/>
    </row>
    <row r="29" spans="1:18">
      <c r="A29" s="231" t="s">
        <v>51</v>
      </c>
      <c r="B29" s="33">
        <f>IF(ISERROR(TER_gezond_ele_kWh/1000),0,TER_gezond_ele_kWh/1000)</f>
        <v>46.901285379000001</v>
      </c>
      <c r="C29" s="39">
        <f>IF(ISERROR(B29*3.6/1000000/'E Balans VL '!Z10*100),0,B29*3.6/1000000/'E Balans VL '!Z10*100)</f>
        <v>5.0077998078614282E-3</v>
      </c>
      <c r="D29" s="237" t="s">
        <v>660</v>
      </c>
      <c r="F29" s="6"/>
    </row>
    <row r="30" spans="1:18">
      <c r="A30" s="231" t="s">
        <v>50</v>
      </c>
      <c r="B30" s="33">
        <f>IF(ISERROR(TER_ander_ele_kWh/1000),0,TER_ander_ele_kWh/1000)</f>
        <v>1076.6441033999999</v>
      </c>
      <c r="C30" s="39">
        <f>IF(ISERROR(B30*3.6/1000000/'E Balans VL '!Z14*100),0,B30*3.6/1000000/'E Balans VL '!Z14*100)</f>
        <v>8.132315694066021E-2</v>
      </c>
      <c r="D30" s="237" t="s">
        <v>660</v>
      </c>
      <c r="F30" s="6"/>
    </row>
    <row r="31" spans="1:18">
      <c r="A31" s="231" t="s">
        <v>55</v>
      </c>
      <c r="B31" s="33">
        <f>IF(ISERROR(TER_onderwijs_ele_kWh/1000),0,TER_onderwijs_ele_kWh/1000)</f>
        <v>36.062313576000001</v>
      </c>
      <c r="C31" s="39">
        <f>IF(ISERROR(B31*3.6/1000000/'E Balans VL '!Z11*100),0,B31*3.6/1000000/'E Balans VL '!Z11*100)</f>
        <v>7.2821849640242828E-3</v>
      </c>
      <c r="D31" s="237" t="s">
        <v>660</v>
      </c>
    </row>
    <row r="32" spans="1:18">
      <c r="A32" s="231" t="s">
        <v>260</v>
      </c>
      <c r="B32" s="33">
        <f>IF(ISERROR(TER_rest_ele_kWh/1000),0,TER_rest_ele_kWh/1000)</f>
        <v>5073.2392221999999</v>
      </c>
      <c r="C32" s="39">
        <f>IF(ISERROR(B32*3.6/1000000/'E Balans VL '!Z8*100),0,B32*3.6/1000000/'E Balans VL '!Z8*100)</f>
        <v>4.2064217586691231E-2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1936.812897131</v>
      </c>
      <c r="C5" s="17">
        <f>IF(ISERROR('Eigen informatie GS &amp; warmtenet'!B59),0,'Eigen informatie GS &amp; warmtenet'!B59)</f>
        <v>0</v>
      </c>
      <c r="D5" s="30">
        <f>SUM(D6:D15)</f>
        <v>2897.6194339767403</v>
      </c>
      <c r="E5" s="17">
        <f>SUM(E6:E15)</f>
        <v>265.6213203699661</v>
      </c>
      <c r="F5" s="17">
        <f>SUM(F6:F15)</f>
        <v>958.54980633483569</v>
      </c>
      <c r="G5" s="18"/>
      <c r="H5" s="17"/>
      <c r="I5" s="17"/>
      <c r="J5" s="17">
        <f>SUM(J6:J15)</f>
        <v>7.5512240197286156</v>
      </c>
      <c r="K5" s="17"/>
      <c r="L5" s="17"/>
      <c r="M5" s="17"/>
      <c r="N5" s="17">
        <f>SUM(N6:N15)</f>
        <v>505.1153722945113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25.178287561000001</v>
      </c>
      <c r="C8" s="33"/>
      <c r="D8" s="37">
        <f>IF( ISERROR(IND_metaal_Gas_kWH/1000),0,IND_metaal_Gas_kWH/1000)*0.902</f>
        <v>0</v>
      </c>
      <c r="E8" s="33">
        <f>C30*'E Balans VL '!I18/100/3.6*1000000</f>
        <v>0.90599095592802947</v>
      </c>
      <c r="F8" s="33">
        <f>C30*'E Balans VL '!L18/100/3.6*1000000+C30*'E Balans VL '!N18/100/3.6*1000000</f>
        <v>10.994541985619996</v>
      </c>
      <c r="G8" s="34"/>
      <c r="H8" s="33"/>
      <c r="I8" s="33"/>
      <c r="J8" s="40">
        <f>C30*'E Balans VL '!D18/100/3.6*1000000+C30*'E Balans VL '!E18/100/3.6*1000000</f>
        <v>0</v>
      </c>
      <c r="K8" s="33"/>
      <c r="L8" s="33"/>
      <c r="M8" s="33"/>
      <c r="N8" s="33">
        <f>C30*'E Balans VL '!Y18/100/3.6*1000000</f>
        <v>1.261918662097905</v>
      </c>
      <c r="O8" s="33"/>
      <c r="P8" s="33"/>
      <c r="R8" s="32"/>
    </row>
    <row r="9" spans="1:18">
      <c r="A9" s="6" t="s">
        <v>33</v>
      </c>
      <c r="B9" s="37">
        <f t="shared" si="0"/>
        <v>823.68136523999999</v>
      </c>
      <c r="C9" s="33"/>
      <c r="D9" s="37">
        <f>IF( ISERROR(IND_andere_gas_kWh/1000),0,IND_andere_gas_kWh/1000)*0.902</f>
        <v>936.05772781619999</v>
      </c>
      <c r="E9" s="33">
        <f>C31*'E Balans VL '!I19/100/3.6*1000000</f>
        <v>210.1848480963757</v>
      </c>
      <c r="F9" s="33">
        <f>C31*'E Balans VL '!L19/100/3.6*1000000+C31*'E Balans VL '!N19/100/3.6*1000000</f>
        <v>709.12774517336288</v>
      </c>
      <c r="G9" s="34"/>
      <c r="H9" s="33"/>
      <c r="I9" s="33"/>
      <c r="J9" s="40">
        <f>C31*'E Balans VL '!D19/100/3.6*1000000+C31*'E Balans VL '!E19/100/3.6*1000000</f>
        <v>0</v>
      </c>
      <c r="K9" s="33"/>
      <c r="L9" s="33"/>
      <c r="M9" s="33"/>
      <c r="N9" s="33">
        <f>C31*'E Balans VL '!Y19/100/3.6*1000000</f>
        <v>257.59337105128367</v>
      </c>
      <c r="O9" s="33"/>
      <c r="P9" s="33"/>
      <c r="R9" s="32"/>
    </row>
    <row r="10" spans="1:18">
      <c r="A10" s="6" t="s">
        <v>41</v>
      </c>
      <c r="B10" s="37">
        <f t="shared" si="0"/>
        <v>156.52159368</v>
      </c>
      <c r="C10" s="33"/>
      <c r="D10" s="37">
        <f>IF( ISERROR(IND_voed_gas_kWh/1000),0,IND_voed_gas_kWh/1000)*0.902</f>
        <v>1442.3026453902</v>
      </c>
      <c r="E10" s="33">
        <f>C32*'E Balans VL '!I20/100/3.6*1000000</f>
        <v>3.9789938331061987</v>
      </c>
      <c r="F10" s="33">
        <f>C32*'E Balans VL '!L20/100/3.6*1000000+C32*'E Balans VL '!N20/100/3.6*1000000</f>
        <v>35.418487058033946</v>
      </c>
      <c r="G10" s="34"/>
      <c r="H10" s="33"/>
      <c r="I10" s="33"/>
      <c r="J10" s="40">
        <f>C32*'E Balans VL '!D20/100/3.6*1000000+C32*'E Balans VL '!E20/100/3.6*1000000</f>
        <v>0</v>
      </c>
      <c r="K10" s="33"/>
      <c r="L10" s="33"/>
      <c r="M10" s="33"/>
      <c r="N10" s="33">
        <f>C32*'E Balans VL '!Y20/100/3.6*1000000</f>
        <v>58.699840314677012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931.43165064999994</v>
      </c>
      <c r="C15" s="33"/>
      <c r="D15" s="37">
        <f>IF( ISERROR(IND_rest_gas_kWh/1000),0,IND_rest_gas_kWh/1000)*0.902</f>
        <v>519.25906077034006</v>
      </c>
      <c r="E15" s="33">
        <f>C37*'E Balans VL '!I15/100/3.6*1000000</f>
        <v>50.551487484556191</v>
      </c>
      <c r="F15" s="33">
        <f>C37*'E Balans VL '!L15/100/3.6*1000000+C37*'E Balans VL '!N15/100/3.6*1000000</f>
        <v>203.00903211781878</v>
      </c>
      <c r="G15" s="34"/>
      <c r="H15" s="33"/>
      <c r="I15" s="33"/>
      <c r="J15" s="40">
        <f>C37*'E Balans VL '!D15/100/3.6*1000000+C37*'E Balans VL '!E15/100/3.6*1000000</f>
        <v>7.5512240197286156</v>
      </c>
      <c r="K15" s="33"/>
      <c r="L15" s="33"/>
      <c r="M15" s="33"/>
      <c r="N15" s="33">
        <f>C37*'E Balans VL '!Y15/100/3.6*1000000</f>
        <v>187.56024226645269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1936.812897131</v>
      </c>
      <c r="C18" s="21">
        <f>C5+C16</f>
        <v>0</v>
      </c>
      <c r="D18" s="21">
        <f>MAX((D5+D16),0)</f>
        <v>2897.6194339767403</v>
      </c>
      <c r="E18" s="21">
        <f>MAX((E5+E16),0)</f>
        <v>265.6213203699661</v>
      </c>
      <c r="F18" s="21">
        <f>MAX((F5+F16),0)</f>
        <v>958.54980633483569</v>
      </c>
      <c r="G18" s="21"/>
      <c r="H18" s="21"/>
      <c r="I18" s="21"/>
      <c r="J18" s="21">
        <f>MAX((J5+J16),0)</f>
        <v>7.5512240197286156</v>
      </c>
      <c r="K18" s="21"/>
      <c r="L18" s="21">
        <f>MAX((L5+L16),0)</f>
        <v>0</v>
      </c>
      <c r="M18" s="21"/>
      <c r="N18" s="21">
        <f>MAX((N5+N16),0)</f>
        <v>505.1153722945113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0.14639421690087365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283.53820735900507</v>
      </c>
      <c r="C22" s="23">
        <f ca="1">C18*C20</f>
        <v>0</v>
      </c>
      <c r="D22" s="23">
        <f>D18*D20</f>
        <v>585.31912566330163</v>
      </c>
      <c r="E22" s="23">
        <f>E18*E20</f>
        <v>60.296039723982304</v>
      </c>
      <c r="F22" s="23">
        <f>F18*F20</f>
        <v>255.93279829140116</v>
      </c>
      <c r="G22" s="23"/>
      <c r="H22" s="23"/>
      <c r="I22" s="23"/>
      <c r="J22" s="23">
        <f>J18*J20</f>
        <v>2.6731333029839299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25.178287561000001</v>
      </c>
      <c r="C30" s="39">
        <f>IF(ISERROR(B30*3.6/1000000/'E Balans VL '!Z18*100),0,B30*3.6/1000000/'E Balans VL '!Z18*100)</f>
        <v>5.3347393259175323E-3</v>
      </c>
      <c r="D30" s="237" t="s">
        <v>660</v>
      </c>
    </row>
    <row r="31" spans="1:18">
      <c r="A31" s="6" t="s">
        <v>33</v>
      </c>
      <c r="B31" s="37">
        <f>IF( ISERROR(IND_ander_ele_kWh/1000),0,IND_ander_ele_kWh/1000)</f>
        <v>823.68136523999999</v>
      </c>
      <c r="C31" s="39">
        <f>IF(ISERROR(B31*3.6/1000000/'E Balans VL '!Z19*100),0,B31*3.6/1000000/'E Balans VL '!Z19*100)</f>
        <v>3.4670618967510988E-2</v>
      </c>
      <c r="D31" s="237" t="s">
        <v>660</v>
      </c>
    </row>
    <row r="32" spans="1:18">
      <c r="A32" s="171" t="s">
        <v>41</v>
      </c>
      <c r="B32" s="37">
        <f>IF( ISERROR(IND_voed_ele_kWh/1000),0,IND_voed_ele_kWh/1000)</f>
        <v>156.52159368</v>
      </c>
      <c r="C32" s="39">
        <f>IF(ISERROR(B32*3.6/1000000/'E Balans VL '!Z20*100),0,B32*3.6/1000000/'E Balans VL '!Z20*100)</f>
        <v>2.6148703144278505E-2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931.43165064999994</v>
      </c>
      <c r="C37" s="39">
        <f>IF(ISERROR(B37*3.6/1000000/'E Balans VL '!Z15*100),0,B37*3.6/1000000/'E Balans VL '!Z15*100)</f>
        <v>7.5198083825632955E-3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182.86683954000003</v>
      </c>
      <c r="C5" s="17">
        <f>'Eigen informatie GS &amp; warmtenet'!B60</f>
        <v>0</v>
      </c>
      <c r="D5" s="30">
        <f>IF(ISERROR(SUM(LB_lb_gas_kWh,LB_rest_gas_kWh)/1000),0,SUM(LB_lb_gas_kWh,LB_rest_gas_kWh)/1000)*0.902</f>
        <v>17.870038965064005</v>
      </c>
      <c r="E5" s="17">
        <f>B17*'E Balans VL '!I25/3.6*1000000/100</f>
        <v>4.7154336642490646</v>
      </c>
      <c r="F5" s="17">
        <f>B17*('E Balans VL '!L25/3.6*1000000+'E Balans VL '!N25/3.6*1000000)/100</f>
        <v>668.41312381657701</v>
      </c>
      <c r="G5" s="18"/>
      <c r="H5" s="17"/>
      <c r="I5" s="17"/>
      <c r="J5" s="17">
        <f>('E Balans VL '!D25+'E Balans VL '!E25)/3.6*1000000*landbouw!B17/100</f>
        <v>26.326097834043615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182.86683954000003</v>
      </c>
      <c r="C8" s="21">
        <f>C5+C6</f>
        <v>0</v>
      </c>
      <c r="D8" s="21">
        <f>MAX((D5+D6),0)</f>
        <v>17.870038965064005</v>
      </c>
      <c r="E8" s="21">
        <f>MAX((E5+E6),0)</f>
        <v>4.7154336642490646</v>
      </c>
      <c r="F8" s="21">
        <f>MAX((F5+F6),0)</f>
        <v>668.41312381657701</v>
      </c>
      <c r="G8" s="21"/>
      <c r="H8" s="21"/>
      <c r="I8" s="21"/>
      <c r="J8" s="21">
        <f>MAX((J5+J6),0)</f>
        <v>26.326097834043615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0.14639421690087365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26.770647771596021</v>
      </c>
      <c r="C12" s="23">
        <f ca="1">C8*C10</f>
        <v>0</v>
      </c>
      <c r="D12" s="23">
        <f>D8*D10</f>
        <v>3.6097478709429294</v>
      </c>
      <c r="E12" s="23">
        <f>E8*E10</f>
        <v>1.0704034417845376</v>
      </c>
      <c r="F12" s="23">
        <f>F8*F10</f>
        <v>178.46630405902607</v>
      </c>
      <c r="G12" s="23"/>
      <c r="H12" s="23"/>
      <c r="I12" s="23"/>
      <c r="J12" s="23">
        <f>J8*J10</f>
        <v>9.3194386332514387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2.5785435657924672E-2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32.930598752220497</v>
      </c>
      <c r="C26" s="247">
        <f>B26*'GWP N2O_CH4'!B5</f>
        <v>691.54257379663045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6.6720627943206399</v>
      </c>
      <c r="C27" s="247">
        <f>B27*'GWP N2O_CH4'!B5</f>
        <v>140.11331868073344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0.30867472817580266</v>
      </c>
      <c r="C28" s="247">
        <f>B28*'GWP N2O_CH4'!B4</f>
        <v>95.689165734498829</v>
      </c>
      <c r="D28" s="50"/>
    </row>
    <row r="29" spans="1:4">
      <c r="A29" s="41" t="s">
        <v>277</v>
      </c>
      <c r="B29" s="247">
        <f>B34*'ha_N2O bodem landbouw'!B4</f>
        <v>1.8280510386572286</v>
      </c>
      <c r="C29" s="247">
        <f>B29*'GWP N2O_CH4'!B4</f>
        <v>566.69582198374087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4.1141082288103384E-4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4.9827622282051872E-5</v>
      </c>
      <c r="C5" s="463" t="s">
        <v>211</v>
      </c>
      <c r="D5" s="448">
        <f>SUM(D6:D11)</f>
        <v>1.0349948311736768E-4</v>
      </c>
      <c r="E5" s="448">
        <f>SUM(E6:E11)</f>
        <v>4.0506246400449241E-4</v>
      </c>
      <c r="F5" s="461" t="s">
        <v>211</v>
      </c>
      <c r="G5" s="448">
        <f>SUM(G6:G11)</f>
        <v>0.1822857607526111</v>
      </c>
      <c r="H5" s="448">
        <f>SUM(H6:H11)</f>
        <v>2.7973494141522389E-2</v>
      </c>
      <c r="I5" s="463" t="s">
        <v>211</v>
      </c>
      <c r="J5" s="463" t="s">
        <v>211</v>
      </c>
      <c r="K5" s="463" t="s">
        <v>211</v>
      </c>
      <c r="L5" s="463" t="s">
        <v>211</v>
      </c>
      <c r="M5" s="448">
        <f>SUM(M6:M11)</f>
        <v>6.5807945507094755E-3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4.6529520962577664E-5</v>
      </c>
      <c r="C6" s="449"/>
      <c r="D6" s="892">
        <f>vkm_2011_GW_PW*SUMIFS(TableVerdeelsleutelVkm[CNG],TableVerdeelsleutelVkm[Voertuigtype],"Lichte voertuigen")*SUMIFS(TableECFTransport[EnergieConsumptieFactor (PJ per km)],TableECFTransport[Index],CONCATENATE($A6,"_CNG_CNG"))</f>
        <v>9.2454973188599239E-5</v>
      </c>
      <c r="E6" s="892">
        <f>vkm_2011_GW_PW*SUMIFS(TableVerdeelsleutelVkm[LPG],TableVerdeelsleutelVkm[Voertuigtype],"Lichte voertuigen")*SUMIFS(TableECFTransport[EnergieConsumptieFactor (PJ per km)],TableECFTransport[Index],CONCATENATE($A6,"_LPG_LPG"))</f>
        <v>3.6384346212050699E-4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8.6509491095096494E-2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2.5030342688530268E-2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3.4756842180862623E-3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8.5486636496828486E-2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2.7615835022588915E-5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2.6935531149586116E-3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2.9093174992465911E-6</v>
      </c>
      <c r="C8" s="449"/>
      <c r="D8" s="451">
        <f>vkm_2011_NGW_PW*SUMIFS(TableVerdeelsleutelVkm[CNG],TableVerdeelsleutelVkm[Voertuigtype],"Lichte voertuigen")*SUMIFS(TableECFTransport[EnergieConsumptieFactor (PJ per km)],TableECFTransport[Index],CONCATENATE($A8,"_CNG_CNG"))</f>
        <v>1.0235802814314189E-5</v>
      </c>
      <c r="E8" s="451">
        <f>vkm_2011_NGW_PW*SUMIFS(TableVerdeelsleutelVkm[LPG],TableVerdeelsleutelVkm[Voertuigtype],"Lichte voertuigen")*SUMIFS(TableECFTransport[EnergieConsumptieFactor (PJ per km)],TableECFTransport[Index],CONCATENATE($A8,"_LPG_LPG"))</f>
        <v>3.7253320502808467E-5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8.2712843805900615E-3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2.6870481250070369E-3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3.411286148477374E-4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6.8209490180606239E-4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2.0838577605628458E-7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2.1491407979488729E-5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3.8878382022761994E-7</v>
      </c>
      <c r="C10" s="449"/>
      <c r="D10" s="451">
        <f>vkm_2011_SW_PW*SUMIFS(TableVerdeelsleutelVkm[CNG],TableVerdeelsleutelVkm[Voertuigtype],"Lichte voertuigen")*SUMIFS(TableECFTransport[EnergieConsumptieFactor (PJ per km)],TableECFTransport[Index],CONCATENATE($A10,"_CNG_CNG"))</f>
        <v>8.0870711445425599E-7</v>
      </c>
      <c r="E10" s="451">
        <f>vkm_2011_SW_PW*SUMIFS(TableVerdeelsleutelVkm[LPG],TableVerdeelsleutelVkm[Voertuigtype],"Lichte voertuigen")*SUMIFS(TableECFTransport[EnergieConsumptieFactor (PJ per km)],TableECFTransport[Index],CONCATENATE($A10,"_LPG_LPG"))</f>
        <v>3.9656813811769614E-6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8.4464460172919823E-4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2.2810799840398705E-4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3.3446969876207969E-5</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4.9160927656081879E-4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1.7110878245546611E-7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1.5490224961166749E-5</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13.841006189458854</v>
      </c>
      <c r="C14" s="21"/>
      <c r="D14" s="21">
        <f t="shared" ref="D14:M14" si="0">((D5)*10^9/3600)+D12</f>
        <v>28.749856421491021</v>
      </c>
      <c r="E14" s="21">
        <f t="shared" si="0"/>
        <v>112.51735111235899</v>
      </c>
      <c r="F14" s="21"/>
      <c r="G14" s="21">
        <f t="shared" si="0"/>
        <v>50634.933542391969</v>
      </c>
      <c r="H14" s="21">
        <f t="shared" si="0"/>
        <v>7770.4150393117743</v>
      </c>
      <c r="I14" s="21"/>
      <c r="J14" s="21"/>
      <c r="K14" s="21"/>
      <c r="L14" s="21"/>
      <c r="M14" s="21">
        <f t="shared" si="0"/>
        <v>1827.9984863081877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0.14639421690087365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2.0262432622259743</v>
      </c>
      <c r="C18" s="23"/>
      <c r="D18" s="23">
        <f t="shared" ref="D18:M18" si="1">D14*D16</f>
        <v>5.8074709971411869</v>
      </c>
      <c r="E18" s="23">
        <f t="shared" si="1"/>
        <v>25.541438702505491</v>
      </c>
      <c r="F18" s="23"/>
      <c r="G18" s="23">
        <f t="shared" si="1"/>
        <v>13519.527255818657</v>
      </c>
      <c r="H18" s="23">
        <f t="shared" si="1"/>
        <v>1934.8333447886318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2.4054950103266515E-3</v>
      </c>
      <c r="H50" s="321">
        <f t="shared" si="2"/>
        <v>0</v>
      </c>
      <c r="I50" s="321">
        <f t="shared" si="2"/>
        <v>0</v>
      </c>
      <c r="J50" s="321">
        <f t="shared" si="2"/>
        <v>0</v>
      </c>
      <c r="K50" s="321">
        <f t="shared" si="2"/>
        <v>0</v>
      </c>
      <c r="L50" s="321">
        <f t="shared" si="2"/>
        <v>0</v>
      </c>
      <c r="M50" s="321">
        <f t="shared" si="2"/>
        <v>7.4613073689982541E-5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2.4054950103266515E-3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7.4613073689982541E-5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668.19305842406982</v>
      </c>
      <c r="H54" s="21">
        <f t="shared" si="3"/>
        <v>0</v>
      </c>
      <c r="I54" s="21">
        <f t="shared" si="3"/>
        <v>0</v>
      </c>
      <c r="J54" s="21">
        <f t="shared" si="3"/>
        <v>0</v>
      </c>
      <c r="K54" s="21">
        <f t="shared" si="3"/>
        <v>0</v>
      </c>
      <c r="L54" s="21">
        <f t="shared" si="3"/>
        <v>0</v>
      </c>
      <c r="M54" s="21">
        <f t="shared" si="3"/>
        <v>20.725853802772928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0.14639421690087365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178.40754659922666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11807.430866515</v>
      </c>
      <c r="D10" s="1012">
        <f ca="1">tertiair!C16</f>
        <v>0</v>
      </c>
      <c r="E10" s="1012">
        <f ca="1">tertiair!D16</f>
        <v>12821.39826361262</v>
      </c>
      <c r="F10" s="1012">
        <f>tertiair!E16</f>
        <v>237.57013596316006</v>
      </c>
      <c r="G10" s="1012">
        <f ca="1">tertiair!F16</f>
        <v>2894.9905921171621</v>
      </c>
      <c r="H10" s="1012">
        <f>tertiair!G16</f>
        <v>0</v>
      </c>
      <c r="I10" s="1012">
        <f>tertiair!H16</f>
        <v>0</v>
      </c>
      <c r="J10" s="1012">
        <f>tertiair!I16</f>
        <v>0</v>
      </c>
      <c r="K10" s="1012">
        <f>tertiair!J16</f>
        <v>0</v>
      </c>
      <c r="L10" s="1012">
        <f>tertiair!K16</f>
        <v>0</v>
      </c>
      <c r="M10" s="1012">
        <f ca="1">tertiair!L16</f>
        <v>0</v>
      </c>
      <c r="N10" s="1012">
        <f>tertiair!M16</f>
        <v>0</v>
      </c>
      <c r="O10" s="1012">
        <f ca="1">tertiair!N16</f>
        <v>1301.6767041229864</v>
      </c>
      <c r="P10" s="1012">
        <f>tertiair!O16</f>
        <v>0</v>
      </c>
      <c r="Q10" s="1013">
        <f>tertiair!P16</f>
        <v>0</v>
      </c>
      <c r="R10" s="700">
        <f ca="1">SUM(C10:Q10)</f>
        <v>29063.066562330929</v>
      </c>
      <c r="S10" s="67"/>
    </row>
    <row r="11" spans="1:19" s="473" customFormat="1">
      <c r="A11" s="809" t="s">
        <v>225</v>
      </c>
      <c r="B11" s="814"/>
      <c r="C11" s="1012">
        <f>huishoudens!B8</f>
        <v>14515.242385263498</v>
      </c>
      <c r="D11" s="1012">
        <f>huishoudens!C8</f>
        <v>0</v>
      </c>
      <c r="E11" s="1012">
        <f>huishoudens!D8</f>
        <v>37058.425984645997</v>
      </c>
      <c r="F11" s="1012">
        <f>huishoudens!E8</f>
        <v>362.81196008228994</v>
      </c>
      <c r="G11" s="1012">
        <f>huishoudens!F8</f>
        <v>0</v>
      </c>
      <c r="H11" s="1012">
        <f>huishoudens!G8</f>
        <v>0</v>
      </c>
      <c r="I11" s="1012">
        <f>huishoudens!H8</f>
        <v>0</v>
      </c>
      <c r="J11" s="1012">
        <f>huishoudens!I8</f>
        <v>0</v>
      </c>
      <c r="K11" s="1012">
        <f>huishoudens!J8</f>
        <v>37.145496145106691</v>
      </c>
      <c r="L11" s="1012">
        <f>huishoudens!K8</f>
        <v>0</v>
      </c>
      <c r="M11" s="1012">
        <f>huishoudens!L8</f>
        <v>0</v>
      </c>
      <c r="N11" s="1012">
        <f>huishoudens!M8</f>
        <v>0</v>
      </c>
      <c r="O11" s="1012">
        <f>huishoudens!N8</f>
        <v>2747.7597275714265</v>
      </c>
      <c r="P11" s="1012">
        <f>huishoudens!O8</f>
        <v>101.61666666666667</v>
      </c>
      <c r="Q11" s="1013">
        <f>huishoudens!P8</f>
        <v>171.6</v>
      </c>
      <c r="R11" s="700">
        <f>SUM(C11:Q11)</f>
        <v>54994.602220374989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1936.812897131</v>
      </c>
      <c r="D13" s="1012">
        <f>industrie!C18</f>
        <v>0</v>
      </c>
      <c r="E13" s="1012">
        <f>industrie!D18</f>
        <v>2897.6194339767403</v>
      </c>
      <c r="F13" s="1012">
        <f>industrie!E18</f>
        <v>265.6213203699661</v>
      </c>
      <c r="G13" s="1012">
        <f>industrie!F18</f>
        <v>958.54980633483569</v>
      </c>
      <c r="H13" s="1012">
        <f>industrie!G18</f>
        <v>0</v>
      </c>
      <c r="I13" s="1012">
        <f>industrie!H18</f>
        <v>0</v>
      </c>
      <c r="J13" s="1012">
        <f>industrie!I18</f>
        <v>0</v>
      </c>
      <c r="K13" s="1012">
        <f>industrie!J18</f>
        <v>7.5512240197286156</v>
      </c>
      <c r="L13" s="1012">
        <f>industrie!K18</f>
        <v>0</v>
      </c>
      <c r="M13" s="1012">
        <f>industrie!L18</f>
        <v>0</v>
      </c>
      <c r="N13" s="1012">
        <f>industrie!M18</f>
        <v>0</v>
      </c>
      <c r="O13" s="1012">
        <f>industrie!N18</f>
        <v>505.1153722945113</v>
      </c>
      <c r="P13" s="1012">
        <f>industrie!O18</f>
        <v>0</v>
      </c>
      <c r="Q13" s="1013">
        <f>industrie!P18</f>
        <v>0</v>
      </c>
      <c r="R13" s="700">
        <f>SUM(C13:Q13)</f>
        <v>6571.2700541267823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28259.486148909498</v>
      </c>
      <c r="D16" s="732">
        <f t="shared" ref="D16:R16" ca="1" si="0">SUM(D9:D15)</f>
        <v>0</v>
      </c>
      <c r="E16" s="732">
        <f t="shared" ca="1" si="0"/>
        <v>52777.44368223536</v>
      </c>
      <c r="F16" s="732">
        <f t="shared" si="0"/>
        <v>866.00341641541604</v>
      </c>
      <c r="G16" s="732">
        <f t="shared" ca="1" si="0"/>
        <v>3853.540398451998</v>
      </c>
      <c r="H16" s="732">
        <f t="shared" si="0"/>
        <v>0</v>
      </c>
      <c r="I16" s="732">
        <f t="shared" si="0"/>
        <v>0</v>
      </c>
      <c r="J16" s="732">
        <f t="shared" si="0"/>
        <v>0</v>
      </c>
      <c r="K16" s="732">
        <f t="shared" si="0"/>
        <v>44.696720164835305</v>
      </c>
      <c r="L16" s="732">
        <f t="shared" si="0"/>
        <v>0</v>
      </c>
      <c r="M16" s="732">
        <f t="shared" ca="1" si="0"/>
        <v>0</v>
      </c>
      <c r="N16" s="732">
        <f t="shared" si="0"/>
        <v>0</v>
      </c>
      <c r="O16" s="732">
        <f t="shared" ca="1" si="0"/>
        <v>4554.5518039889239</v>
      </c>
      <c r="P16" s="732">
        <f t="shared" si="0"/>
        <v>101.61666666666667</v>
      </c>
      <c r="Q16" s="732">
        <f t="shared" si="0"/>
        <v>171.6</v>
      </c>
      <c r="R16" s="732">
        <f t="shared" ca="1" si="0"/>
        <v>90628.938836832705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668.19305842406982</v>
      </c>
      <c r="I19" s="1012">
        <f>transport!H54</f>
        <v>0</v>
      </c>
      <c r="J19" s="1012">
        <f>transport!I54</f>
        <v>0</v>
      </c>
      <c r="K19" s="1012">
        <f>transport!J54</f>
        <v>0</v>
      </c>
      <c r="L19" s="1012">
        <f>transport!K54</f>
        <v>0</v>
      </c>
      <c r="M19" s="1012">
        <f>transport!L54</f>
        <v>0</v>
      </c>
      <c r="N19" s="1012">
        <f>transport!M54</f>
        <v>20.725853802772928</v>
      </c>
      <c r="O19" s="1012">
        <f>transport!N54</f>
        <v>0</v>
      </c>
      <c r="P19" s="1012">
        <f>transport!O54</f>
        <v>0</v>
      </c>
      <c r="Q19" s="1013">
        <f>transport!P54</f>
        <v>0</v>
      </c>
      <c r="R19" s="700">
        <f>SUM(C19:Q19)</f>
        <v>688.91891222684274</v>
      </c>
      <c r="S19" s="67"/>
    </row>
    <row r="20" spans="1:19" s="473" customFormat="1">
      <c r="A20" s="809" t="s">
        <v>307</v>
      </c>
      <c r="B20" s="814"/>
      <c r="C20" s="1012">
        <f>transport!B14</f>
        <v>13.841006189458854</v>
      </c>
      <c r="D20" s="1012">
        <f>transport!C14</f>
        <v>0</v>
      </c>
      <c r="E20" s="1012">
        <f>transport!D14</f>
        <v>28.749856421491021</v>
      </c>
      <c r="F20" s="1012">
        <f>transport!E14</f>
        <v>112.51735111235899</v>
      </c>
      <c r="G20" s="1012">
        <f>transport!F14</f>
        <v>0</v>
      </c>
      <c r="H20" s="1012">
        <f>transport!G14</f>
        <v>50634.933542391969</v>
      </c>
      <c r="I20" s="1012">
        <f>transport!H14</f>
        <v>7770.4150393117743</v>
      </c>
      <c r="J20" s="1012">
        <f>transport!I14</f>
        <v>0</v>
      </c>
      <c r="K20" s="1012">
        <f>transport!J14</f>
        <v>0</v>
      </c>
      <c r="L20" s="1012">
        <f>transport!K14</f>
        <v>0</v>
      </c>
      <c r="M20" s="1012">
        <f>transport!L14</f>
        <v>0</v>
      </c>
      <c r="N20" s="1012">
        <f>transport!M14</f>
        <v>1827.9984863081877</v>
      </c>
      <c r="O20" s="1012">
        <f>transport!N14</f>
        <v>0</v>
      </c>
      <c r="P20" s="1012">
        <f>transport!O14</f>
        <v>0</v>
      </c>
      <c r="Q20" s="1013">
        <f>transport!P14</f>
        <v>0</v>
      </c>
      <c r="R20" s="700">
        <f>SUM(C20:Q20)</f>
        <v>60388.455281735238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13.841006189458854</v>
      </c>
      <c r="D22" s="812">
        <f t="shared" ref="D22:R22" si="1">SUM(D18:D21)</f>
        <v>0</v>
      </c>
      <c r="E22" s="812">
        <f t="shared" si="1"/>
        <v>28.749856421491021</v>
      </c>
      <c r="F22" s="812">
        <f t="shared" si="1"/>
        <v>112.51735111235899</v>
      </c>
      <c r="G22" s="812">
        <f t="shared" si="1"/>
        <v>0</v>
      </c>
      <c r="H22" s="812">
        <f t="shared" si="1"/>
        <v>51303.126600816038</v>
      </c>
      <c r="I22" s="812">
        <f t="shared" si="1"/>
        <v>7770.4150393117743</v>
      </c>
      <c r="J22" s="812">
        <f t="shared" si="1"/>
        <v>0</v>
      </c>
      <c r="K22" s="812">
        <f t="shared" si="1"/>
        <v>0</v>
      </c>
      <c r="L22" s="812">
        <f t="shared" si="1"/>
        <v>0</v>
      </c>
      <c r="M22" s="812">
        <f t="shared" si="1"/>
        <v>0</v>
      </c>
      <c r="N22" s="812">
        <f t="shared" si="1"/>
        <v>1848.7243401109606</v>
      </c>
      <c r="O22" s="812">
        <f t="shared" si="1"/>
        <v>0</v>
      </c>
      <c r="P22" s="812">
        <f t="shared" si="1"/>
        <v>0</v>
      </c>
      <c r="Q22" s="812">
        <f t="shared" si="1"/>
        <v>0</v>
      </c>
      <c r="R22" s="812">
        <f t="shared" si="1"/>
        <v>61077.374193962081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182.86683954000003</v>
      </c>
      <c r="D24" s="1012">
        <f>+landbouw!C8</f>
        <v>0</v>
      </c>
      <c r="E24" s="1012">
        <f>+landbouw!D8</f>
        <v>17.870038965064005</v>
      </c>
      <c r="F24" s="1012">
        <f>+landbouw!E8</f>
        <v>4.7154336642490646</v>
      </c>
      <c r="G24" s="1012">
        <f>+landbouw!F8</f>
        <v>668.41312381657701</v>
      </c>
      <c r="H24" s="1012">
        <f>+landbouw!G8</f>
        <v>0</v>
      </c>
      <c r="I24" s="1012">
        <f>+landbouw!H8</f>
        <v>0</v>
      </c>
      <c r="J24" s="1012">
        <f>+landbouw!I8</f>
        <v>0</v>
      </c>
      <c r="K24" s="1012">
        <f>+landbouw!J8</f>
        <v>26.326097834043615</v>
      </c>
      <c r="L24" s="1012">
        <f>+landbouw!K8</f>
        <v>0</v>
      </c>
      <c r="M24" s="1012">
        <f>+landbouw!L8</f>
        <v>0</v>
      </c>
      <c r="N24" s="1012">
        <f>+landbouw!M8</f>
        <v>0</v>
      </c>
      <c r="O24" s="1012">
        <f>+landbouw!N8</f>
        <v>0</v>
      </c>
      <c r="P24" s="1012">
        <f>+landbouw!O8</f>
        <v>0</v>
      </c>
      <c r="Q24" s="1013">
        <f>+landbouw!P8</f>
        <v>0</v>
      </c>
      <c r="R24" s="700">
        <f>SUM(C24:Q24)</f>
        <v>900.19153381993374</v>
      </c>
      <c r="S24" s="67"/>
    </row>
    <row r="25" spans="1:19" s="473" customFormat="1" ht="15" thickBot="1">
      <c r="A25" s="831" t="s">
        <v>848</v>
      </c>
      <c r="B25" s="1015"/>
      <c r="C25" s="1016">
        <f>IF(Onbekend_ele_kWh="---",0,Onbekend_ele_kWh)/1000+IF(REST_rest_ele_kWh="---",0,REST_rest_ele_kWh)/1000</f>
        <v>668.21858623000003</v>
      </c>
      <c r="D25" s="1016"/>
      <c r="E25" s="1016">
        <f>IF(onbekend_gas_kWh="---",0,onbekend_gas_kWh)/1000+IF(REST_rest_gas_kWh="---",0,REST_rest_gas_kWh)/1000</f>
        <v>1266.8102916999999</v>
      </c>
      <c r="F25" s="1016"/>
      <c r="G25" s="1016"/>
      <c r="H25" s="1016"/>
      <c r="I25" s="1016"/>
      <c r="J25" s="1016"/>
      <c r="K25" s="1016"/>
      <c r="L25" s="1016"/>
      <c r="M25" s="1016"/>
      <c r="N25" s="1016"/>
      <c r="O25" s="1016"/>
      <c r="P25" s="1016"/>
      <c r="Q25" s="1017"/>
      <c r="R25" s="700">
        <f>SUM(C25:Q25)</f>
        <v>1935.0288779299999</v>
      </c>
      <c r="S25" s="67"/>
    </row>
    <row r="26" spans="1:19" s="473" customFormat="1" ht="15.75" thickBot="1">
      <c r="A26" s="705" t="s">
        <v>849</v>
      </c>
      <c r="B26" s="817"/>
      <c r="C26" s="812">
        <f>SUM(C24:C25)</f>
        <v>851.08542577000003</v>
      </c>
      <c r="D26" s="812">
        <f t="shared" ref="D26:R26" si="2">SUM(D24:D25)</f>
        <v>0</v>
      </c>
      <c r="E26" s="812">
        <f t="shared" si="2"/>
        <v>1284.6803306650638</v>
      </c>
      <c r="F26" s="812">
        <f t="shared" si="2"/>
        <v>4.7154336642490646</v>
      </c>
      <c r="G26" s="812">
        <f t="shared" si="2"/>
        <v>668.41312381657701</v>
      </c>
      <c r="H26" s="812">
        <f t="shared" si="2"/>
        <v>0</v>
      </c>
      <c r="I26" s="812">
        <f t="shared" si="2"/>
        <v>0</v>
      </c>
      <c r="J26" s="812">
        <f t="shared" si="2"/>
        <v>0</v>
      </c>
      <c r="K26" s="812">
        <f t="shared" si="2"/>
        <v>26.326097834043615</v>
      </c>
      <c r="L26" s="812">
        <f t="shared" si="2"/>
        <v>0</v>
      </c>
      <c r="M26" s="812">
        <f t="shared" si="2"/>
        <v>0</v>
      </c>
      <c r="N26" s="812">
        <f t="shared" si="2"/>
        <v>0</v>
      </c>
      <c r="O26" s="812">
        <f t="shared" si="2"/>
        <v>0</v>
      </c>
      <c r="P26" s="812">
        <f t="shared" si="2"/>
        <v>0</v>
      </c>
      <c r="Q26" s="812">
        <f t="shared" si="2"/>
        <v>0</v>
      </c>
      <c r="R26" s="812">
        <f t="shared" si="2"/>
        <v>2835.2204117499336</v>
      </c>
      <c r="S26" s="67"/>
    </row>
    <row r="27" spans="1:19" s="473" customFormat="1" ht="17.25" thickTop="1" thickBot="1">
      <c r="A27" s="706" t="s">
        <v>116</v>
      </c>
      <c r="B27" s="805"/>
      <c r="C27" s="707">
        <f ca="1">C22+C16+C26</f>
        <v>29124.412580868957</v>
      </c>
      <c r="D27" s="707">
        <f t="shared" ref="D27:R27" ca="1" si="3">D22+D16+D26</f>
        <v>0</v>
      </c>
      <c r="E27" s="707">
        <f t="shared" ca="1" si="3"/>
        <v>54090.873869321913</v>
      </c>
      <c r="F27" s="707">
        <f t="shared" si="3"/>
        <v>983.23620119202405</v>
      </c>
      <c r="G27" s="707">
        <f t="shared" ca="1" si="3"/>
        <v>4521.9535222685754</v>
      </c>
      <c r="H27" s="707">
        <f t="shared" si="3"/>
        <v>51303.126600816038</v>
      </c>
      <c r="I27" s="707">
        <f t="shared" si="3"/>
        <v>7770.4150393117743</v>
      </c>
      <c r="J27" s="707">
        <f t="shared" si="3"/>
        <v>0</v>
      </c>
      <c r="K27" s="707">
        <f t="shared" si="3"/>
        <v>71.022817998878921</v>
      </c>
      <c r="L27" s="707">
        <f t="shared" si="3"/>
        <v>0</v>
      </c>
      <c r="M27" s="707">
        <f t="shared" ca="1" si="3"/>
        <v>0</v>
      </c>
      <c r="N27" s="707">
        <f t="shared" si="3"/>
        <v>1848.7243401109606</v>
      </c>
      <c r="O27" s="707">
        <f t="shared" ca="1" si="3"/>
        <v>4554.5518039889239</v>
      </c>
      <c r="P27" s="707">
        <f t="shared" si="3"/>
        <v>101.61666666666667</v>
      </c>
      <c r="Q27" s="707">
        <f t="shared" si="3"/>
        <v>171.6</v>
      </c>
      <c r="R27" s="707">
        <f t="shared" ca="1" si="3"/>
        <v>154541.53344254472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1728.5395953146674</v>
      </c>
      <c r="D40" s="1012">
        <f ca="1">tertiair!C20</f>
        <v>0</v>
      </c>
      <c r="E40" s="1012">
        <f ca="1">tertiair!D20</f>
        <v>2589.9224492497497</v>
      </c>
      <c r="F40" s="1012">
        <f>tertiair!E20</f>
        <v>53.928420863637335</v>
      </c>
      <c r="G40" s="1012">
        <f ca="1">tertiair!F20</f>
        <v>772.96248809528231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5145.3529535233365</v>
      </c>
    </row>
    <row r="41" spans="1:18">
      <c r="A41" s="822" t="s">
        <v>225</v>
      </c>
      <c r="B41" s="829"/>
      <c r="C41" s="1012">
        <f ca="1">huishoudens!B12</f>
        <v>2124.9475421170191</v>
      </c>
      <c r="D41" s="1012">
        <f ca="1">huishoudens!C12</f>
        <v>0</v>
      </c>
      <c r="E41" s="1012">
        <f>huishoudens!D12</f>
        <v>7485.8020488984921</v>
      </c>
      <c r="F41" s="1012">
        <f>huishoudens!E12</f>
        <v>82.358314938679825</v>
      </c>
      <c r="G41" s="1012">
        <f>huishoudens!F12</f>
        <v>0</v>
      </c>
      <c r="H41" s="1012">
        <f>huishoudens!G12</f>
        <v>0</v>
      </c>
      <c r="I41" s="1012">
        <f>huishoudens!H12</f>
        <v>0</v>
      </c>
      <c r="J41" s="1012">
        <f>huishoudens!I12</f>
        <v>0</v>
      </c>
      <c r="K41" s="1012">
        <f>huishoudens!J12</f>
        <v>13.149505635367769</v>
      </c>
      <c r="L41" s="1012">
        <f>huishoudens!K12</f>
        <v>0</v>
      </c>
      <c r="M41" s="1012">
        <f>huishoudens!L12</f>
        <v>0</v>
      </c>
      <c r="N41" s="1012">
        <f>huishoudens!M12</f>
        <v>0</v>
      </c>
      <c r="O41" s="1012">
        <f>huishoudens!N12</f>
        <v>0</v>
      </c>
      <c r="P41" s="1012">
        <f>huishoudens!O12</f>
        <v>0</v>
      </c>
      <c r="Q41" s="774">
        <f>huishoudens!P12</f>
        <v>0</v>
      </c>
      <c r="R41" s="850">
        <f t="shared" ca="1" si="4"/>
        <v>9706.2574115895586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283.53820735900507</v>
      </c>
      <c r="D43" s="1012">
        <f ca="1">industrie!C22</f>
        <v>0</v>
      </c>
      <c r="E43" s="1012">
        <f>industrie!D22</f>
        <v>585.31912566330163</v>
      </c>
      <c r="F43" s="1012">
        <f>industrie!E22</f>
        <v>60.296039723982304</v>
      </c>
      <c r="G43" s="1012">
        <f>industrie!F22</f>
        <v>255.93279829140116</v>
      </c>
      <c r="H43" s="1012">
        <f>industrie!G22</f>
        <v>0</v>
      </c>
      <c r="I43" s="1012">
        <f>industrie!H22</f>
        <v>0</v>
      </c>
      <c r="J43" s="1012">
        <f>industrie!I22</f>
        <v>0</v>
      </c>
      <c r="K43" s="1012">
        <f>industrie!J22</f>
        <v>2.6731333029839299</v>
      </c>
      <c r="L43" s="1012">
        <f>industrie!K22</f>
        <v>0</v>
      </c>
      <c r="M43" s="1012">
        <f>industrie!L22</f>
        <v>0</v>
      </c>
      <c r="N43" s="1012">
        <f>industrie!M22</f>
        <v>0</v>
      </c>
      <c r="O43" s="1012">
        <f>industrie!N22</f>
        <v>0</v>
      </c>
      <c r="P43" s="1012">
        <f>industrie!O22</f>
        <v>0</v>
      </c>
      <c r="Q43" s="774">
        <f>industrie!P22</f>
        <v>0</v>
      </c>
      <c r="R43" s="849">
        <f t="shared" ca="1" si="4"/>
        <v>1187.7593043406739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4137.0253447906916</v>
      </c>
      <c r="D46" s="732">
        <f t="shared" ref="D46:Q46" ca="1" si="5">SUM(D39:D45)</f>
        <v>0</v>
      </c>
      <c r="E46" s="732">
        <f t="shared" ca="1" si="5"/>
        <v>10661.043623811544</v>
      </c>
      <c r="F46" s="732">
        <f t="shared" si="5"/>
        <v>196.58277552629949</v>
      </c>
      <c r="G46" s="732">
        <f t="shared" ca="1" si="5"/>
        <v>1028.8952863866834</v>
      </c>
      <c r="H46" s="732">
        <f t="shared" si="5"/>
        <v>0</v>
      </c>
      <c r="I46" s="732">
        <f t="shared" si="5"/>
        <v>0</v>
      </c>
      <c r="J46" s="732">
        <f t="shared" si="5"/>
        <v>0</v>
      </c>
      <c r="K46" s="732">
        <f t="shared" si="5"/>
        <v>15.822638938351698</v>
      </c>
      <c r="L46" s="732">
        <f t="shared" si="5"/>
        <v>0</v>
      </c>
      <c r="M46" s="732">
        <f t="shared" ca="1" si="5"/>
        <v>0</v>
      </c>
      <c r="N46" s="732">
        <f t="shared" si="5"/>
        <v>0</v>
      </c>
      <c r="O46" s="732">
        <f t="shared" ca="1" si="5"/>
        <v>0</v>
      </c>
      <c r="P46" s="732">
        <f t="shared" si="5"/>
        <v>0</v>
      </c>
      <c r="Q46" s="732">
        <f t="shared" si="5"/>
        <v>0</v>
      </c>
      <c r="R46" s="732">
        <f ca="1">SUM(R39:R45)</f>
        <v>16039.369669453568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178.40754659922666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178.40754659922666</v>
      </c>
    </row>
    <row r="50" spans="1:18">
      <c r="A50" s="825" t="s">
        <v>307</v>
      </c>
      <c r="B50" s="835"/>
      <c r="C50" s="703">
        <f ca="1">transport!B18</f>
        <v>2.0262432622259743</v>
      </c>
      <c r="D50" s="703">
        <f>transport!C18</f>
        <v>0</v>
      </c>
      <c r="E50" s="703">
        <f>transport!D18</f>
        <v>5.8074709971411869</v>
      </c>
      <c r="F50" s="703">
        <f>transport!E18</f>
        <v>25.541438702505491</v>
      </c>
      <c r="G50" s="703">
        <f>transport!F18</f>
        <v>0</v>
      </c>
      <c r="H50" s="703">
        <f>transport!G18</f>
        <v>13519.527255818657</v>
      </c>
      <c r="I50" s="703">
        <f>transport!H18</f>
        <v>1934.8333447886318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15487.735753569163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2.0262432622259743</v>
      </c>
      <c r="D52" s="732">
        <f t="shared" ref="D52:Q52" ca="1" si="6">SUM(D48:D51)</f>
        <v>0</v>
      </c>
      <c r="E52" s="732">
        <f t="shared" si="6"/>
        <v>5.8074709971411869</v>
      </c>
      <c r="F52" s="732">
        <f t="shared" si="6"/>
        <v>25.541438702505491</v>
      </c>
      <c r="G52" s="732">
        <f t="shared" si="6"/>
        <v>0</v>
      </c>
      <c r="H52" s="732">
        <f t="shared" si="6"/>
        <v>13697.934802417883</v>
      </c>
      <c r="I52" s="732">
        <f t="shared" si="6"/>
        <v>1934.8333447886318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15666.143300168389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26.770647771596021</v>
      </c>
      <c r="D54" s="703">
        <f ca="1">+landbouw!C12</f>
        <v>0</v>
      </c>
      <c r="E54" s="703">
        <f>+landbouw!D12</f>
        <v>3.6097478709429294</v>
      </c>
      <c r="F54" s="703">
        <f>+landbouw!E12</f>
        <v>1.0704034417845376</v>
      </c>
      <c r="G54" s="703">
        <f>+landbouw!F12</f>
        <v>178.46630405902607</v>
      </c>
      <c r="H54" s="703">
        <f>+landbouw!G12</f>
        <v>0</v>
      </c>
      <c r="I54" s="703">
        <f>+landbouw!H12</f>
        <v>0</v>
      </c>
      <c r="J54" s="703">
        <f>+landbouw!I12</f>
        <v>0</v>
      </c>
      <c r="K54" s="703">
        <f>+landbouw!J12</f>
        <v>9.3194386332514387</v>
      </c>
      <c r="L54" s="703">
        <f>+landbouw!K12</f>
        <v>0</v>
      </c>
      <c r="M54" s="703">
        <f>+landbouw!L12</f>
        <v>0</v>
      </c>
      <c r="N54" s="703">
        <f>+landbouw!M12</f>
        <v>0</v>
      </c>
      <c r="O54" s="703">
        <f>+landbouw!N12</f>
        <v>0</v>
      </c>
      <c r="P54" s="703">
        <f>+landbouw!O12</f>
        <v>0</v>
      </c>
      <c r="Q54" s="704">
        <f>+landbouw!P12</f>
        <v>0</v>
      </c>
      <c r="R54" s="731">
        <f ca="1">SUM(C54:Q54)</f>
        <v>219.236541776601</v>
      </c>
    </row>
    <row r="55" spans="1:18" ht="15" thickBot="1">
      <c r="A55" s="825" t="s">
        <v>848</v>
      </c>
      <c r="B55" s="835"/>
      <c r="C55" s="703">
        <f ca="1">C25*'EF ele_warmte'!B12</f>
        <v>97.823336649749763</v>
      </c>
      <c r="D55" s="703"/>
      <c r="E55" s="703">
        <f>E25*EF_CO2_aardgas</f>
        <v>255.8956789234</v>
      </c>
      <c r="F55" s="703"/>
      <c r="G55" s="703"/>
      <c r="H55" s="703"/>
      <c r="I55" s="703"/>
      <c r="J55" s="703"/>
      <c r="K55" s="703"/>
      <c r="L55" s="703"/>
      <c r="M55" s="703"/>
      <c r="N55" s="703"/>
      <c r="O55" s="703"/>
      <c r="P55" s="703"/>
      <c r="Q55" s="704"/>
      <c r="R55" s="731">
        <f ca="1">SUM(C55:Q55)</f>
        <v>353.71901557314976</v>
      </c>
    </row>
    <row r="56" spans="1:18" ht="15.75" thickBot="1">
      <c r="A56" s="823" t="s">
        <v>849</v>
      </c>
      <c r="B56" s="836"/>
      <c r="C56" s="732">
        <f ca="1">SUM(C54:C55)</f>
        <v>124.59398442134578</v>
      </c>
      <c r="D56" s="732">
        <f t="shared" ref="D56:Q56" ca="1" si="7">SUM(D54:D55)</f>
        <v>0</v>
      </c>
      <c r="E56" s="732">
        <f t="shared" si="7"/>
        <v>259.50542679434295</v>
      </c>
      <c r="F56" s="732">
        <f t="shared" si="7"/>
        <v>1.0704034417845376</v>
      </c>
      <c r="G56" s="732">
        <f t="shared" si="7"/>
        <v>178.46630405902607</v>
      </c>
      <c r="H56" s="732">
        <f t="shared" si="7"/>
        <v>0</v>
      </c>
      <c r="I56" s="732">
        <f t="shared" si="7"/>
        <v>0</v>
      </c>
      <c r="J56" s="732">
        <f t="shared" si="7"/>
        <v>0</v>
      </c>
      <c r="K56" s="732">
        <f t="shared" si="7"/>
        <v>9.3194386332514387</v>
      </c>
      <c r="L56" s="732">
        <f t="shared" si="7"/>
        <v>0</v>
      </c>
      <c r="M56" s="732">
        <f t="shared" si="7"/>
        <v>0</v>
      </c>
      <c r="N56" s="732">
        <f t="shared" si="7"/>
        <v>0</v>
      </c>
      <c r="O56" s="732">
        <f t="shared" si="7"/>
        <v>0</v>
      </c>
      <c r="P56" s="732">
        <f t="shared" si="7"/>
        <v>0</v>
      </c>
      <c r="Q56" s="733">
        <f t="shared" si="7"/>
        <v>0</v>
      </c>
      <c r="R56" s="734">
        <f ca="1">SUM(R54:R55)</f>
        <v>572.95555734975073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4263.6455724742627</v>
      </c>
      <c r="D61" s="740">
        <f t="shared" ref="D61:Q61" ca="1" si="8">D46+D52+D56</f>
        <v>0</v>
      </c>
      <c r="E61" s="740">
        <f t="shared" ca="1" si="8"/>
        <v>10926.356521603027</v>
      </c>
      <c r="F61" s="740">
        <f t="shared" si="8"/>
        <v>223.19461767058954</v>
      </c>
      <c r="G61" s="740">
        <f t="shared" ca="1" si="8"/>
        <v>1207.3615904457095</v>
      </c>
      <c r="H61" s="740">
        <f t="shared" si="8"/>
        <v>13697.934802417883</v>
      </c>
      <c r="I61" s="740">
        <f t="shared" si="8"/>
        <v>1934.8333447886318</v>
      </c>
      <c r="J61" s="740">
        <f t="shared" si="8"/>
        <v>0</v>
      </c>
      <c r="K61" s="740">
        <f t="shared" si="8"/>
        <v>25.142077571603139</v>
      </c>
      <c r="L61" s="740">
        <f t="shared" si="8"/>
        <v>0</v>
      </c>
      <c r="M61" s="740">
        <f t="shared" ca="1" si="8"/>
        <v>0</v>
      </c>
      <c r="N61" s="740">
        <f t="shared" si="8"/>
        <v>0</v>
      </c>
      <c r="O61" s="740">
        <f t="shared" ca="1" si="8"/>
        <v>0</v>
      </c>
      <c r="P61" s="740">
        <f t="shared" si="8"/>
        <v>0</v>
      </c>
      <c r="Q61" s="740">
        <f t="shared" si="8"/>
        <v>0</v>
      </c>
      <c r="R61" s="740">
        <f ca="1">R46+R52+R56</f>
        <v>32278.468526971708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0.14639421690087362</v>
      </c>
      <c r="D63" s="781">
        <f t="shared" ca="1" si="9"/>
        <v>0</v>
      </c>
      <c r="E63" s="1023">
        <f t="shared" ca="1" si="9"/>
        <v>0.20200000000000001</v>
      </c>
      <c r="F63" s="781">
        <f t="shared" si="9"/>
        <v>0.22700000000000009</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7937.3308276004509</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1894.5678506700262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9831.8986782704778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7937.3308276004509</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1894.5678506700262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9831.8986782704778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14515.242385263498</v>
      </c>
      <c r="C4" s="477">
        <f>huishoudens!C8</f>
        <v>0</v>
      </c>
      <c r="D4" s="477">
        <f>huishoudens!D8</f>
        <v>37058.425984645997</v>
      </c>
      <c r="E4" s="477">
        <f>huishoudens!E8</f>
        <v>362.81196008228994</v>
      </c>
      <c r="F4" s="477">
        <f>huishoudens!F8</f>
        <v>0</v>
      </c>
      <c r="G4" s="477">
        <f>huishoudens!G8</f>
        <v>0</v>
      </c>
      <c r="H4" s="477">
        <f>huishoudens!H8</f>
        <v>0</v>
      </c>
      <c r="I4" s="477">
        <f>huishoudens!I8</f>
        <v>0</v>
      </c>
      <c r="J4" s="477">
        <f>huishoudens!J8</f>
        <v>37.145496145106691</v>
      </c>
      <c r="K4" s="477">
        <f>huishoudens!K8</f>
        <v>0</v>
      </c>
      <c r="L4" s="477">
        <f>huishoudens!L8</f>
        <v>0</v>
      </c>
      <c r="M4" s="477">
        <f>huishoudens!M8</f>
        <v>0</v>
      </c>
      <c r="N4" s="477">
        <f>huishoudens!N8</f>
        <v>2747.7597275714265</v>
      </c>
      <c r="O4" s="477">
        <f>huishoudens!O8</f>
        <v>101.61666666666667</v>
      </c>
      <c r="P4" s="478">
        <f>huishoudens!P8</f>
        <v>171.6</v>
      </c>
      <c r="Q4" s="479">
        <f>SUM(B4:P4)</f>
        <v>54994.602220374989</v>
      </c>
    </row>
    <row r="5" spans="1:17">
      <c r="A5" s="476" t="s">
        <v>156</v>
      </c>
      <c r="B5" s="477">
        <f ca="1">tertiair!B16</f>
        <v>11394.100866515</v>
      </c>
      <c r="C5" s="477">
        <f ca="1">tertiair!C16</f>
        <v>0</v>
      </c>
      <c r="D5" s="477">
        <f ca="1">tertiair!D16</f>
        <v>12821.39826361262</v>
      </c>
      <c r="E5" s="477">
        <f>tertiair!E16</f>
        <v>237.57013596316006</v>
      </c>
      <c r="F5" s="477">
        <f ca="1">tertiair!F16</f>
        <v>2894.9905921171621</v>
      </c>
      <c r="G5" s="477">
        <f>tertiair!G16</f>
        <v>0</v>
      </c>
      <c r="H5" s="477">
        <f>tertiair!H16</f>
        <v>0</v>
      </c>
      <c r="I5" s="477">
        <f>tertiair!I16</f>
        <v>0</v>
      </c>
      <c r="J5" s="477">
        <f>tertiair!J16</f>
        <v>0</v>
      </c>
      <c r="K5" s="477">
        <f>tertiair!K16</f>
        <v>0</v>
      </c>
      <c r="L5" s="477">
        <f ca="1">tertiair!L16</f>
        <v>0</v>
      </c>
      <c r="M5" s="477">
        <f>tertiair!M16</f>
        <v>0</v>
      </c>
      <c r="N5" s="477">
        <f ca="1">tertiair!N16</f>
        <v>1301.6767041229864</v>
      </c>
      <c r="O5" s="477">
        <f>tertiair!O16</f>
        <v>0</v>
      </c>
      <c r="P5" s="478">
        <f>tertiair!P16</f>
        <v>0</v>
      </c>
      <c r="Q5" s="476">
        <f t="shared" ref="Q5:Q14" ca="1" si="0">SUM(B5:P5)</f>
        <v>28649.736562330931</v>
      </c>
    </row>
    <row r="6" spans="1:17">
      <c r="A6" s="476" t="s">
        <v>194</v>
      </c>
      <c r="B6" s="477">
        <f>'openbare verlichting'!B8</f>
        <v>413.33</v>
      </c>
      <c r="C6" s="477"/>
      <c r="D6" s="477"/>
      <c r="E6" s="477"/>
      <c r="F6" s="477"/>
      <c r="G6" s="477"/>
      <c r="H6" s="477"/>
      <c r="I6" s="477"/>
      <c r="J6" s="477"/>
      <c r="K6" s="477"/>
      <c r="L6" s="477"/>
      <c r="M6" s="477"/>
      <c r="N6" s="477"/>
      <c r="O6" s="477"/>
      <c r="P6" s="478"/>
      <c r="Q6" s="476">
        <f t="shared" si="0"/>
        <v>413.33</v>
      </c>
    </row>
    <row r="7" spans="1:17">
      <c r="A7" s="476" t="s">
        <v>112</v>
      </c>
      <c r="B7" s="477">
        <f>landbouw!B8</f>
        <v>182.86683954000003</v>
      </c>
      <c r="C7" s="477">
        <f>landbouw!C8</f>
        <v>0</v>
      </c>
      <c r="D7" s="477">
        <f>landbouw!D8</f>
        <v>17.870038965064005</v>
      </c>
      <c r="E7" s="477">
        <f>landbouw!E8</f>
        <v>4.7154336642490646</v>
      </c>
      <c r="F7" s="477">
        <f>landbouw!F8</f>
        <v>668.41312381657701</v>
      </c>
      <c r="G7" s="477">
        <f>landbouw!G8</f>
        <v>0</v>
      </c>
      <c r="H7" s="477">
        <f>landbouw!H8</f>
        <v>0</v>
      </c>
      <c r="I7" s="477">
        <f>landbouw!I8</f>
        <v>0</v>
      </c>
      <c r="J7" s="477">
        <f>landbouw!J8</f>
        <v>26.326097834043615</v>
      </c>
      <c r="K7" s="477">
        <f>landbouw!K8</f>
        <v>0</v>
      </c>
      <c r="L7" s="477">
        <f>landbouw!L8</f>
        <v>0</v>
      </c>
      <c r="M7" s="477">
        <f>landbouw!M8</f>
        <v>0</v>
      </c>
      <c r="N7" s="477">
        <f>landbouw!N8</f>
        <v>0</v>
      </c>
      <c r="O7" s="477">
        <f>landbouw!O8</f>
        <v>0</v>
      </c>
      <c r="P7" s="478">
        <f>landbouw!P8</f>
        <v>0</v>
      </c>
      <c r="Q7" s="476">
        <f t="shared" si="0"/>
        <v>900.19153381993374</v>
      </c>
    </row>
    <row r="8" spans="1:17">
      <c r="A8" s="476" t="s">
        <v>638</v>
      </c>
      <c r="B8" s="477">
        <f>industrie!B18</f>
        <v>1936.812897131</v>
      </c>
      <c r="C8" s="477">
        <f>industrie!C18</f>
        <v>0</v>
      </c>
      <c r="D8" s="477">
        <f>industrie!D18</f>
        <v>2897.6194339767403</v>
      </c>
      <c r="E8" s="477">
        <f>industrie!E18</f>
        <v>265.6213203699661</v>
      </c>
      <c r="F8" s="477">
        <f>industrie!F18</f>
        <v>958.54980633483569</v>
      </c>
      <c r="G8" s="477">
        <f>industrie!G18</f>
        <v>0</v>
      </c>
      <c r="H8" s="477">
        <f>industrie!H18</f>
        <v>0</v>
      </c>
      <c r="I8" s="477">
        <f>industrie!I18</f>
        <v>0</v>
      </c>
      <c r="J8" s="477">
        <f>industrie!J18</f>
        <v>7.5512240197286156</v>
      </c>
      <c r="K8" s="477">
        <f>industrie!K18</f>
        <v>0</v>
      </c>
      <c r="L8" s="477">
        <f>industrie!L18</f>
        <v>0</v>
      </c>
      <c r="M8" s="477">
        <f>industrie!M18</f>
        <v>0</v>
      </c>
      <c r="N8" s="477">
        <f>industrie!N18</f>
        <v>505.1153722945113</v>
      </c>
      <c r="O8" s="477">
        <f>industrie!O18</f>
        <v>0</v>
      </c>
      <c r="P8" s="478">
        <f>industrie!P18</f>
        <v>0</v>
      </c>
      <c r="Q8" s="476">
        <f t="shared" si="0"/>
        <v>6571.2700541267823</v>
      </c>
    </row>
    <row r="9" spans="1:17" s="482" customFormat="1">
      <c r="A9" s="480" t="s">
        <v>564</v>
      </c>
      <c r="B9" s="481">
        <f>transport!B14</f>
        <v>13.841006189458854</v>
      </c>
      <c r="C9" s="481">
        <f>transport!C14</f>
        <v>0</v>
      </c>
      <c r="D9" s="481">
        <f>transport!D14</f>
        <v>28.749856421491021</v>
      </c>
      <c r="E9" s="481">
        <f>transport!E14</f>
        <v>112.51735111235899</v>
      </c>
      <c r="F9" s="481">
        <f>transport!F14</f>
        <v>0</v>
      </c>
      <c r="G9" s="481">
        <f>transport!G14</f>
        <v>50634.933542391969</v>
      </c>
      <c r="H9" s="481">
        <f>transport!H14</f>
        <v>7770.4150393117743</v>
      </c>
      <c r="I9" s="481">
        <f>transport!I14</f>
        <v>0</v>
      </c>
      <c r="J9" s="481">
        <f>transport!J14</f>
        <v>0</v>
      </c>
      <c r="K9" s="481">
        <f>transport!K14</f>
        <v>0</v>
      </c>
      <c r="L9" s="481">
        <f>transport!L14</f>
        <v>0</v>
      </c>
      <c r="M9" s="481">
        <f>transport!M14</f>
        <v>1827.9984863081877</v>
      </c>
      <c r="N9" s="481">
        <f>transport!N14</f>
        <v>0</v>
      </c>
      <c r="O9" s="481">
        <f>transport!O14</f>
        <v>0</v>
      </c>
      <c r="P9" s="481">
        <f>transport!P14</f>
        <v>0</v>
      </c>
      <c r="Q9" s="480">
        <f>SUM(B9:P9)</f>
        <v>60388.455281735238</v>
      </c>
    </row>
    <row r="10" spans="1:17">
      <c r="A10" s="476" t="s">
        <v>554</v>
      </c>
      <c r="B10" s="477">
        <f>transport!B54</f>
        <v>0</v>
      </c>
      <c r="C10" s="477">
        <f>transport!C54</f>
        <v>0</v>
      </c>
      <c r="D10" s="477">
        <f>transport!D54</f>
        <v>0</v>
      </c>
      <c r="E10" s="477">
        <f>transport!E54</f>
        <v>0</v>
      </c>
      <c r="F10" s="477">
        <f>transport!F54</f>
        <v>0</v>
      </c>
      <c r="G10" s="477">
        <f>transport!G54</f>
        <v>668.19305842406982</v>
      </c>
      <c r="H10" s="477">
        <f>transport!H54</f>
        <v>0</v>
      </c>
      <c r="I10" s="477">
        <f>transport!I54</f>
        <v>0</v>
      </c>
      <c r="J10" s="477">
        <f>transport!J54</f>
        <v>0</v>
      </c>
      <c r="K10" s="477">
        <f>transport!K54</f>
        <v>0</v>
      </c>
      <c r="L10" s="477">
        <f>transport!L54</f>
        <v>0</v>
      </c>
      <c r="M10" s="477">
        <f>transport!M54</f>
        <v>20.725853802772928</v>
      </c>
      <c r="N10" s="477">
        <f>transport!N54</f>
        <v>0</v>
      </c>
      <c r="O10" s="477">
        <f>transport!O54</f>
        <v>0</v>
      </c>
      <c r="P10" s="478">
        <f>transport!P54</f>
        <v>0</v>
      </c>
      <c r="Q10" s="476">
        <f t="shared" si="0"/>
        <v>688.91891222684274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668.21858623000003</v>
      </c>
      <c r="C14" s="484"/>
      <c r="D14" s="484">
        <f>'SEAP template'!E25</f>
        <v>1266.8102916999999</v>
      </c>
      <c r="E14" s="484"/>
      <c r="F14" s="484"/>
      <c r="G14" s="484"/>
      <c r="H14" s="484"/>
      <c r="I14" s="484"/>
      <c r="J14" s="484"/>
      <c r="K14" s="484"/>
      <c r="L14" s="484"/>
      <c r="M14" s="484"/>
      <c r="N14" s="484"/>
      <c r="O14" s="484"/>
      <c r="P14" s="485"/>
      <c r="Q14" s="476">
        <f t="shared" si="0"/>
        <v>1935.0288779299999</v>
      </c>
    </row>
    <row r="15" spans="1:17" s="486" customFormat="1">
      <c r="A15" s="1038" t="s">
        <v>558</v>
      </c>
      <c r="B15" s="978">
        <f ca="1">SUM(B4:B14)</f>
        <v>29124.412580868957</v>
      </c>
      <c r="C15" s="978">
        <f t="shared" ref="C15:Q15" ca="1" si="1">SUM(C4:C14)</f>
        <v>0</v>
      </c>
      <c r="D15" s="978">
        <f t="shared" ca="1" si="1"/>
        <v>54090.873869321913</v>
      </c>
      <c r="E15" s="978">
        <f t="shared" si="1"/>
        <v>983.23620119202405</v>
      </c>
      <c r="F15" s="978">
        <f t="shared" ca="1" si="1"/>
        <v>4521.9535222685745</v>
      </c>
      <c r="G15" s="978">
        <f t="shared" si="1"/>
        <v>51303.126600816038</v>
      </c>
      <c r="H15" s="978">
        <f t="shared" si="1"/>
        <v>7770.4150393117743</v>
      </c>
      <c r="I15" s="978">
        <f t="shared" si="1"/>
        <v>0</v>
      </c>
      <c r="J15" s="978">
        <f t="shared" si="1"/>
        <v>71.022817998878921</v>
      </c>
      <c r="K15" s="978">
        <f t="shared" si="1"/>
        <v>0</v>
      </c>
      <c r="L15" s="978">
        <f t="shared" ca="1" si="1"/>
        <v>0</v>
      </c>
      <c r="M15" s="978">
        <f t="shared" si="1"/>
        <v>1848.7243401109606</v>
      </c>
      <c r="N15" s="978">
        <f t="shared" ca="1" si="1"/>
        <v>4554.5518039889239</v>
      </c>
      <c r="O15" s="978">
        <f t="shared" si="1"/>
        <v>101.61666666666667</v>
      </c>
      <c r="P15" s="978">
        <f t="shared" si="1"/>
        <v>171.6</v>
      </c>
      <c r="Q15" s="978">
        <f t="shared" ca="1" si="1"/>
        <v>154541.53344254469</v>
      </c>
    </row>
    <row r="17" spans="1:17">
      <c r="A17" s="487" t="s">
        <v>559</v>
      </c>
      <c r="B17" s="786">
        <f ca="1">huishoudens!B10</f>
        <v>0.14639421690087365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2124.9475421170191</v>
      </c>
      <c r="C22" s="477">
        <f t="shared" ref="C22:C32" ca="1" si="3">C4*$C$17</f>
        <v>0</v>
      </c>
      <c r="D22" s="477">
        <f t="shared" ref="D22:D32" si="4">D4*$D$17</f>
        <v>7485.8020488984921</v>
      </c>
      <c r="E22" s="477">
        <f t="shared" ref="E22:E32" si="5">E4*$E$17</f>
        <v>82.358314938679825</v>
      </c>
      <c r="F22" s="477">
        <f t="shared" ref="F22:F32" si="6">F4*$F$17</f>
        <v>0</v>
      </c>
      <c r="G22" s="477">
        <f t="shared" ref="G22:G32" si="7">G4*$G$17</f>
        <v>0</v>
      </c>
      <c r="H22" s="477">
        <f t="shared" ref="H22:H32" si="8">H4*$H$17</f>
        <v>0</v>
      </c>
      <c r="I22" s="477">
        <f t="shared" ref="I22:I32" si="9">I4*$I$17</f>
        <v>0</v>
      </c>
      <c r="J22" s="477">
        <f t="shared" ref="J22:J32" si="10">J4*$J$17</f>
        <v>13.149505635367769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9706.2574115895586</v>
      </c>
    </row>
    <row r="23" spans="1:17">
      <c r="A23" s="476" t="s">
        <v>156</v>
      </c>
      <c r="B23" s="477">
        <f t="shared" ca="1" si="2"/>
        <v>1668.0304736430294</v>
      </c>
      <c r="C23" s="477">
        <f t="shared" ca="1" si="3"/>
        <v>0</v>
      </c>
      <c r="D23" s="477">
        <f t="shared" ca="1" si="4"/>
        <v>2589.9224492497497</v>
      </c>
      <c r="E23" s="477">
        <f t="shared" si="5"/>
        <v>53.928420863637335</v>
      </c>
      <c r="F23" s="477">
        <f t="shared" ca="1" si="6"/>
        <v>772.96248809528231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5084.8438318516983</v>
      </c>
    </row>
    <row r="24" spans="1:17">
      <c r="A24" s="476" t="s">
        <v>194</v>
      </c>
      <c r="B24" s="477">
        <f t="shared" ca="1" si="2"/>
        <v>60.509121671638106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60.509121671638106</v>
      </c>
    </row>
    <row r="25" spans="1:17">
      <c r="A25" s="476" t="s">
        <v>112</v>
      </c>
      <c r="B25" s="477">
        <f t="shared" ca="1" si="2"/>
        <v>26.770647771596021</v>
      </c>
      <c r="C25" s="477">
        <f t="shared" ca="1" si="3"/>
        <v>0</v>
      </c>
      <c r="D25" s="477">
        <f t="shared" si="4"/>
        <v>3.6097478709429294</v>
      </c>
      <c r="E25" s="477">
        <f t="shared" si="5"/>
        <v>1.0704034417845376</v>
      </c>
      <c r="F25" s="477">
        <f t="shared" si="6"/>
        <v>178.46630405902607</v>
      </c>
      <c r="G25" s="477">
        <f t="shared" si="7"/>
        <v>0</v>
      </c>
      <c r="H25" s="477">
        <f t="shared" si="8"/>
        <v>0</v>
      </c>
      <c r="I25" s="477">
        <f t="shared" si="9"/>
        <v>0</v>
      </c>
      <c r="J25" s="477">
        <f t="shared" si="10"/>
        <v>9.3194386332514387</v>
      </c>
      <c r="K25" s="477">
        <f t="shared" si="11"/>
        <v>0</v>
      </c>
      <c r="L25" s="477">
        <f t="shared" si="12"/>
        <v>0</v>
      </c>
      <c r="M25" s="477">
        <f t="shared" si="13"/>
        <v>0</v>
      </c>
      <c r="N25" s="477">
        <f t="shared" si="14"/>
        <v>0</v>
      </c>
      <c r="O25" s="477">
        <f t="shared" si="15"/>
        <v>0</v>
      </c>
      <c r="P25" s="478">
        <f t="shared" si="16"/>
        <v>0</v>
      </c>
      <c r="Q25" s="476">
        <f t="shared" ca="1" si="17"/>
        <v>219.236541776601</v>
      </c>
    </row>
    <row r="26" spans="1:17">
      <c r="A26" s="476" t="s">
        <v>638</v>
      </c>
      <c r="B26" s="477">
        <f t="shared" ca="1" si="2"/>
        <v>283.53820735900507</v>
      </c>
      <c r="C26" s="477">
        <f t="shared" ca="1" si="3"/>
        <v>0</v>
      </c>
      <c r="D26" s="477">
        <f t="shared" si="4"/>
        <v>585.31912566330163</v>
      </c>
      <c r="E26" s="477">
        <f t="shared" si="5"/>
        <v>60.296039723982304</v>
      </c>
      <c r="F26" s="477">
        <f t="shared" si="6"/>
        <v>255.93279829140116</v>
      </c>
      <c r="G26" s="477">
        <f t="shared" si="7"/>
        <v>0</v>
      </c>
      <c r="H26" s="477">
        <f t="shared" si="8"/>
        <v>0</v>
      </c>
      <c r="I26" s="477">
        <f t="shared" si="9"/>
        <v>0</v>
      </c>
      <c r="J26" s="477">
        <f t="shared" si="10"/>
        <v>2.6731333029839299</v>
      </c>
      <c r="K26" s="477">
        <f t="shared" si="11"/>
        <v>0</v>
      </c>
      <c r="L26" s="477">
        <f t="shared" si="12"/>
        <v>0</v>
      </c>
      <c r="M26" s="477">
        <f t="shared" si="13"/>
        <v>0</v>
      </c>
      <c r="N26" s="477">
        <f t="shared" si="14"/>
        <v>0</v>
      </c>
      <c r="O26" s="477">
        <f t="shared" si="15"/>
        <v>0</v>
      </c>
      <c r="P26" s="478">
        <f t="shared" si="16"/>
        <v>0</v>
      </c>
      <c r="Q26" s="476">
        <f t="shared" ca="1" si="17"/>
        <v>1187.7593043406739</v>
      </c>
    </row>
    <row r="27" spans="1:17" s="482" customFormat="1">
      <c r="A27" s="480" t="s">
        <v>564</v>
      </c>
      <c r="B27" s="780">
        <f t="shared" ca="1" si="2"/>
        <v>2.0262432622259743</v>
      </c>
      <c r="C27" s="481">
        <f t="shared" ca="1" si="3"/>
        <v>0</v>
      </c>
      <c r="D27" s="481">
        <f t="shared" si="4"/>
        <v>5.8074709971411869</v>
      </c>
      <c r="E27" s="481">
        <f t="shared" si="5"/>
        <v>25.541438702505491</v>
      </c>
      <c r="F27" s="481">
        <f t="shared" si="6"/>
        <v>0</v>
      </c>
      <c r="G27" s="481">
        <f t="shared" si="7"/>
        <v>13519.527255818657</v>
      </c>
      <c r="H27" s="481">
        <f t="shared" si="8"/>
        <v>1934.8333447886318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15487.735753569163</v>
      </c>
    </row>
    <row r="28" spans="1:17">
      <c r="A28" s="476" t="s">
        <v>554</v>
      </c>
      <c r="B28" s="477">
        <f t="shared" ca="1" si="2"/>
        <v>0</v>
      </c>
      <c r="C28" s="477">
        <f t="shared" ca="1" si="3"/>
        <v>0</v>
      </c>
      <c r="D28" s="477">
        <f t="shared" si="4"/>
        <v>0</v>
      </c>
      <c r="E28" s="477">
        <f t="shared" si="5"/>
        <v>0</v>
      </c>
      <c r="F28" s="477">
        <f t="shared" si="6"/>
        <v>0</v>
      </c>
      <c r="G28" s="477">
        <f t="shared" si="7"/>
        <v>178.40754659922666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178.40754659922666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97.823336649749763</v>
      </c>
      <c r="C32" s="477">
        <f t="shared" ca="1" si="3"/>
        <v>0</v>
      </c>
      <c r="D32" s="477">
        <f t="shared" si="4"/>
        <v>255.8956789234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353.71901557314976</v>
      </c>
    </row>
    <row r="33" spans="1:17" s="486" customFormat="1">
      <c r="A33" s="1038" t="s">
        <v>558</v>
      </c>
      <c r="B33" s="978">
        <f ca="1">SUM(B22:B32)</f>
        <v>4263.6455724742636</v>
      </c>
      <c r="C33" s="978">
        <f t="shared" ref="C33:Q33" ca="1" si="18">SUM(C22:C32)</f>
        <v>0</v>
      </c>
      <c r="D33" s="978">
        <f t="shared" ca="1" si="18"/>
        <v>10926.356521603027</v>
      </c>
      <c r="E33" s="978">
        <f t="shared" si="18"/>
        <v>223.19461767058954</v>
      </c>
      <c r="F33" s="978">
        <f t="shared" ca="1" si="18"/>
        <v>1207.3615904457097</v>
      </c>
      <c r="G33" s="978">
        <f t="shared" si="18"/>
        <v>13697.934802417883</v>
      </c>
      <c r="H33" s="978">
        <f t="shared" si="18"/>
        <v>1934.8333447886318</v>
      </c>
      <c r="I33" s="978">
        <f t="shared" si="18"/>
        <v>0</v>
      </c>
      <c r="J33" s="978">
        <f t="shared" si="18"/>
        <v>25.142077571603139</v>
      </c>
      <c r="K33" s="978">
        <f t="shared" si="18"/>
        <v>0</v>
      </c>
      <c r="L33" s="978">
        <f t="shared" ca="1" si="18"/>
        <v>0</v>
      </c>
      <c r="M33" s="978">
        <f t="shared" si="18"/>
        <v>0</v>
      </c>
      <c r="N33" s="978">
        <f t="shared" ca="1" si="18"/>
        <v>0</v>
      </c>
      <c r="O33" s="978">
        <f t="shared" si="18"/>
        <v>0</v>
      </c>
      <c r="P33" s="978">
        <f t="shared" si="18"/>
        <v>0</v>
      </c>
      <c r="Q33" s="978">
        <f t="shared" ca="1" si="18"/>
        <v>32278.468526971712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7937.3308276004509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1894.5678506700262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9831.8986782704778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0.14639421690087365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0.14639421690087365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2019-08-12T08:22:20Z</dcterms:modified>
</cp:coreProperties>
</file>