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<sst xmlns="http://schemas.openxmlformats.org/spreadsheetml/2006/main" count="2462" uniqueCount="917">
  <si>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</si>
  <si>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</si>
  <si>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</si>
  <si>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</si>
  <si>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</si>
  <si>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</si>
  <si>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</si>
  <si>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</si>
  <si>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</si>
  <si>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</si>
  <si>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</si>
  <si>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</si>
  <si>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</si>
  <si>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</si>
  <si>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</si>
  <si>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</si>
  <si>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</si>
  <si>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</si>
  <si>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</si>
  <si>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</si>
  <si>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</si>
  <si>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</si>
  <si>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</si>
  <si>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</si>
  <si>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</si>
  <si>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</si>
  <si>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</si>
  <si>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</si>
  <si>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</si>
  <si>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</si>
  <si>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</si>
  <si>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</si>
  <si>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</si>
  <si>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</si>
  <si>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</si>
  <si>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</si>
  <si>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</si>
  <si>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</si>
  <si>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</si>
  <si>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</si>
  <si>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</si>
  <si>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</si>
  <si>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</si>
  <si>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</si>
  <si>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</si>
  <si>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</si>
  <si>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</si>
  <si>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</si>
  <si>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</si>
  <si>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</si>
  <si>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</si>
  <si>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</si>
  <si>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</si>
  <si>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</si>
  <si>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</si>
  <si>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</si>
  <si>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</si>
  <si>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</si>
  <si>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</si>
  <si>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</si>
  <si>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</si>
  <si>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</si>
  <si>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</si>
  <si>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</si>
  <si>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</si>
  <si>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</si>
  <si>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</si>
  <si>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</si>
  <si>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</si>
  <si>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</si>
  <si>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</si>
  <si>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</si>
  <si>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</si>
  <si>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</si>
  <si>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</si>
  <si>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</si>
  <si>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</si>
  <si>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</si>
  <si>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</si>
  <si>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</si>
  <si>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</si>
  <si>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</si>
  <si>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</si>
  <si>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</si>
  <si>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</si>
  <si>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</si>
  <si>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</si>
  <si>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</si>
  <si>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</si>
  <si>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</si>
  <si>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</si>
  <si>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</si>
  <si>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</si>
  <si>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</si>
  <si>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</si>
  <si>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</si>
  <si>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</si>
  <si>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</si>
  <si>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</si>
  <si>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</si>
  <si>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</si>
  <si>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</si>
  <si>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</si>
  <si>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</si>
  <si>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</si>
  <si>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</si>
  <si>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</si>
  <si>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</si>
  <si>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</si>
  <si>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</si>
  <si>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</si>
  <si>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</si>
  <si>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</si>
  <si>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</si>
  <si>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</si>
  <si>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</si>
  <si>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</si>
  <si>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</si>
  <si>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</si>
  <si>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</si>
  <si>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</si>
  <si>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</si>
  <si>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</si>
  <si>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</si>
  <si>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</si>
  <si>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</si>
  <si>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</si>
  <si>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</si>
  <si>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</si>
  <si>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</si>
  <si>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</si>
  <si>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</si>
  <si>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</si>
  <si>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</si>
  <si>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</si>
  <si>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</si>
  <si>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</si>
  <si>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</si>
  <si>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</si>
  <si>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</si>
  <si>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</si>
  <si>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</si>
  <si>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</si>
  <si>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</si>
  <si>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</si>
  <si>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</si>
  <si>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</si>
  <si>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</si>
  <si>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</si>
  <si>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</si>
  <si>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</si>
  <si>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</si>
  <si>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</si>
  <si>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</si>
  <si>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</si>
  <si>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</si>
  <si>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</si>
  <si>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</si>
  <si>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</si>
  <si>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</si>
  <si>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</si>
  <si>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</si>
  <si>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</si>
  <si>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</si>
  <si>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</si>
  <si>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</si>
  <si>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</si>
  <si>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</si>
  <si>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</si>
  <si>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</si>
  <si>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</si>
  <si>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</si>
  <si>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</si>
  <si>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</si>
  <si>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</si>
  <si>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</si>
  <si>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</si>
  <si>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</si>
  <si>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</si>
  <si>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</si>
  <si>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</si>
  <si>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</si>
  <si>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</si>
  <si>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</si>
  <si>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</si>
  <si>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</si>
  <si>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</si>
  <si>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</si>
  <si>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</si>
  <si>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</si>
  <si>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</si>
  <si>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</si>
  <si>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</si>
  <si>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</si>
  <si>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</si>
  <si>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</si>
  <si>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</si>
  <si>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</si>
  <si>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</si>
  <si>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</si>
  <si>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</si>
  <si>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</si>
  <si>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</si>
  <si>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</si>
  <si>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</si>
  <si>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</si>
  <si>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</si>
  <si>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</si>
  <si>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</si>
  <si>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</si>
  <si>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</si>
  <si>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</si>
  <si>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</si>
  <si>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</si>
  <si>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</si>
  <si>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</si>
  <si>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</si>
  <si>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</si>
  <si>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</si>
  <si>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</si>
  <si>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</si>
  <si>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</si>
  <si>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</si>
  <si>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</si>
  <si>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</si>
  <si>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</si>
  <si>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</si>
  <si>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</si>
  <si>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</si>
  <si>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</si>
  <si>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</si>
  <si>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</si>
  <si>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</si>
  <si>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</si>
  <si>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</si>
  <si>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</si>
  <si>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</si>
  <si>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</si>
  <si>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</si>
  <si>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</si>
  <si>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</si>
  <si>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</si>
  <si>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</si>
  <si>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</si>
  <si>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</si>
  <si>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</si>
  <si>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</si>
  <si>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</si>
  <si>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</si>
  <si>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</si>
  <si>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</si>
  <si>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</si>
  <si>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</si>
  <si>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</si>
  <si>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</si>
  <si>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</si>
  <si>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</si>
  <si>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</si>
  <si>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</si>
  <si>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</si>
  <si>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</si>
  <si>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</si>
  <si>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</si>
  <si>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</si>
  <si>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</si>
  <si>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</si>
  <si>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</si>
  <si>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</si>
  <si>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</si>
  <si>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</si>
  <si>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</si>
  <si>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</si>
  <si>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</si>
  <si>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</si>
  <si>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</si>
  <si>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</si>
  <si>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</si>
  <si>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</si>
  <si>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</si>
  <si>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</si>
  <si>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</si>
  <si>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</si>
  <si>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</si>
  <si>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</si>
  <si>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</si>
  <si>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</si>
  <si>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</si>
  <si>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</si>
  <si>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</si>
  <si>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</si>
  <si>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</si>
  <si>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</si>
  <si>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</si>
  <si>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</si>
  <si>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</si>
  <si>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</si>
  <si>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</si>
  <si>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</si>
  <si>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</si>
  <si>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</si>
  <si>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</si>
  <si>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</si>
  <si>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</si>
  <si>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</si>
  <si>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</si>
  <si>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</si>
  <si>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</si>
  <si>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</si>
  <si>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</si>
  <si>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</si>
  <si>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</si>
  <si>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</si>
  <si>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</si>
  <si>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</si>
  <si>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</si>
  <si>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</si>
  <si>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</si>
  <si>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</si>
  <si>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</si>
  <si>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</si>
  <si>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</si>
  <si>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</si>
  <si>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</si>
  <si>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</si>
  <si>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</si>
  <si>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</si>
  <si>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</si>
  <si>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</si>
  <si>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</si>
  <si>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</si>
  <si>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</si>
  <si>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</si>
  <si>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</si>
  <si>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</si>
  <si>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</si>
  <si>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</si>
  <si>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</si>
  <si>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</si>
  <si>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</si>
  <si>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</si>
  <si>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</si>
  <si>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</si>
  <si>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</si>
  <si>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</si>
  <si>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</si>
  <si>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</si>
  <si>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</si>
  <si>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</si>
  <si>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</si>
  <si>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</si>
  <si>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</si>
  <si>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</si>
  <si>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</si>
  <si>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</si>
  <si>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</si>
  <si>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</si>
  <si>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</si>
  <si>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</si>
  <si>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</si>
  <si>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</si>
  <si>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</si>
  <si>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</si>
  <si>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</si>
  <si>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</si>
  <si>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</si>
  <si>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</si>
  <si>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</si>
  <si>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</si>
  <si>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</si>
  <si>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</si>
  <si>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</si>
  <si>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</si>
  <si>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</si>
  <si>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</si>
  <si>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</si>
  <si>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</si>
  <si>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</si>
  <si>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</si>
  <si>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</si>
  <si>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</si>
  <si>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</si>
  <si>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</si>
  <si>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</si>
  <si>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</si>
  <si>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</si>
  <si>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</si>
  <si>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</si>
  <si>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</si>
  <si>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</si>
  <si>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</si>
  <si>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</si>
  <si>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</si>
  <si>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</si>
  <si>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</si>
  <si>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</si>
  <si>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</si>
  <si>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</si>
  <si>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</si>
  <si>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</si>
  <si>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</si>
  <si>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</si>
  <si>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</si>
  <si>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</si>
  <si>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</si>
  <si>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</si>
  <si>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</si>
  <si>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</si>
  <si>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</si>
  <si>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</si>
  <si>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</si>
  <si>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</si>
  <si>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</si>
  <si>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</si>
  <si>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</si>
  <si>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</si>
  <si>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</si>
  <si>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</si>
  <si>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</si>
  <si>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</si>
  <si>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</si>
  <si>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</si>
  <si>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</si>
  <si>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</si>
  <si>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</si>
  <si>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</si>
  <si>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</si>
  <si>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</si>
  <si>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</si>
  <si>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</si>
  <si>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</si>
  <si>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</si>
  <si>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</si>
  <si>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</si>
  <si>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</si>
  <si>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</si>
  <si>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</si>
  <si>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</si>
  <si>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</si>
  <si>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</si>
  <si>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</si>
  <si>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</si>
  <si>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</si>
  <si>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</si>
  <si>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</si>
  <si>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</si>
  <si>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</si>
  <si>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</si>
  <si>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</si>
  <si>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</si>
  <si>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</si>
  <si>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</si>
  <si>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</si>
  <si>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</si>
  <si>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</si>
  <si>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</si>
  <si>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</si>
  <si>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</si>
  <si>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</si>
  <si>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</si>
  <si>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</si>
  <si>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</si>
  <si>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</si>
  <si>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</si>
  <si>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</si>
  <si>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</si>
  <si>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</si>
  <si>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</si>
  <si>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</si>
  <si>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</si>
  <si>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</si>
  <si>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</si>
  <si>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</si>
  <si>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</si>
  <si>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</si>
  <si>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</si>
  <si>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</si>
  <si>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</si>
  <si>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</si>
  <si>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</si>
  <si>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</si>
  <si>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</si>
  <si>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</si>
  <si>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</si>
  <si>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</si>
  <si>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</si>
  <si>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</si>
  <si>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</si>
  <si>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</si>
  <si>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</si>
  <si>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</si>
  <si>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</si>
  <si>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</si>
  <si>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</si>
  <si>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</si>
  <si>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</si>
  <si>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</si>
  <si>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</si>
  <si>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</si>
  <si>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</si>
  <si>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</si>
  <si>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</si>
  <si>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</si>
  <si>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</si>
  <si>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</si>
  <si>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</si>
  <si>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</si>
  <si>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</si>
  <si>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</si>
  <si>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</si>
  <si>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</si>
  <si>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</si>
  <si>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</si>
  <si>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</si>
  <si>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</si>
  <si>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</si>
  <si>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</si>
  <si>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</si>
  <si>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</si>
  <si>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</si>
  <si>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</si>
  <si>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</si>
  <si>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</si>
  <si>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</si>
  <si>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</si>
  <si>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</si>
  <si>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</si>
  <si>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</si>
  <si>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</si>
  <si>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</si>
  <si>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</si>
  <si>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</si>
  <si>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</si>
  <si>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</si>
  <si>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</si>
  <si>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</si>
  <si>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</si>
  <si>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</si>
  <si>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</si>
  <si>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</si>
  <si>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</si>
  <si>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</si>
  <si>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</si>
  <si>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</si>
  <si>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</si>
  <si>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</si>
  <si>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</si>
  <si>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</si>
  <si>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</si>
  <si>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</si>
  <si>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</si>
  <si>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</si>
  <si>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</si>
  <si>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</si>
  <si>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</si>
  <si>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</si>
  <si>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</si>
  <si>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</si>
  <si>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</si>
  <si>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</si>
  <si>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</si>
  <si>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</si>
  <si>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</si>
  <si>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</si>
  <si>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</si>
  <si>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</si>
  <si>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</si>
  <si>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</si>
  <si>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</si>
  <si>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</si>
  <si>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</si>
  <si>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</si>
  <si>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</si>
  <si>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</si>
  <si>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</si>
  <si>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</si>
  <si>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</si>
  <si>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</si>
  <si>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</si>
  <si>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</si>
  <si>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</si>
  <si>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</si>
  <si>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</si>
  <si>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</si>
  <si>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</si>
  <si>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</si>
  <si>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</si>
  <si>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</si>
  <si>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</si>
  <si>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</si>
  <si>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</si>
  <si>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</si>
  <si>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</si>
  <si>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</si>
  <si>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</si>
  <si>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</si>
  <si>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</si>
  <si>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</si>
  <si>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</si>
  <si>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</si>
  <si>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</si>
  <si>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</si>
  <si>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</si>
  <si>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</si>
  <si>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</si>
  <si>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</si>
  <si>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</si>
  <si>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</si>
  <si>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</si>
  <si>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</si>
  <si>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</si>
  <si>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</si>
  <si>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</si>
  <si>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</si>
  <si>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</si>
  <si>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</si>
  <si>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</si>
  <si>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</si>
  <si>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</si>
  <si>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</si>
  <si>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</si>
  <si>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</si>
  <si>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</si>
  <si>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</si>
  <si>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</si>
  <si>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</si>
  <si>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</si>
  <si>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</si>
  <si>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</si>
  <si>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</si>
  <si>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</si>
  <si>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</si>
  <si>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</si>
  <si>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</si>
  <si>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</si>
  <si>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</si>
  <si>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</si>
  <si>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</si>
  <si>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</si>
  <si>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</si>
  <si>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</si>
  <si>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</si>
  <si>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</si>
  <si>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</si>
  <si>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</si>
  <si>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</si>
  <si>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</si>
  <si>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</si>
  <si>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</si>
  <si>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</si>
  <si>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</si>
  <si>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</si>
  <si>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</si>
  <si>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</si>
  <si>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</si>
  <si>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</si>
  <si>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</si>
  <si>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</si>
  <si>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</si>
  <si>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</si>
  <si>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</si>
  <si>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</si>
  <si>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</si>
  <si>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</si>
  <si>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</si>
  <si>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</si>
  <si>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</si>
  <si>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</si>
  <si>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</si>
  <si>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</si>
  <si>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</si>
  <si>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</si>
  <si>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</si>
  <si>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</si>
  <si>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</si>
  <si>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</si>
  <si>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</si>
  <si>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</si>
  <si>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</si>
  <si>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</si>
  <si>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</si>
  <si>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</si>
  <si>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</si>
  <si>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</si>
  <si>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</si>
  <si>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</si>
  <si>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</si>
  <si>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</si>
  <si>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</si>
  <si>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</si>
  <si>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</si>
  <si>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</si>
  <si>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</si>
  <si>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</si>
  <si>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</si>
  <si>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</si>
  <si>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</si>
  <si>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</si>
  <si>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</si>
  <si>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</si>
  <si>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</si>
  <si>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</si>
  <si>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</si>
  <si>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</si>
  <si>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</si>
  <si>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</si>
  <si>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</si>
  <si>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</si>
  <si>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</si>
  <si>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</si>
  <si>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</si>
  <si>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</si>
  <si>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</si>
  <si>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</si>
  <si>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</si>
  <si>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</si>
  <si>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</si>
  <si>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</si>
  <si>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</si>
  <si>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</si>
  <si>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</si>
  <si>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</si>
  <si>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</si>
  <si>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</si>
  <si>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</si>
  <si>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</si>
  <si>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</si>
  <si>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</si>
  <si>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</si>
  <si>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</si>
  <si>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</si>
  <si>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</si>
  <si>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</si>
  <si>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</si>
  <si>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</si>
  <si>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</si>
  <si>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</si>
  <si>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</si>
  <si>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</si>
  <si>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</si>
  <si>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</si>
  <si>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</si>
  <si>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</si>
  <si>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</si>
  <si>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</si>
  <si>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</si>
  <si>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</si>
  <si>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</si>
  <si>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</si>
  <si>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</si>
  <si>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</si>
  <si>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</si>
  <si>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</si>
  <si>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</si>
  <si>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</si>
  <si>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</si>
  <si>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</si>
  <si>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</si>
  <si>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</si>
  <si>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</si>
  <si>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</si>
  <si>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</si>
  <si>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</si>
  <si>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</si>
  <si>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</si>
  <si>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</si>
  <si>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</si>
  <si>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</si>
  <si>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</si>
  <si>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</si>
  <si>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</si>
  <si>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</si>
  <si>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</si>
  <si>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</si>
  <si>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</si>
  <si>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</si>
  <si>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</si>
  <si>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</si>
  <si>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</si>
  <si>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</si>
  <si>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</si>
  <si>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</si>
  <si>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</si>
  <si>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</si>
  <si>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</si>
  <si>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</si>
  <si>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</si>
  <si>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</si>
  <si>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</si>
  <si>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</si>
  <si>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</si>
  <si>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</si>
  <si>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</si>
  <si>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</si>
  <si>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</si>
  <si>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</si>
  <si>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</si>
  <si>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</si>
  <si>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</si>
  <si>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</si>
  <si>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</si>
  <si>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</si>
  <si>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</si>
  <si>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</si>
  <si>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</si>
  <si>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</si>
  <si>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</si>
  <si>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</si>
  <si>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</si>
  <si>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</si>
  <si>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</si>
  <si>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</si>
  <si>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</si>
  <si>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</si>
  <si>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</si>
  <si>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</si>
  <si>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</si>
  <si>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</si>
  <si>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</si>
  <si>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</si>
  <si>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</si>
  <si>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</si>
  <si>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</si>
  <si>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</si>
  <si>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</si>
  <si>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</si>
  <si>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</si>
  <si>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</si>
  <si>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</si>
  <si>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</si>
  <si>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</si>
  <si>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</si>
  <si>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</si>
  <si>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</si>
  <si>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</si>
  <si>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</si>
  <si>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</si>
  <si>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</si>
  <si>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</si>
  <si>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</si>
  <si>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</si>
  <si>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</si>
  <si>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</si>
  <si>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</si>
  <si>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</si>
  <si>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</si>
  <si>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</si>
  <si>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</si>
  <si>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</si>
  <si>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</si>
  <si>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</si>
  <si>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</si>
  <si>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</si>
  <si>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</si>
  <si>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</si>
  <si>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</si>
  <si>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</si>
  <si>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</si>
  <si>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</si>
  <si>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</si>
  <si>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</si>
  <si>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</si>
  <si>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</si>
  <si>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</si>
  <si>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</si>
  <si>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</si>
  <si>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</si>
  <si>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</si>
  <si>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</si>
  <si>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</si>
  <si>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</si>
  <si>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</si>
  <si>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</si>
  <si>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</si>
  <si>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</si>
  <si>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</si>
  <si>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</si>
  <si>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</si>
  <si>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</si>
  <si>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</si>
  <si>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</si>
  <si>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</si>
  <si>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</si>
  <si>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11035</t>
  </si>
  <si>
    <t>RANST</t>
  </si>
  <si>
    <t>Paarden&amp;pony's 200 - 600 kg</t>
  </si>
  <si>
    <t>Paarden&amp;pony's &lt; 200 kg</t>
  </si>
  <si>
    <t>referentietaak LNE (2017); Jaarverslag De Lijn (2015)</t>
  </si>
  <si>
    <t>op basis van VEA (maart 2018) en Inventaris Hernieuwbare Energiebronnen (juni 2018)</t>
  </si>
  <si>
    <t>VEA (januari 2017)</t>
  </si>
  <si>
    <t>VEA (juni 2018)</t>
  </si>
  <si>
    <t>Groeikracht Broechem NV</t>
  </si>
  <si>
    <t>Bistweg 37, 2520 Broechem</t>
  </si>
  <si>
    <t>WKK-0040a Groeikracht Broechem</t>
  </si>
  <si>
    <t>interne verbrandingsmotor</t>
  </si>
  <si>
    <t>WKK interne verbrandinsgmotor (gas)</t>
  </si>
  <si>
    <t>IVEKA</t>
  </si>
  <si>
    <t>Groeikracht Abelebaan NV</t>
  </si>
  <si>
    <t>Abelebaan 66, 2520 Broechem</t>
  </si>
  <si>
    <t>WKK-0165 Groeikracht Abelebaan</t>
  </si>
  <si>
    <t>Verdonck-Van Dessel bvba</t>
  </si>
  <si>
    <t>Achterlo 17 , 2520 Broechem</t>
  </si>
  <si>
    <t>WKK-0191 Verdonck-Van Dessel</t>
  </si>
  <si>
    <t>Redgrow bvba</t>
  </si>
  <si>
    <t>Bistweg 37 , 2520 Broechem</t>
  </si>
  <si>
    <t>WKK-0232 Almo Energie</t>
  </si>
  <si>
    <t>Johan Bossaerts</t>
  </si>
  <si>
    <t>Laarstraat 35 , 2520 Ranst</t>
  </si>
  <si>
    <t>WKK-0268 Johan Bossaerts</t>
  </si>
  <si>
    <t>ABR Energy bvba</t>
  </si>
  <si>
    <t>Oelegemsteenweg 154 , 2160 Wommelgem</t>
  </si>
  <si>
    <t>WKK-0315 Biofors</t>
  </si>
  <si>
    <t>Ginnegemveld 154 , 2520 Ranst</t>
  </si>
  <si>
    <t>Rafael Bossaerts</t>
  </si>
  <si>
    <t>Moorstraat 21 , 2520 Broechem</t>
  </si>
  <si>
    <t>WKK-0273 Raf Bossaerts</t>
  </si>
  <si>
    <t>WKK-0496 Paul Van der Schoot</t>
  </si>
  <si>
    <t>Hallebaan 21 21a, 2520 Oelegem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</si>
</sst>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146306.07944058982</c:v>
                </c:pt>
                <c:pt idx="1">
                  <c:v>108686.18799274517</c:v>
                </c:pt>
                <c:pt idx="2">
                  <c:v>1433.0630000000001</c:v>
                </c:pt>
                <c:pt idx="3">
                  <c:v>78317.287681988426</c:v>
                </c:pt>
                <c:pt idx="4">
                  <c:v>154383.26570335915</c:v>
                </c:pt>
                <c:pt idx="5">
                  <c:v>402938.7354706804</c:v>
                </c:pt>
                <c:pt idx="6">
                  <c:v>3583.4620771763093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13472"/>
        <c:axId val="183515008"/>
      </c:barChart>
      <c:catAx>
        <c:axId val="183513472"/>
        <c:scaling>
          <c:orientation val="minMax"/>
        </c:scaling>
        <c:axPos val="b"/>
        <c:numFmt formatCode="General" sourceLinked="0"/>
        <c:tickLblPos val="nextTo"/>
        <c:crossAx val="183515008"/>
        <c:crosses val="autoZero"/>
        <c:auto val="1"/>
        <c:lblAlgn val="ctr"/>
        <c:lblOffset val="100"/>
      </c:catAx>
      <c:valAx>
        <c:axId val="183515008"/>
        <c:scaling>
          <c:orientation val="minMax"/>
        </c:scaling>
        <c:axPos val="l"/>
        <c:majorGridlines/>
        <c:numFmt formatCode="#,##0" sourceLinked="1"/>
        <c:tickLblPos val="nextTo"/>
        <c:crossAx val="1835134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146306.07944058982</c:v>
                </c:pt>
                <c:pt idx="1">
                  <c:v>108686.18799274517</c:v>
                </c:pt>
                <c:pt idx="2">
                  <c:v>1433.0630000000001</c:v>
                </c:pt>
                <c:pt idx="3">
                  <c:v>78317.287681988426</c:v>
                </c:pt>
                <c:pt idx="4">
                  <c:v>154383.26570335915</c:v>
                </c:pt>
                <c:pt idx="5">
                  <c:v>402938.7354706804</c:v>
                </c:pt>
                <c:pt idx="6">
                  <c:v>3583.4620771763093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25030.214455356898</c:v>
                </c:pt>
                <c:pt idx="2">
                  <c:v>19534.003912325028</c:v>
                </c:pt>
                <c:pt idx="3">
                  <c:v>288.23059713676275</c:v>
                </c:pt>
                <c:pt idx="4">
                  <c:v>16164.610580849374</c:v>
                </c:pt>
                <c:pt idx="5">
                  <c:v>30360.158441213182</c:v>
                </c:pt>
                <c:pt idx="6">
                  <c:v>103411.18651799693</c:v>
                </c:pt>
                <c:pt idx="7">
                  <c:v>927.99989399896731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62624"/>
        <c:axId val="184001280"/>
      </c:barChart>
      <c:catAx>
        <c:axId val="183962624"/>
        <c:scaling>
          <c:orientation val="minMax"/>
        </c:scaling>
        <c:axPos val="b"/>
        <c:numFmt formatCode="General" sourceLinked="0"/>
        <c:tickLblPos val="nextTo"/>
        <c:crossAx val="184001280"/>
        <c:crosses val="autoZero"/>
        <c:auto val="1"/>
        <c:lblAlgn val="ctr"/>
        <c:lblOffset val="100"/>
      </c:catAx>
      <c:valAx>
        <c:axId val="184001280"/>
        <c:scaling>
          <c:orientation val="minMax"/>
        </c:scaling>
        <c:axPos val="l"/>
        <c:majorGridlines/>
        <c:numFmt formatCode="#,##0" sourceLinked="1"/>
        <c:tickLblPos val="nextTo"/>
        <c:crossAx val="18396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25030.214455356898</c:v>
                </c:pt>
                <c:pt idx="2">
                  <c:v>19534.003912325028</c:v>
                </c:pt>
                <c:pt idx="3">
                  <c:v>288.23059713676275</c:v>
                </c:pt>
                <c:pt idx="4">
                  <c:v>16164.610580849374</c:v>
                </c:pt>
                <c:pt idx="5">
                  <c:v>30360.158441213182</c:v>
                </c:pt>
                <c:pt idx="6">
                  <c:v>103411.18651799693</c:v>
                </c:pt>
                <c:pt idx="7">
                  <c:v>927.99989399896731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11035</v>
      </c>
      <c r="B6" s="415"/>
      <c r="C6" s="416"/>
    </row>
    <row r="7" spans="1:7" s="413" customFormat="1" ht="15.75" customHeight="1">
      <c r="A7" s="417" t="str">
        <f>txtMunicipality</f>
        <v>RANST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0.20112904815542842</v>
      </c>
      <c r="C17" s="524">
        <f ca="1">'EF ele_warmte'!B22</f>
        <v>0.19948126680570022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0.20112904815542842</v>
      </c>
      <c r="C29" s="525">
        <f ca="1">'EF ele_warmte'!B22</f>
        <v>0.19948126680570022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7547</v>
      </c>
      <c r="C9" s="342">
        <v>7647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1426.43</v>
      </c>
    </row>
    <row r="15" spans="1:6">
      <c r="A15" s="348" t="s">
        <v>184</v>
      </c>
      <c r="B15" s="334">
        <v>988</v>
      </c>
    </row>
    <row r="16" spans="1:6">
      <c r="A16" s="348" t="s">
        <v>6</v>
      </c>
      <c r="B16" s="334">
        <v>322</v>
      </c>
    </row>
    <row r="17" spans="1:6">
      <c r="A17" s="348" t="s">
        <v>7</v>
      </c>
      <c r="B17" s="334">
        <v>214</v>
      </c>
    </row>
    <row r="18" spans="1:6">
      <c r="A18" s="348" t="s">
        <v>8</v>
      </c>
      <c r="B18" s="334">
        <v>359</v>
      </c>
    </row>
    <row r="19" spans="1:6">
      <c r="A19" s="348" t="s">
        <v>9</v>
      </c>
      <c r="B19" s="334">
        <v>393</v>
      </c>
    </row>
    <row r="20" spans="1:6">
      <c r="A20" s="348" t="s">
        <v>10</v>
      </c>
      <c r="B20" s="334">
        <v>296</v>
      </c>
    </row>
    <row r="21" spans="1:6">
      <c r="A21" s="348" t="s">
        <v>11</v>
      </c>
      <c r="B21" s="334">
        <v>505</v>
      </c>
    </row>
    <row r="22" spans="1:6">
      <c r="A22" s="348" t="s">
        <v>12</v>
      </c>
      <c r="B22" s="334">
        <v>3965</v>
      </c>
    </row>
    <row r="23" spans="1:6">
      <c r="A23" s="348" t="s">
        <v>13</v>
      </c>
      <c r="B23" s="334">
        <v>53</v>
      </c>
    </row>
    <row r="24" spans="1:6">
      <c r="A24" s="348" t="s">
        <v>14</v>
      </c>
      <c r="B24" s="334">
        <v>2</v>
      </c>
    </row>
    <row r="25" spans="1:6">
      <c r="A25" s="348" t="s">
        <v>15</v>
      </c>
      <c r="B25" s="334">
        <v>229</v>
      </c>
    </row>
    <row r="26" spans="1:6">
      <c r="A26" s="348" t="s">
        <v>16</v>
      </c>
      <c r="B26" s="334">
        <v>162</v>
      </c>
    </row>
    <row r="27" spans="1:6">
      <c r="A27" s="348" t="s">
        <v>17</v>
      </c>
      <c r="B27" s="334">
        <v>4</v>
      </c>
    </row>
    <row r="28" spans="1:6" s="356" customFormat="1">
      <c r="A28" s="355" t="s">
        <v>18</v>
      </c>
      <c r="B28" s="355">
        <v>38570</v>
      </c>
    </row>
    <row r="29" spans="1:6">
      <c r="A29" s="355" t="s">
        <v>884</v>
      </c>
      <c r="B29" s="355">
        <v>285</v>
      </c>
      <c r="C29" s="356"/>
      <c r="D29" s="356"/>
      <c r="E29" s="356"/>
      <c r="F29" s="356"/>
    </row>
    <row r="30" spans="1:6">
      <c r="A30" s="355" t="s">
        <v>885</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45514.138477</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21756988.627999999</v>
      </c>
      <c r="E38" s="334">
        <v>6</v>
      </c>
      <c r="F38" s="334">
        <v>130422.92311</v>
      </c>
    </row>
    <row r="39" spans="1:6">
      <c r="A39" s="348" t="s">
        <v>30</v>
      </c>
      <c r="B39" s="348" t="s">
        <v>31</v>
      </c>
      <c r="C39" s="334">
        <v>5569</v>
      </c>
      <c r="D39" s="334">
        <v>95485281.141000003</v>
      </c>
      <c r="E39" s="334">
        <v>7240</v>
      </c>
      <c r="F39" s="334">
        <v>31071582.949999999</v>
      </c>
    </row>
    <row r="40" spans="1:6">
      <c r="A40" s="348" t="s">
        <v>30</v>
      </c>
      <c r="B40" s="348" t="s">
        <v>29</v>
      </c>
      <c r="C40" s="334">
        <v>0</v>
      </c>
      <c r="D40" s="334">
        <v>0</v>
      </c>
      <c r="E40" s="334">
        <v>0</v>
      </c>
      <c r="F40" s="334">
        <v>1416</v>
      </c>
    </row>
    <row r="41" spans="1:6">
      <c r="A41" s="348" t="s">
        <v>32</v>
      </c>
      <c r="B41" s="348" t="s">
        <v>33</v>
      </c>
      <c r="C41" s="334">
        <v>76</v>
      </c>
      <c r="D41" s="334">
        <v>1752206.5333</v>
      </c>
      <c r="E41" s="334">
        <v>180</v>
      </c>
      <c r="F41" s="334">
        <v>1255157.5692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74689.513506000003</v>
      </c>
      <c r="E44" s="334">
        <v>20</v>
      </c>
      <c r="F44" s="334">
        <v>206523.61478999999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38</v>
      </c>
      <c r="D48" s="334">
        <v>110903373.77</v>
      </c>
      <c r="E48" s="334">
        <v>49</v>
      </c>
      <c r="F48" s="334">
        <v>32409859.583999999</v>
      </c>
    </row>
    <row r="49" spans="1:6">
      <c r="A49" s="348" t="s">
        <v>32</v>
      </c>
      <c r="B49" s="348" t="s">
        <v>40</v>
      </c>
      <c r="C49" s="334">
        <v>0</v>
      </c>
      <c r="D49" s="334">
        <v>0</v>
      </c>
      <c r="E49" s="334">
        <v>0</v>
      </c>
      <c r="F49" s="334">
        <v>0</v>
      </c>
    </row>
    <row r="50" spans="1:6">
      <c r="A50" s="348" t="s">
        <v>32</v>
      </c>
      <c r="B50" s="348" t="s">
        <v>41</v>
      </c>
      <c r="C50" s="334">
        <v>9</v>
      </c>
      <c r="D50" s="334">
        <v>769414.87454999995</v>
      </c>
      <c r="E50" s="334">
        <v>8</v>
      </c>
      <c r="F50" s="334">
        <v>382209.77775000001</v>
      </c>
    </row>
    <row r="51" spans="1:6">
      <c r="A51" s="348" t="s">
        <v>42</v>
      </c>
      <c r="B51" s="348" t="s">
        <v>43</v>
      </c>
      <c r="C51" s="334">
        <v>22</v>
      </c>
      <c r="D51" s="334">
        <v>39533861.248999998</v>
      </c>
      <c r="E51" s="334">
        <v>113</v>
      </c>
      <c r="F51" s="334">
        <v>1978108.8577000001</v>
      </c>
    </row>
    <row r="52" spans="1:6">
      <c r="A52" s="348" t="s">
        <v>42</v>
      </c>
      <c r="B52" s="348" t="s">
        <v>29</v>
      </c>
      <c r="C52" s="334">
        <v>6</v>
      </c>
      <c r="D52" s="334">
        <v>1870261.1627</v>
      </c>
      <c r="E52" s="334">
        <v>3</v>
      </c>
      <c r="F52" s="334">
        <v>18156.273223</v>
      </c>
    </row>
    <row r="53" spans="1:6">
      <c r="A53" s="348" t="s">
        <v>44</v>
      </c>
      <c r="B53" s="348" t="s">
        <v>45</v>
      </c>
      <c r="C53" s="334">
        <v>152</v>
      </c>
      <c r="D53" s="334">
        <v>2794457.5657000002</v>
      </c>
      <c r="E53" s="334">
        <v>325</v>
      </c>
      <c r="F53" s="334">
        <v>1235087.2320999999</v>
      </c>
    </row>
    <row r="54" spans="1:6">
      <c r="A54" s="348" t="s">
        <v>46</v>
      </c>
      <c r="B54" s="348" t="s">
        <v>47</v>
      </c>
      <c r="C54" s="334">
        <v>0</v>
      </c>
      <c r="D54" s="334">
        <v>0</v>
      </c>
      <c r="E54" s="334">
        <v>1</v>
      </c>
      <c r="F54" s="334">
        <v>1433063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47</v>
      </c>
      <c r="D57" s="334">
        <v>3183772.8355</v>
      </c>
      <c r="E57" s="334">
        <v>137</v>
      </c>
      <c r="F57" s="334">
        <v>17869920.177999999</v>
      </c>
    </row>
    <row r="58" spans="1:6">
      <c r="A58" s="348" t="s">
        <v>49</v>
      </c>
      <c r="B58" s="348" t="s">
        <v>51</v>
      </c>
      <c r="C58" s="334">
        <v>35</v>
      </c>
      <c r="D58" s="334">
        <v>5691251.3154999996</v>
      </c>
      <c r="E58" s="334">
        <v>34</v>
      </c>
      <c r="F58" s="334">
        <v>270960.57994999998</v>
      </c>
    </row>
    <row r="59" spans="1:6">
      <c r="A59" s="348" t="s">
        <v>49</v>
      </c>
      <c r="B59" s="348" t="s">
        <v>52</v>
      </c>
      <c r="C59" s="334">
        <v>80</v>
      </c>
      <c r="D59" s="334">
        <v>3514337.7488000002</v>
      </c>
      <c r="E59" s="334">
        <v>171</v>
      </c>
      <c r="F59" s="334">
        <v>7198706.2947000004</v>
      </c>
    </row>
    <row r="60" spans="1:6">
      <c r="A60" s="348" t="s">
        <v>49</v>
      </c>
      <c r="B60" s="348" t="s">
        <v>53</v>
      </c>
      <c r="C60" s="334">
        <v>46</v>
      </c>
      <c r="D60" s="334">
        <v>2001270.5771000001</v>
      </c>
      <c r="E60" s="334">
        <v>63</v>
      </c>
      <c r="F60" s="334">
        <v>1213072.9177000001</v>
      </c>
    </row>
    <row r="61" spans="1:6">
      <c r="A61" s="348" t="s">
        <v>49</v>
      </c>
      <c r="B61" s="348" t="s">
        <v>54</v>
      </c>
      <c r="C61" s="334">
        <v>142</v>
      </c>
      <c r="D61" s="334">
        <v>4177809.8188999998</v>
      </c>
      <c r="E61" s="334">
        <v>282</v>
      </c>
      <c r="F61" s="334">
        <v>4034099.8256000001</v>
      </c>
    </row>
    <row r="62" spans="1:6">
      <c r="A62" s="348" t="s">
        <v>49</v>
      </c>
      <c r="B62" s="348" t="s">
        <v>55</v>
      </c>
      <c r="C62" s="334">
        <v>10</v>
      </c>
      <c r="D62" s="334">
        <v>631618.54296999995</v>
      </c>
      <c r="E62" s="334">
        <v>16</v>
      </c>
      <c r="F62" s="334">
        <v>191372.77084000001</v>
      </c>
    </row>
    <row r="63" spans="1:6">
      <c r="A63" s="348" t="s">
        <v>49</v>
      </c>
      <c r="B63" s="348" t="s">
        <v>29</v>
      </c>
      <c r="C63" s="334">
        <v>106</v>
      </c>
      <c r="D63" s="334">
        <v>34630365.476999998</v>
      </c>
      <c r="E63" s="334">
        <v>109</v>
      </c>
      <c r="F63" s="334">
        <v>5745503.2823000001</v>
      </c>
    </row>
    <row r="64" spans="1:6">
      <c r="A64" s="348" t="s">
        <v>56</v>
      </c>
      <c r="B64" s="348" t="s">
        <v>57</v>
      </c>
      <c r="C64" s="334">
        <v>0</v>
      </c>
      <c r="D64" s="334">
        <v>0</v>
      </c>
      <c r="E64" s="334">
        <v>0</v>
      </c>
      <c r="F64" s="334">
        <v>0</v>
      </c>
    </row>
    <row r="65" spans="1:6">
      <c r="A65" s="348" t="s">
        <v>56</v>
      </c>
      <c r="B65" s="348" t="s">
        <v>29</v>
      </c>
      <c r="C65" s="334">
        <v>6</v>
      </c>
      <c r="D65" s="334">
        <v>210524.34778000001</v>
      </c>
      <c r="E65" s="334">
        <v>6</v>
      </c>
      <c r="F65" s="334">
        <v>26478.466221999999</v>
      </c>
    </row>
    <row r="66" spans="1:6">
      <c r="A66" s="348" t="s">
        <v>56</v>
      </c>
      <c r="B66" s="348" t="s">
        <v>58</v>
      </c>
      <c r="C66" s="334">
        <v>0</v>
      </c>
      <c r="D66" s="334">
        <v>0</v>
      </c>
      <c r="E66" s="334">
        <v>13</v>
      </c>
      <c r="F66" s="334">
        <v>581285.24358999997</v>
      </c>
    </row>
    <row r="67" spans="1:6">
      <c r="A67" s="355" t="s">
        <v>56</v>
      </c>
      <c r="B67" s="355" t="s">
        <v>59</v>
      </c>
      <c r="C67" s="334">
        <v>0</v>
      </c>
      <c r="D67" s="334">
        <v>0</v>
      </c>
      <c r="E67" s="334">
        <v>0</v>
      </c>
      <c r="F67" s="334">
        <v>0</v>
      </c>
    </row>
    <row r="68" spans="1:6">
      <c r="A68" s="341" t="s">
        <v>56</v>
      </c>
      <c r="B68" s="341" t="s">
        <v>60</v>
      </c>
      <c r="C68" s="334">
        <v>6</v>
      </c>
      <c r="D68" s="334">
        <v>198111.84473000001</v>
      </c>
      <c r="E68" s="334">
        <v>24</v>
      </c>
      <c r="F68" s="334">
        <v>307076.66076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92671318</v>
      </c>
      <c r="E73" s="475">
        <v>91096804.975939333</v>
      </c>
    </row>
    <row r="74" spans="1:6">
      <c r="A74" s="348" t="s">
        <v>64</v>
      </c>
      <c r="B74" s="348" t="s">
        <v>667</v>
      </c>
      <c r="C74" s="1294" t="s">
        <v>669</v>
      </c>
      <c r="D74" s="475">
        <v>7814567.4698620066</v>
      </c>
      <c r="E74" s="475">
        <v>7885033.5328513226</v>
      </c>
    </row>
    <row r="75" spans="1:6">
      <c r="A75" s="348" t="s">
        <v>65</v>
      </c>
      <c r="B75" s="348" t="s">
        <v>666</v>
      </c>
      <c r="C75" s="1294" t="s">
        <v>670</v>
      </c>
      <c r="D75" s="475">
        <v>9484172</v>
      </c>
      <c r="E75" s="475">
        <v>9335679.369380651</v>
      </c>
    </row>
    <row r="76" spans="1:6">
      <c r="A76" s="348" t="s">
        <v>65</v>
      </c>
      <c r="B76" s="348" t="s">
        <v>667</v>
      </c>
      <c r="C76" s="1294" t="s">
        <v>671</v>
      </c>
      <c r="D76" s="475">
        <v>35306.6</v>
      </c>
      <c r="E76" s="475">
        <v>35266.699639233833</v>
      </c>
    </row>
    <row r="77" spans="1:6">
      <c r="A77" s="348" t="s">
        <v>66</v>
      </c>
      <c r="B77" s="348" t="s">
        <v>666</v>
      </c>
      <c r="C77" s="1294" t="s">
        <v>672</v>
      </c>
      <c r="D77" s="475">
        <v>250008579</v>
      </c>
      <c r="E77" s="475">
        <v>259368676.24453667</v>
      </c>
    </row>
    <row r="78" spans="1:6">
      <c r="A78" s="341" t="s">
        <v>66</v>
      </c>
      <c r="B78" s="341" t="s">
        <v>667</v>
      </c>
      <c r="C78" s="341" t="s">
        <v>673</v>
      </c>
      <c r="D78" s="1295">
        <v>57669637</v>
      </c>
      <c r="E78" s="1295">
        <v>59762132.29136391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962469.06027598644</v>
      </c>
      <c r="C83" s="475">
        <v>962469.06027598644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3984.6279923423381</v>
      </c>
    </row>
    <row r="92" spans="1:6">
      <c r="A92" s="341" t="s">
        <v>69</v>
      </c>
      <c r="B92" s="342">
        <v>1276.6945313780764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3910</v>
      </c>
    </row>
    <row r="98" spans="1:6">
      <c r="A98" s="348" t="s">
        <v>72</v>
      </c>
      <c r="B98" s="334">
        <v>3</v>
      </c>
    </row>
    <row r="99" spans="1:6">
      <c r="A99" s="348" t="s">
        <v>73</v>
      </c>
      <c r="B99" s="334">
        <v>58</v>
      </c>
    </row>
    <row r="100" spans="1:6">
      <c r="A100" s="348" t="s">
        <v>74</v>
      </c>
      <c r="B100" s="334">
        <v>755</v>
      </c>
    </row>
    <row r="101" spans="1:6">
      <c r="A101" s="348" t="s">
        <v>75</v>
      </c>
      <c r="B101" s="334">
        <v>168</v>
      </c>
    </row>
    <row r="102" spans="1:6">
      <c r="A102" s="348" t="s">
        <v>76</v>
      </c>
      <c r="B102" s="334">
        <v>70</v>
      </c>
    </row>
    <row r="103" spans="1:6">
      <c r="A103" s="348" t="s">
        <v>77</v>
      </c>
      <c r="B103" s="334">
        <v>164</v>
      </c>
    </row>
    <row r="104" spans="1:6">
      <c r="A104" s="348" t="s">
        <v>78</v>
      </c>
      <c r="B104" s="334">
        <v>1316</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161</v>
      </c>
    </row>
    <row r="130" spans="1:6">
      <c r="A130" s="348" t="s">
        <v>295</v>
      </c>
      <c r="B130" s="334">
        <v>1</v>
      </c>
    </row>
    <row r="131" spans="1:6">
      <c r="A131" s="348" t="s">
        <v>296</v>
      </c>
      <c r="B131" s="334">
        <v>1</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110581.95315277721</v>
      </c>
      <c r="C3" s="43" t="s">
        <v>170</v>
      </c>
      <c r="D3" s="43"/>
      <c r="E3" s="154"/>
      <c r="F3" s="43"/>
      <c r="G3" s="43"/>
      <c r="H3" s="43"/>
      <c r="I3" s="43"/>
      <c r="J3" s="43"/>
      <c r="K3" s="96"/>
    </row>
    <row r="4" spans="1:11">
      <c r="A4" s="383" t="s">
        <v>171</v>
      </c>
      <c r="B4" s="49">
        <f>IF(ISERROR('SEAP template'!B78+'SEAP template'!C78),0,'SEAP template'!B78+'SEAP template'!C78)</f>
        <v>53341.122523720413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9591.0194117647079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0.20112904815542842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13701.45630252101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68685.42857142858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0.19948126680570022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1433.0630000000001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1433.0630000000001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0.20112904815542842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288.23059713676275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31072.998950000001</v>
      </c>
      <c r="C5" s="17">
        <f>IF(ISERROR('Eigen informatie GS &amp; warmtenet'!B57),0,'Eigen informatie GS &amp; warmtenet'!B57)</f>
        <v>0</v>
      </c>
      <c r="D5" s="30">
        <f>(SUM(HH_hh_gas_kWh,HH_rest_gas_kWh)/1000)*0.902</f>
        <v>86127.723589182002</v>
      </c>
      <c r="E5" s="17">
        <f>B46*B57</f>
        <v>2560.8244618533536</v>
      </c>
      <c r="F5" s="17">
        <f>B51*B62</f>
        <v>0</v>
      </c>
      <c r="G5" s="18"/>
      <c r="H5" s="17"/>
      <c r="I5" s="17"/>
      <c r="J5" s="17">
        <f>B50*B61+C50*C61</f>
        <v>0</v>
      </c>
      <c r="K5" s="17"/>
      <c r="L5" s="17"/>
      <c r="M5" s="17"/>
      <c r="N5" s="17">
        <f>B48*B59+C48*C59</f>
        <v>21066.361113878782</v>
      </c>
      <c r="O5" s="17">
        <f>B69*B70*B71</f>
        <v>292.34333333333331</v>
      </c>
      <c r="P5" s="17">
        <f>B77*B78*B79/1000-B77*B78*B79/1000/B80</f>
        <v>1201.2</v>
      </c>
    </row>
    <row r="6" spans="1:16">
      <c r="A6" s="16" t="s">
        <v>624</v>
      </c>
      <c r="B6" s="788">
        <f>kWh_PV_kleiner_dan_10kW</f>
        <v>3984.6279923423381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35057.626942342336</v>
      </c>
      <c r="C8" s="21">
        <f>C5</f>
        <v>0</v>
      </c>
      <c r="D8" s="21">
        <f>D5</f>
        <v>86127.723589182002</v>
      </c>
      <c r="E8" s="21">
        <f>E5</f>
        <v>2560.8244618533536</v>
      </c>
      <c r="F8" s="21">
        <f>F5</f>
        <v>0</v>
      </c>
      <c r="G8" s="21"/>
      <c r="H8" s="21"/>
      <c r="I8" s="21"/>
      <c r="J8" s="21">
        <f>J5</f>
        <v>0</v>
      </c>
      <c r="K8" s="21"/>
      <c r="L8" s="21">
        <f>L5</f>
        <v>0</v>
      </c>
      <c r="M8" s="21">
        <f>M5</f>
        <v>0</v>
      </c>
      <c r="N8" s="21">
        <f>N5</f>
        <v>21066.361113878782</v>
      </c>
      <c r="O8" s="21">
        <f>O5</f>
        <v>292.34333333333331</v>
      </c>
      <c r="P8" s="21">
        <f>P5</f>
        <v>1201.2</v>
      </c>
    </row>
    <row r="9" spans="1:16">
      <c r="B9" s="19"/>
      <c r="C9" s="19"/>
      <c r="D9" s="258"/>
      <c r="E9" s="19"/>
      <c r="F9" s="19"/>
      <c r="G9" s="19"/>
      <c r="H9" s="19"/>
      <c r="I9" s="19"/>
      <c r="J9" s="19"/>
      <c r="K9" s="19"/>
      <c r="L9" s="19"/>
      <c r="M9" s="19"/>
      <c r="N9" s="19"/>
      <c r="O9" s="19"/>
      <c r="P9" s="19"/>
    </row>
    <row r="10" spans="1:16">
      <c r="A10" s="24" t="s">
        <v>214</v>
      </c>
      <c r="B10" s="25">
        <f ca="1">'EF ele_warmte'!B12</f>
        <v>0.20112904815542842</v>
      </c>
      <c r="C10" s="25">
        <f ca="1">'EF ele_warmte'!B22</f>
        <v>0.19948126680570022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7051.1071375014171</v>
      </c>
      <c r="C12" s="23">
        <f ca="1">C10*C8</f>
        <v>0</v>
      </c>
      <c r="D12" s="23">
        <f>D8*D10</f>
        <v>17397.800165014767</v>
      </c>
      <c r="E12" s="23">
        <f>E10*E8</f>
        <v>581.3071528407113</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3910</v>
      </c>
      <c r="C18" s="166" t="s">
        <v>111</v>
      </c>
      <c r="D18" s="228"/>
      <c r="E18" s="15"/>
    </row>
    <row r="19" spans="1:7">
      <c r="A19" s="171" t="s">
        <v>72</v>
      </c>
      <c r="B19" s="37">
        <f>aantalw2001_ander</f>
        <v>3</v>
      </c>
      <c r="C19" s="166" t="s">
        <v>111</v>
      </c>
      <c r="D19" s="229"/>
      <c r="E19" s="15"/>
    </row>
    <row r="20" spans="1:7">
      <c r="A20" s="171" t="s">
        <v>73</v>
      </c>
      <c r="B20" s="37">
        <f>aantalw2001_propaan</f>
        <v>58</v>
      </c>
      <c r="C20" s="167">
        <f>IF(ISERROR(B20/SUM($B$20,$B$21,$B$22)*100),0,B20/SUM($B$20,$B$21,$B$22)*100)</f>
        <v>5.9123343527013255</v>
      </c>
      <c r="D20" s="229"/>
      <c r="E20" s="15"/>
    </row>
    <row r="21" spans="1:7">
      <c r="A21" s="171" t="s">
        <v>74</v>
      </c>
      <c r="B21" s="37">
        <f>aantalw2001_elektriciteit</f>
        <v>755</v>
      </c>
      <c r="C21" s="167">
        <f>IF(ISERROR(B21/SUM($B$20,$B$21,$B$22)*100),0,B21/SUM($B$20,$B$21,$B$22)*100)</f>
        <v>76.962283384301728</v>
      </c>
      <c r="D21" s="229"/>
      <c r="E21" s="15"/>
    </row>
    <row r="22" spans="1:7">
      <c r="A22" s="171" t="s">
        <v>75</v>
      </c>
      <c r="B22" s="37">
        <f>aantalw2001_hout</f>
        <v>168</v>
      </c>
      <c r="C22" s="167">
        <f>IF(ISERROR(B22/SUM($B$20,$B$21,$B$22)*100),0,B22/SUM($B$20,$B$21,$B$22)*100)</f>
        <v>17.12538226299694</v>
      </c>
      <c r="D22" s="229"/>
      <c r="E22" s="15"/>
    </row>
    <row r="23" spans="1:7">
      <c r="A23" s="171" t="s">
        <v>76</v>
      </c>
      <c r="B23" s="37">
        <f>aantalw2001_niet_gespec</f>
        <v>70</v>
      </c>
      <c r="C23" s="166" t="s">
        <v>111</v>
      </c>
      <c r="D23" s="228"/>
      <c r="E23" s="15"/>
    </row>
    <row r="24" spans="1:7">
      <c r="A24" s="171" t="s">
        <v>77</v>
      </c>
      <c r="B24" s="37">
        <f>aantalw2001_steenkool</f>
        <v>164</v>
      </c>
      <c r="C24" s="166" t="s">
        <v>111</v>
      </c>
      <c r="D24" s="229"/>
      <c r="E24" s="15"/>
    </row>
    <row r="25" spans="1:7">
      <c r="A25" s="171" t="s">
        <v>78</v>
      </c>
      <c r="B25" s="37">
        <f>aantalw2001_stookolie</f>
        <v>1316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7547</v>
      </c>
      <c r="C28" s="36"/>
      <c r="D28" s="228"/>
    </row>
    <row r="29" spans="1:7" s="15" customFormat="1">
      <c r="A29" s="230" t="s">
        <v>699</v>
      </c>
      <c r="B29" s="37">
        <f>SUM(HH_hh_gas_aantal,HH_rest_gas_aantal)</f>
        <v>5569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5569</v>
      </c>
      <c r="C32" s="167">
        <f>IF(ISERROR(B32/SUM($B$32,$B$34,$B$35,$B$36,$B$38,$B$39)*100),0,B32/SUM($B$32,$B$34,$B$35,$B$36,$B$38,$B$39)*100)</f>
        <v>74.412079102084448</v>
      </c>
      <c r="D32" s="233"/>
      <c r="G32" s="15"/>
    </row>
    <row r="33" spans="1:7">
      <c r="A33" s="171" t="s">
        <v>72</v>
      </c>
      <c r="B33" s="34" t="s">
        <v>111</v>
      </c>
      <c r="C33" s="167"/>
      <c r="D33" s="233"/>
      <c r="G33" s="15"/>
    </row>
    <row r="34" spans="1:7">
      <c r="A34" s="171" t="s">
        <v>73</v>
      </c>
      <c r="B34" s="33">
        <f>IF((($B$28-$B$32-$B$39-$B$77-$B$38)*C20/100)&lt;0,0,($B$28-$B$32-$B$39-$B$77-$B$38)*C20/100)</f>
        <v>113.22120285423038</v>
      </c>
      <c r="C34" s="167">
        <f>IF(ISERROR(B34/SUM($B$32,$B$34,$B$35,$B$36,$B$38,$B$39)*100),0,B34/SUM($B$32,$B$34,$B$35,$B$36,$B$38,$B$39)*100)</f>
        <v>1.5128434373895028</v>
      </c>
      <c r="D34" s="233"/>
      <c r="G34" s="15"/>
    </row>
    <row r="35" spans="1:7">
      <c r="A35" s="171" t="s">
        <v>74</v>
      </c>
      <c r="B35" s="33">
        <f>IF((($B$28-$B$32-$B$39-$B$77-$B$38)*C21/100)&lt;0,0,($B$28-$B$32-$B$39-$B$77-$B$38)*C21/100)</f>
        <v>1473.827726809378</v>
      </c>
      <c r="C35" s="167">
        <f>IF(ISERROR(B35/SUM($B$32,$B$34,$B$35,$B$36,$B$38,$B$39)*100),0,B35/SUM($B$32,$B$34,$B$35,$B$36,$B$38,$B$39)*100)</f>
        <v>19.693048193604728</v>
      </c>
      <c r="D35" s="233"/>
      <c r="G35" s="15"/>
    </row>
    <row r="36" spans="1:7">
      <c r="A36" s="171" t="s">
        <v>75</v>
      </c>
      <c r="B36" s="33">
        <f>IF((($B$28-$B$32-$B$39-$B$77-$B$38)*C22/100)&lt;0,0,($B$28-$B$32-$B$39-$B$77-$B$38)*C22/100)</f>
        <v>327.95107033639141</v>
      </c>
      <c r="C36" s="167">
        <f>IF(ISERROR(B36/SUM($B$32,$B$34,$B$35,$B$36,$B$38,$B$39)*100),0,B36/SUM($B$32,$B$34,$B$35,$B$36,$B$38,$B$39)*100)</f>
        <v>4.3820292669213172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5569</v>
      </c>
      <c r="C44" s="34" t="s">
        <v>111</v>
      </c>
      <c r="D44" s="174"/>
    </row>
    <row r="45" spans="1:7">
      <c r="A45" s="171" t="s">
        <v>72</v>
      </c>
      <c r="B45" s="33" t="str">
        <f t="shared" si="0"/>
        <v>-</v>
      </c>
      <c r="C45" s="34" t="s">
        <v>111</v>
      </c>
      <c r="D45" s="174"/>
    </row>
    <row r="46" spans="1:7">
      <c r="A46" s="171" t="s">
        <v>73</v>
      </c>
      <c r="B46" s="33">
        <f t="shared" si="0"/>
        <v>113.22120285423038</v>
      </c>
      <c r="C46" s="34" t="s">
        <v>111</v>
      </c>
      <c r="D46" s="174"/>
    </row>
    <row r="47" spans="1:7">
      <c r="A47" s="171" t="s">
        <v>74</v>
      </c>
      <c r="B47" s="33">
        <f t="shared" si="0"/>
        <v>1473.827726809378</v>
      </c>
      <c r="C47" s="34" t="s">
        <v>111</v>
      </c>
      <c r="D47" s="174"/>
    </row>
    <row r="48" spans="1:7">
      <c r="A48" s="171" t="s">
        <v>75</v>
      </c>
      <c r="B48" s="33">
        <f t="shared" si="0"/>
        <v>327.95107033639141</v>
      </c>
      <c r="C48" s="33">
        <f>B48*10</f>
        <v>3279.5107033639142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36523.635849090002</v>
      </c>
      <c r="C5" s="17">
        <f>IF(ISERROR('Eigen informatie GS &amp; warmtenet'!B58),0,'Eigen informatie GS &amp; warmtenet'!B58)</f>
        <v>0</v>
      </c>
      <c r="D5" s="30">
        <f>SUM(D6:D12)</f>
        <v>48555.044536824542</v>
      </c>
      <c r="E5" s="17">
        <f>SUM(E6:E12)</f>
        <v>448.56098282295721</v>
      </c>
      <c r="F5" s="17">
        <f>SUM(F6:F12)</f>
        <v>8532.2002220325976</v>
      </c>
      <c r="G5" s="18"/>
      <c r="H5" s="17"/>
      <c r="I5" s="17"/>
      <c r="J5" s="17">
        <f>SUM(J6:J12)</f>
        <v>0</v>
      </c>
      <c r="K5" s="17"/>
      <c r="L5" s="17"/>
      <c r="M5" s="17"/>
      <c r="N5" s="17">
        <f>SUM(N6:N12)</f>
        <v>14606.116401975052</v>
      </c>
      <c r="O5" s="17">
        <f>B38*B39*B40</f>
        <v>1.5633333333333335</v>
      </c>
      <c r="P5" s="17">
        <f>B46*B47*B48/1000-B46*B47*B48/1000/B49</f>
        <v>19.066666666666666</v>
      </c>
      <c r="R5" s="32"/>
    </row>
    <row r="6" spans="1:18">
      <c r="A6" s="32" t="s">
        <v>54</v>
      </c>
      <c r="B6" s="37">
        <f>B26</f>
        <v>4034.0998256000003</v>
      </c>
      <c r="C6" s="33"/>
      <c r="D6" s="37">
        <f>IF(ISERROR(TER_kantoor_gas_kWh/1000),0,TER_kantoor_gas_kWh/1000)*0.902</f>
        <v>3768.3844566478001</v>
      </c>
      <c r="E6" s="33">
        <f>$C$26*'E Balans VL '!I12/100/3.6*1000000</f>
        <v>52.811336007522023</v>
      </c>
      <c r="F6" s="33">
        <f>$C$26*('E Balans VL '!L12+'E Balans VL '!N12)/100/3.6*1000000</f>
        <v>1028.6537686976096</v>
      </c>
      <c r="G6" s="34"/>
      <c r="H6" s="33"/>
      <c r="I6" s="33"/>
      <c r="J6" s="33">
        <f>$C$26*('E Balans VL '!D12+'E Balans VL '!E12)/100/3.6*1000000</f>
        <v>0</v>
      </c>
      <c r="K6" s="33"/>
      <c r="L6" s="33"/>
      <c r="M6" s="33"/>
      <c r="N6" s="33">
        <f>$C$26*'E Balans VL '!Y12/100/3.6*1000000</f>
        <v>4.0476844406849883</v>
      </c>
      <c r="O6" s="33"/>
      <c r="P6" s="33"/>
      <c r="R6" s="32"/>
    </row>
    <row r="7" spans="1:18">
      <c r="A7" s="32" t="s">
        <v>53</v>
      </c>
      <c r="B7" s="37">
        <f t="shared" ref="B7:B12" si="0">B27</f>
        <v>1213.0729177000001</v>
      </c>
      <c r="C7" s="33"/>
      <c r="D7" s="37">
        <f>IF(ISERROR(TER_horeca_gas_kWh/1000),0,TER_horeca_gas_kWh/1000)*0.902</f>
        <v>1805.1460605442001</v>
      </c>
      <c r="E7" s="33">
        <f>$C$27*'E Balans VL '!I9/100/3.6*1000000</f>
        <v>40.145334700842945</v>
      </c>
      <c r="F7" s="33">
        <f>$C$27*('E Balans VL '!L9+'E Balans VL '!N9)/100/3.6*1000000</f>
        <v>521.61670555244712</v>
      </c>
      <c r="G7" s="34"/>
      <c r="H7" s="33"/>
      <c r="I7" s="33"/>
      <c r="J7" s="33">
        <f>$C$27*('E Balans VL '!D9+'E Balans VL '!E9)/100/3.6*1000000</f>
        <v>0</v>
      </c>
      <c r="K7" s="33"/>
      <c r="L7" s="33"/>
      <c r="M7" s="33"/>
      <c r="N7" s="33">
        <f>$C$27*'E Balans VL '!Y9/100/3.6*1000000</f>
        <v>0.29200426704232318</v>
      </c>
      <c r="O7" s="33"/>
      <c r="P7" s="33"/>
      <c r="R7" s="32"/>
    </row>
    <row r="8" spans="1:18">
      <c r="A8" s="6" t="s">
        <v>52</v>
      </c>
      <c r="B8" s="37">
        <f t="shared" si="0"/>
        <v>7198.7062947000004</v>
      </c>
      <c r="C8" s="33"/>
      <c r="D8" s="37">
        <f>IF(ISERROR(TER_handel_gas_kWh/1000),0,TER_handel_gas_kWh/1000)*0.902</f>
        <v>3169.9326494176003</v>
      </c>
      <c r="E8" s="33">
        <f>$C$28*'E Balans VL '!I13/100/3.6*1000000</f>
        <v>227.20216995653882</v>
      </c>
      <c r="F8" s="33">
        <f>$C$28*('E Balans VL '!L13+'E Balans VL '!N13)/100/3.6*1000000</f>
        <v>1411.7930657384773</v>
      </c>
      <c r="G8" s="34"/>
      <c r="H8" s="33"/>
      <c r="I8" s="33"/>
      <c r="J8" s="33">
        <f>$C$28*('E Balans VL '!D13+'E Balans VL '!E13)/100/3.6*1000000</f>
        <v>0</v>
      </c>
      <c r="K8" s="33"/>
      <c r="L8" s="33"/>
      <c r="M8" s="33"/>
      <c r="N8" s="33">
        <f>$C$28*'E Balans VL '!Y13/100/3.6*1000000</f>
        <v>8.543466760139518</v>
      </c>
      <c r="O8" s="33"/>
      <c r="P8" s="33"/>
      <c r="R8" s="32"/>
    </row>
    <row r="9" spans="1:18">
      <c r="A9" s="32" t="s">
        <v>51</v>
      </c>
      <c r="B9" s="37">
        <f t="shared" si="0"/>
        <v>270.96057995000001</v>
      </c>
      <c r="C9" s="33"/>
      <c r="D9" s="37">
        <f>IF(ISERROR(TER_gezond_gas_kWh/1000),0,TER_gezond_gas_kWh/1000)*0.902</f>
        <v>5133.5086865809999</v>
      </c>
      <c r="E9" s="33">
        <f>$C$29*'E Balans VL '!I10/100/3.6*1000000</f>
        <v>3.4690881009486134E-2</v>
      </c>
      <c r="F9" s="33">
        <f>$C$29*('E Balans VL '!L10+'E Balans VL '!N10)/100/3.6*1000000</f>
        <v>56.452445802284473</v>
      </c>
      <c r="G9" s="34"/>
      <c r="H9" s="33"/>
      <c r="I9" s="33"/>
      <c r="J9" s="33">
        <f>$C$29*('E Balans VL '!D10+'E Balans VL '!E10)/100/3.6*1000000</f>
        <v>0</v>
      </c>
      <c r="K9" s="33"/>
      <c r="L9" s="33"/>
      <c r="M9" s="33"/>
      <c r="N9" s="33">
        <f>$C$29*'E Balans VL '!Y10/100/3.6*1000000</f>
        <v>3.1825600843200315</v>
      </c>
      <c r="O9" s="33"/>
      <c r="P9" s="33"/>
      <c r="R9" s="32"/>
    </row>
    <row r="10" spans="1:18">
      <c r="A10" s="32" t="s">
        <v>50</v>
      </c>
      <c r="B10" s="37">
        <f t="shared" si="0"/>
        <v>17869.920178</v>
      </c>
      <c r="C10" s="33"/>
      <c r="D10" s="37">
        <f>IF(ISERROR(TER_ander_gas_kWh/1000),0,TER_ander_gas_kWh/1000)*0.902</f>
        <v>2871.7630976209998</v>
      </c>
      <c r="E10" s="33">
        <f>$C$30*'E Balans VL '!I14/100/3.6*1000000</f>
        <v>26.872157557427244</v>
      </c>
      <c r="F10" s="33">
        <f>$C$30*('E Balans VL '!L14+'E Balans VL '!N14)/100/3.6*1000000</f>
        <v>3945.1023456272637</v>
      </c>
      <c r="G10" s="34"/>
      <c r="H10" s="33"/>
      <c r="I10" s="33"/>
      <c r="J10" s="33">
        <f>$C$30*('E Balans VL '!D14+'E Balans VL '!E14)/100/3.6*1000000</f>
        <v>0</v>
      </c>
      <c r="K10" s="33"/>
      <c r="L10" s="33"/>
      <c r="M10" s="33"/>
      <c r="N10" s="33">
        <f>$C$30*'E Balans VL '!Y14/100/3.6*1000000</f>
        <v>14082.699700549436</v>
      </c>
      <c r="O10" s="33"/>
      <c r="P10" s="33"/>
      <c r="R10" s="32"/>
    </row>
    <row r="11" spans="1:18">
      <c r="A11" s="32" t="s">
        <v>55</v>
      </c>
      <c r="B11" s="37">
        <f t="shared" si="0"/>
        <v>191.37277084000002</v>
      </c>
      <c r="C11" s="33"/>
      <c r="D11" s="37">
        <f>IF(ISERROR(TER_onderwijs_gas_kWh/1000),0,TER_onderwijs_gas_kWh/1000)*0.902</f>
        <v>569.71992575893989</v>
      </c>
      <c r="E11" s="33">
        <f>$C$31*'E Balans VL '!I11/100/3.6*1000000</f>
        <v>0.33702348643200231</v>
      </c>
      <c r="F11" s="33">
        <f>$C$31*('E Balans VL '!L11+'E Balans VL '!N11)/100/3.6*1000000</f>
        <v>88.360271181388995</v>
      </c>
      <c r="G11" s="34"/>
      <c r="H11" s="33"/>
      <c r="I11" s="33"/>
      <c r="J11" s="33">
        <f>$C$31*('E Balans VL '!D11+'E Balans VL '!E11)/100/3.6*1000000</f>
        <v>0</v>
      </c>
      <c r="K11" s="33"/>
      <c r="L11" s="33"/>
      <c r="M11" s="33"/>
      <c r="N11" s="33">
        <f>$C$31*'E Balans VL '!Y11/100/3.6*1000000</f>
        <v>0.35653011852661914</v>
      </c>
      <c r="O11" s="33"/>
      <c r="P11" s="33"/>
      <c r="R11" s="32"/>
    </row>
    <row r="12" spans="1:18">
      <c r="A12" s="32" t="s">
        <v>260</v>
      </c>
      <c r="B12" s="37">
        <f t="shared" si="0"/>
        <v>5745.5032823000001</v>
      </c>
      <c r="C12" s="33"/>
      <c r="D12" s="37">
        <f>IF(ISERROR(TER_rest_gas_kWh/1000),0,TER_rest_gas_kWh/1000)*0.902</f>
        <v>31236.589660254002</v>
      </c>
      <c r="E12" s="33">
        <f>$C$32*'E Balans VL '!I8/100/3.6*1000000</f>
        <v>101.15827023318468</v>
      </c>
      <c r="F12" s="33">
        <f>$C$32*('E Balans VL '!L8+'E Balans VL '!N8)/100/3.6*1000000</f>
        <v>1480.2216194331263</v>
      </c>
      <c r="G12" s="34"/>
      <c r="H12" s="33"/>
      <c r="I12" s="33"/>
      <c r="J12" s="33">
        <f>$C$32*('E Balans VL '!D8+'E Balans VL '!E8)/100/3.6*1000000</f>
        <v>0</v>
      </c>
      <c r="K12" s="33"/>
      <c r="L12" s="33"/>
      <c r="M12" s="33"/>
      <c r="N12" s="33">
        <f>$C$32*'E Balans VL '!Y8/100/3.6*1000000</f>
        <v>506.99445575490233</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36523.635849090002</v>
      </c>
      <c r="C16" s="21">
        <f t="shared" ca="1" si="1"/>
        <v>0</v>
      </c>
      <c r="D16" s="21">
        <f t="shared" ca="1" si="1"/>
        <v>48555.044536824542</v>
      </c>
      <c r="E16" s="21">
        <f t="shared" si="1"/>
        <v>448.56098282295721</v>
      </c>
      <c r="F16" s="21">
        <f t="shared" ca="1" si="1"/>
        <v>8532.2002220325976</v>
      </c>
      <c r="G16" s="21">
        <f t="shared" si="1"/>
        <v>0</v>
      </c>
      <c r="H16" s="21">
        <f t="shared" si="1"/>
        <v>0</v>
      </c>
      <c r="I16" s="21">
        <f t="shared" si="1"/>
        <v>0</v>
      </c>
      <c r="J16" s="21">
        <f t="shared" si="1"/>
        <v>0</v>
      </c>
      <c r="K16" s="21">
        <f t="shared" si="1"/>
        <v>0</v>
      </c>
      <c r="L16" s="21">
        <f t="shared" ca="1" si="1"/>
        <v>0</v>
      </c>
      <c r="M16" s="21">
        <f t="shared" si="1"/>
        <v>0</v>
      </c>
      <c r="N16" s="21">
        <f t="shared" ca="1" si="1"/>
        <v>14606.116401975052</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0.20112904815542842</v>
      </c>
      <c r="C18" s="25">
        <f ca="1">'EF ele_warmte'!B22</f>
        <v>0.19948126680570022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7345.9641135029551</v>
      </c>
      <c r="C20" s="23">
        <f t="shared" ref="C20:P20" ca="1" si="2">C16*C18</f>
        <v>0</v>
      </c>
      <c r="D20" s="23">
        <f t="shared" ca="1" si="2"/>
        <v>9808.1189964385576</v>
      </c>
      <c r="E20" s="23">
        <f t="shared" si="2"/>
        <v>101.82334310081129</v>
      </c>
      <c r="F20" s="23">
        <f t="shared" ca="1" si="2"/>
        <v>2278.0974592827038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4034.0998256000003</v>
      </c>
      <c r="C26" s="39">
        <f>IF(ISERROR(B26*3.6/1000000/'E Balans VL '!Z12*100),0,B26*3.6/1000000/'E Balans VL '!Z12*100)</f>
        <v>8.6413552234471183E-2</v>
      </c>
      <c r="D26" s="237" t="s">
        <v>660</v>
      </c>
      <c r="F26" s="6"/>
    </row>
    <row r="27" spans="1:18">
      <c r="A27" s="231" t="s">
        <v>53</v>
      </c>
      <c r="B27" s="33">
        <f>IF(ISERROR(TER_horeca_ele_kWh/1000),0,TER_horeca_ele_kWh/1000)</f>
        <v>1213.0729177000001</v>
      </c>
      <c r="C27" s="39">
        <f>IF(ISERROR(B27*3.6/1000000/'E Balans VL '!Z9*100),0,B27*3.6/1000000/'E Balans VL '!Z9*100)</f>
        <v>9.7344885047002602E-2</v>
      </c>
      <c r="D27" s="237" t="s">
        <v>660</v>
      </c>
      <c r="F27" s="6"/>
    </row>
    <row r="28" spans="1:18">
      <c r="A28" s="171" t="s">
        <v>52</v>
      </c>
      <c r="B28" s="33">
        <f>IF(ISERROR(TER_handel_ele_kWh/1000),0,TER_handel_ele_kWh/1000)</f>
        <v>7198.7062947000004</v>
      </c>
      <c r="C28" s="39">
        <f>IF(ISERROR(B28*3.6/1000000/'E Balans VL '!Z13*100),0,B28*3.6/1000000/'E Balans VL '!Z13*100)</f>
        <v>0.21232054556127319</v>
      </c>
      <c r="D28" s="237" t="s">
        <v>660</v>
      </c>
      <c r="F28" s="6"/>
    </row>
    <row r="29" spans="1:18">
      <c r="A29" s="231" t="s">
        <v>51</v>
      </c>
      <c r="B29" s="33">
        <f>IF(ISERROR(TER_gezond_ele_kWh/1000),0,TER_gezond_ele_kWh/1000)</f>
        <v>270.96057995000001</v>
      </c>
      <c r="C29" s="39">
        <f>IF(ISERROR(B29*3.6/1000000/'E Balans VL '!Z10*100),0,B29*3.6/1000000/'E Balans VL '!Z10*100)</f>
        <v>2.8931325213086573E-2</v>
      </c>
      <c r="D29" s="237" t="s">
        <v>660</v>
      </c>
      <c r="F29" s="6"/>
    </row>
    <row r="30" spans="1:18">
      <c r="A30" s="231" t="s">
        <v>50</v>
      </c>
      <c r="B30" s="33">
        <f>IF(ISERROR(TER_ander_ele_kWh/1000),0,TER_ander_ele_kWh/1000)</f>
        <v>17869.920178</v>
      </c>
      <c r="C30" s="39">
        <f>IF(ISERROR(B30*3.6/1000000/'E Balans VL '!Z14*100),0,B30*3.6/1000000/'E Balans VL '!Z14*100)</f>
        <v>1.3497852433903601</v>
      </c>
      <c r="D30" s="237" t="s">
        <v>660</v>
      </c>
      <c r="F30" s="6"/>
    </row>
    <row r="31" spans="1:18">
      <c r="A31" s="231" t="s">
        <v>55</v>
      </c>
      <c r="B31" s="33">
        <f>IF(ISERROR(TER_onderwijs_ele_kWh/1000),0,TER_onderwijs_ele_kWh/1000)</f>
        <v>191.37277084000002</v>
      </c>
      <c r="C31" s="39">
        <f>IF(ISERROR(B31*3.6/1000000/'E Balans VL '!Z11*100),0,B31*3.6/1000000/'E Balans VL '!Z11*100)</f>
        <v>3.8644550949226454E-2</v>
      </c>
      <c r="D31" s="237" t="s">
        <v>660</v>
      </c>
    </row>
    <row r="32" spans="1:18">
      <c r="A32" s="231" t="s">
        <v>260</v>
      </c>
      <c r="B32" s="33">
        <f>IF(ISERROR(TER_rest_ele_kWh/1000),0,TER_rest_ele_kWh/1000)</f>
        <v>5745.5032823000001</v>
      </c>
      <c r="C32" s="39">
        <f>IF(ISERROR(B32*3.6/1000000/'E Balans VL '!Z8*100),0,B32*3.6/1000000/'E Balans VL '!Z8*100)</f>
        <v>4.7638222765870639E-2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34253.750545739997</v>
      </c>
      <c r="C5" s="17">
        <f>IF(ISERROR('Eigen informatie GS &amp; warmtenet'!B59),0,'Eigen informatie GS &amp; warmtenet'!B59)</f>
        <v>0</v>
      </c>
      <c r="D5" s="30">
        <f>SUM(D6:D15)</f>
        <v>102376.7155916031</v>
      </c>
      <c r="E5" s="17">
        <f>SUM(E6:E15)</f>
        <v>2096.4121976739061</v>
      </c>
      <c r="F5" s="17">
        <f>SUM(F6:F15)</f>
        <v>8321.1176445255242</v>
      </c>
      <c r="G5" s="18"/>
      <c r="H5" s="17"/>
      <c r="I5" s="17"/>
      <c r="J5" s="17">
        <f>SUM(J6:J15)</f>
        <v>262.75047664092654</v>
      </c>
      <c r="K5" s="17"/>
      <c r="L5" s="17"/>
      <c r="M5" s="17"/>
      <c r="N5" s="17">
        <f>SUM(N6:N15)</f>
        <v>7072.5192471757127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206.52361478999998</v>
      </c>
      <c r="C8" s="33"/>
      <c r="D8" s="37">
        <f>IF( ISERROR(IND_metaal_Gas_kWH/1000),0,IND_metaal_Gas_kWH/1000)*0.902</f>
        <v>67.369941182412006</v>
      </c>
      <c r="E8" s="33">
        <f>C30*'E Balans VL '!I18/100/3.6*1000000</f>
        <v>7.4313444364312771</v>
      </c>
      <c r="F8" s="33">
        <f>C30*'E Balans VL '!L18/100/3.6*1000000+C30*'E Balans VL '!N18/100/3.6*1000000</f>
        <v>90.182167803491495</v>
      </c>
      <c r="G8" s="34"/>
      <c r="H8" s="33"/>
      <c r="I8" s="33"/>
      <c r="J8" s="40">
        <f>C30*'E Balans VL '!D18/100/3.6*1000000+C30*'E Balans VL '!E18/100/3.6*1000000</f>
        <v>0</v>
      </c>
      <c r="K8" s="33"/>
      <c r="L8" s="33"/>
      <c r="M8" s="33"/>
      <c r="N8" s="33">
        <f>C30*'E Balans VL '!Y18/100/3.6*1000000</f>
        <v>10.350823225607366</v>
      </c>
      <c r="O8" s="33"/>
      <c r="P8" s="33"/>
      <c r="R8" s="32"/>
    </row>
    <row r="9" spans="1:18">
      <c r="A9" s="6" t="s">
        <v>33</v>
      </c>
      <c r="B9" s="37">
        <f t="shared" si="0"/>
        <v>1255.1575692000001</v>
      </c>
      <c r="C9" s="33"/>
      <c r="D9" s="37">
        <f>IF( ISERROR(IND_andere_gas_kWh/1000),0,IND_andere_gas_kWh/1000)*0.902</f>
        <v>1580.4902930366002</v>
      </c>
      <c r="E9" s="33">
        <f>C31*'E Balans VL '!I19/100/3.6*1000000</f>
        <v>320.28781292441784</v>
      </c>
      <c r="F9" s="33">
        <f>C31*'E Balans VL '!L19/100/3.6*1000000+C31*'E Balans VL '!N19/100/3.6*1000000</f>
        <v>1080.5963257706237</v>
      </c>
      <c r="G9" s="34"/>
      <c r="H9" s="33"/>
      <c r="I9" s="33"/>
      <c r="J9" s="40">
        <f>C31*'E Balans VL '!D19/100/3.6*1000000+C31*'E Balans VL '!E19/100/3.6*1000000</f>
        <v>0</v>
      </c>
      <c r="K9" s="33"/>
      <c r="L9" s="33"/>
      <c r="M9" s="33"/>
      <c r="N9" s="33">
        <f>C31*'E Balans VL '!Y19/100/3.6*1000000</f>
        <v>392.53075654631999</v>
      </c>
      <c r="O9" s="33"/>
      <c r="P9" s="33"/>
      <c r="R9" s="32"/>
    </row>
    <row r="10" spans="1:18">
      <c r="A10" s="6" t="s">
        <v>41</v>
      </c>
      <c r="B10" s="37">
        <f t="shared" si="0"/>
        <v>382.20977775</v>
      </c>
      <c r="C10" s="33"/>
      <c r="D10" s="37">
        <f>IF( ISERROR(IND_voed_gas_kWh/1000),0,IND_voed_gas_kWh/1000)*0.902</f>
        <v>694.01221684409995</v>
      </c>
      <c r="E10" s="33">
        <f>C32*'E Balans VL '!I20/100/3.6*1000000</f>
        <v>9.7162973674377202</v>
      </c>
      <c r="F10" s="33">
        <f>C32*'E Balans VL '!L20/100/3.6*1000000+C32*'E Balans VL '!N20/100/3.6*1000000</f>
        <v>86.488335241261794</v>
      </c>
      <c r="G10" s="34"/>
      <c r="H10" s="33"/>
      <c r="I10" s="33"/>
      <c r="J10" s="40">
        <f>C32*'E Balans VL '!D20/100/3.6*1000000+C32*'E Balans VL '!E20/100/3.6*1000000</f>
        <v>0</v>
      </c>
      <c r="K10" s="33"/>
      <c r="L10" s="33"/>
      <c r="M10" s="33"/>
      <c r="N10" s="33">
        <f>C32*'E Balans VL '!Y20/100/3.6*1000000</f>
        <v>143.33902685978063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32409.859583999998</v>
      </c>
      <c r="C15" s="33"/>
      <c r="D15" s="37">
        <f>IF( ISERROR(IND_rest_gas_kWh/1000),0,IND_rest_gas_kWh/1000)*0.902</f>
        <v>100034.84314053999</v>
      </c>
      <c r="E15" s="33">
        <f>C37*'E Balans VL '!I15/100/3.6*1000000</f>
        <v>1758.9767429456194</v>
      </c>
      <c r="F15" s="33">
        <f>C37*'E Balans VL '!L15/100/3.6*1000000+C37*'E Balans VL '!N15/100/3.6*1000000</f>
        <v>7063.8508157101478</v>
      </c>
      <c r="G15" s="34"/>
      <c r="H15" s="33"/>
      <c r="I15" s="33"/>
      <c r="J15" s="40">
        <f>C37*'E Balans VL '!D15/100/3.6*1000000+C37*'E Balans VL '!E15/100/3.6*1000000</f>
        <v>262.75047664092654</v>
      </c>
      <c r="K15" s="33"/>
      <c r="L15" s="33"/>
      <c r="M15" s="33"/>
      <c r="N15" s="33">
        <f>C37*'E Balans VL '!Y15/100/3.6*1000000</f>
        <v>6526.2986405440042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34253.750545739997</v>
      </c>
      <c r="C18" s="21">
        <f>C5+C16</f>
        <v>0</v>
      </c>
      <c r="D18" s="21">
        <f>MAX((D5+D16),0)</f>
        <v>102376.7155916031</v>
      </c>
      <c r="E18" s="21">
        <f>MAX((E5+E16),0)</f>
        <v>2096.4121976739061</v>
      </c>
      <c r="F18" s="21">
        <f>MAX((F5+F16),0)</f>
        <v>8321.1176445255242</v>
      </c>
      <c r="G18" s="21"/>
      <c r="H18" s="21"/>
      <c r="I18" s="21"/>
      <c r="J18" s="21">
        <f>MAX((J5+J16),0)</f>
        <v>262.75047664092654</v>
      </c>
      <c r="K18" s="21"/>
      <c r="L18" s="21">
        <f>MAX((L5+L16),0)</f>
        <v>0</v>
      </c>
      <c r="M18" s="21"/>
      <c r="N18" s="21">
        <f>MAX((N5+N16),0)</f>
        <v>7072.5192471757127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0.20112904815542842</v>
      </c>
      <c r="C20" s="25">
        <f ca="1">'EF ele_warmte'!B22</f>
        <v>0.19948126680570022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6889.4242430181721</v>
      </c>
      <c r="C22" s="23">
        <f ca="1">C18*C20</f>
        <v>0</v>
      </c>
      <c r="D22" s="23">
        <f>D18*D20</f>
        <v>20680.096549503829</v>
      </c>
      <c r="E22" s="23">
        <f>E18*E20</f>
        <v>475.88556887197672</v>
      </c>
      <c r="F22" s="23">
        <f>F18*F20</f>
        <v>2221.7384110883149</v>
      </c>
      <c r="G22" s="23"/>
      <c r="H22" s="23"/>
      <c r="I22" s="23"/>
      <c r="J22" s="23">
        <f>J18*J20</f>
        <v>93.013668730887986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206.52361478999998</v>
      </c>
      <c r="C30" s="39">
        <f>IF(ISERROR(B30*3.6/1000000/'E Balans VL '!Z18*100),0,B30*3.6/1000000/'E Balans VL '!Z18*100)</f>
        <v>4.3757926224395637E-2</v>
      </c>
      <c r="D30" s="237" t="s">
        <v>660</v>
      </c>
    </row>
    <row r="31" spans="1:18">
      <c r="A31" s="6" t="s">
        <v>33</v>
      </c>
      <c r="B31" s="37">
        <f>IF( ISERROR(IND_ander_ele_kWh/1000),0,IND_ander_ele_kWh/1000)</f>
        <v>1255.1575692000001</v>
      </c>
      <c r="C31" s="39">
        <f>IF(ISERROR(B31*3.6/1000000/'E Balans VL '!Z19*100),0,B31*3.6/1000000/'E Balans VL '!Z19*100)</f>
        <v>5.2832432130160818E-2</v>
      </c>
      <c r="D31" s="237" t="s">
        <v>660</v>
      </c>
    </row>
    <row r="32" spans="1:18">
      <c r="A32" s="171" t="s">
        <v>41</v>
      </c>
      <c r="B32" s="37">
        <f>IF( ISERROR(IND_voed_ele_kWh/1000),0,IND_voed_ele_kWh/1000)</f>
        <v>382.20977775</v>
      </c>
      <c r="C32" s="39">
        <f>IF(ISERROR(B32*3.6/1000000/'E Balans VL '!Z20*100),0,B32*3.6/1000000/'E Balans VL '!Z20*100)</f>
        <v>6.3852467779354466E-2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32409.859583999998</v>
      </c>
      <c r="C37" s="39">
        <f>IF(ISERROR(B37*3.6/1000000/'E Balans VL '!Z15*100),0,B37*3.6/1000000/'E Balans VL '!Z15*100)</f>
        <v>0.2616573460944614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1996.2651309230002</v>
      </c>
      <c r="C5" s="17">
        <f>'Eigen informatie GS &amp; warmtenet'!B60</f>
        <v>0</v>
      </c>
      <c r="D5" s="30">
        <f>IF(ISERROR(SUM(LB_lb_gas_kWh,LB_rest_gas_kWh)/1000),0,SUM(LB_lb_gas_kWh,LB_rest_gas_kWh)/1000)*0.902</f>
        <v>37346.518415353399</v>
      </c>
      <c r="E5" s="17">
        <f>B17*'E Balans VL '!I25/3.6*1000000/100</f>
        <v>51.476012954562172</v>
      </c>
      <c r="F5" s="17">
        <f>B17*('E Balans VL '!L25/3.6*1000000+'E Balans VL '!N25/3.6*1000000)/100</f>
        <v>7296.729223750167</v>
      </c>
      <c r="G5" s="18"/>
      <c r="H5" s="17"/>
      <c r="I5" s="17"/>
      <c r="J5" s="17">
        <f>('E Balans VL '!D25+'E Balans VL '!E25)/3.6*1000000*landbouw!B17/100</f>
        <v>287.38874293211177</v>
      </c>
      <c r="K5" s="17"/>
      <c r="L5" s="17">
        <f>L6*(-1)</f>
        <v>0</v>
      </c>
      <c r="M5" s="17"/>
      <c r="N5" s="17">
        <f>N6*(-1)</f>
        <v>22061.571428571431</v>
      </c>
      <c r="O5" s="17"/>
      <c r="P5" s="17"/>
      <c r="R5" s="32"/>
    </row>
    <row r="6" spans="1:18">
      <c r="A6" s="16" t="s">
        <v>491</v>
      </c>
      <c r="B6" s="17" t="s">
        <v>211</v>
      </c>
      <c r="C6" s="17">
        <f>'lokale energieproductie'!O92+'lokale energieproductie'!O61</f>
        <v>68685.42857142858</v>
      </c>
      <c r="D6" s="310">
        <f>('lokale energieproductie'!P61+'lokale energieproductie'!P92)*(-1)</f>
        <v>-115309.28571428572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-22061.571428571431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1996.2651309230002</v>
      </c>
      <c r="C8" s="21">
        <f>C5+C6</f>
        <v>68685.42857142858</v>
      </c>
      <c r="D8" s="21">
        <f>MAX((D5+D6),0)</f>
        <v>0</v>
      </c>
      <c r="E8" s="21">
        <f>MAX((E5+E6),0)</f>
        <v>51.476012954562172</v>
      </c>
      <c r="F8" s="21">
        <f>MAX((F5+F6),0)</f>
        <v>7296.729223750167</v>
      </c>
      <c r="G8" s="21"/>
      <c r="H8" s="21"/>
      <c r="I8" s="21"/>
      <c r="J8" s="21">
        <f>MAX((J5+J6),0)</f>
        <v>287.38874293211177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0.20112904815542842</v>
      </c>
      <c r="C10" s="31">
        <f ca="1">'EF ele_warmte'!B22</f>
        <v>0.19948126680570022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401.50690564841477</v>
      </c>
      <c r="C12" s="23">
        <f ca="1">C8*C10</f>
        <v>13701.45630252101</v>
      </c>
      <c r="D12" s="23">
        <f>D8*D10</f>
        <v>0</v>
      </c>
      <c r="E12" s="23">
        <f>E8*E10</f>
        <v>11.685054940685614</v>
      </c>
      <c r="F12" s="23">
        <f>F8*F10</f>
        <v>1948.2267027412947</v>
      </c>
      <c r="G12" s="23"/>
      <c r="H12" s="23"/>
      <c r="I12" s="23"/>
      <c r="J12" s="23">
        <f>J8*J10</f>
        <v>101.73561499796756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0.28148660642387341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130.58934264460589</v>
      </c>
      <c r="C26" s="247">
        <f>B26*'GWP N2O_CH4'!B5</f>
        <v>2742.3761955367236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44.749786839939297</v>
      </c>
      <c r="C27" s="247">
        <f>B27*'GWP N2O_CH4'!B5</f>
        <v>939.74552363872522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2.5294000676554602</v>
      </c>
      <c r="C28" s="247">
        <f>B28*'GWP N2O_CH4'!B4</f>
        <v>784.11402097319262</v>
      </c>
      <c r="D28" s="50"/>
    </row>
    <row r="29" spans="1:4">
      <c r="A29" s="41" t="s">
        <v>277</v>
      </c>
      <c r="B29" s="247">
        <f>B34*'ha_N2O bodem landbouw'!B4</f>
        <v>9.4102737028936509</v>
      </c>
      <c r="C29" s="247">
        <f>B29*'GWP N2O_CH4'!B4</f>
        <v>2917.1848478970319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2.1178229522995059E-3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2.9708802929469345E-4</v>
      </c>
      <c r="C5" s="463" t="s">
        <v>211</v>
      </c>
      <c r="D5" s="448">
        <f>SUM(D6:D11)</f>
        <v>6.222014257615371E-4</v>
      </c>
      <c r="E5" s="448">
        <f>SUM(E6:E11)</f>
        <v>2.8650925629835891E-3</v>
      </c>
      <c r="F5" s="461" t="s">
        <v>211</v>
      </c>
      <c r="G5" s="448">
        <f>SUM(G6:G11)</f>
        <v>1.2294693193601378</v>
      </c>
      <c r="H5" s="448">
        <f>SUM(H6:H11)</f>
        <v>0.1733981906155849</v>
      </c>
      <c r="I5" s="463" t="s">
        <v>211</v>
      </c>
      <c r="J5" s="463" t="s">
        <v>211</v>
      </c>
      <c r="K5" s="463" t="s">
        <v>211</v>
      </c>
      <c r="L5" s="463" t="s">
        <v>211</v>
      </c>
      <c r="M5" s="448">
        <f>SUM(M6:M11)</f>
        <v>4.3927555700687182E-2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7.8178160863883746E-5</v>
      </c>
      <c r="C6" s="449"/>
      <c r="D6" s="892">
        <f>vkm_2011_GW_PW*SUMIFS(TableVerdeelsleutelVkm[CNG],TableVerdeelsleutelVkm[Voertuigtype],"Lichte voertuigen")*SUMIFS(TableECFTransport[EnergieConsumptieFactor (PJ per km)],TableECFTransport[Index],CONCATENATE($A6,"_CNG_CNG"))</f>
        <v>1.553413750469859E-4</v>
      </c>
      <c r="E6" s="892">
        <f>vkm_2011_GW_PW*SUMIFS(TableVerdeelsleutelVkm[LPG],TableVerdeelsleutelVkm[Voertuigtype],"Lichte voertuigen")*SUMIFS(TableECFTransport[EnergieConsumptieFactor (PJ per km)],TableECFTransport[Index],CONCATENATE($A6,"_LPG_LPG"))</f>
        <v>6.1132399651839448E-4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0.14535187062262211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4.2055583567169624E-2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5.8397893271273605E-3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7.4880730315975488E-2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2.4189674310717196E-5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2.3593772390431375E-3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8.0009126909875396E-6</v>
      </c>
      <c r="C8" s="449"/>
      <c r="D8" s="451">
        <f>vkm_2011_NGW_PW*SUMIFS(TableVerdeelsleutelVkm[CNG],TableVerdeelsleutelVkm[Voertuigtype],"Lichte voertuigen")*SUMIFS(TableECFTransport[EnergieConsumptieFactor (PJ per km)],TableECFTransport[Index],CONCATENATE($A8,"_CNG_CNG"))</f>
        <v>2.8149476521796066E-5</v>
      </c>
      <c r="E8" s="451">
        <f>vkm_2011_NGW_PW*SUMIFS(TableVerdeelsleutelVkm[LPG],TableVerdeelsleutelVkm[Voertuigtype],"Lichte voertuigen")*SUMIFS(TableECFTransport[EnergieConsumptieFactor (PJ per km)],TableECFTransport[Index],CONCATENATE($A8,"_LPG_LPG"))</f>
        <v>1.0245033925294629E-4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2.2746855298044204E-2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7.3896497890761307E-3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9.3813764379482953E-4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4.3182594327322797E-4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1.3192648716763788E-7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1.3605947645172699E-5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2.1090895573982218E-4</v>
      </c>
      <c r="C10" s="449"/>
      <c r="D10" s="451">
        <f>vkm_2011_SW_PW*SUMIFS(TableVerdeelsleutelVkm[CNG],TableVerdeelsleutelVkm[Voertuigtype],"Lichte voertuigen")*SUMIFS(TableECFTransport[EnergieConsumptieFactor (PJ per km)],TableECFTransport[Index],CONCATENATE($A10,"_CNG_CNG"))</f>
        <v>4.3871057419275506E-4</v>
      </c>
      <c r="E10" s="451">
        <f>vkm_2011_SW_PW*SUMIFS(TableVerdeelsleutelVkm[LPG],TableVerdeelsleutelVkm[Voertuigtype],"Lichte voertuigen")*SUMIFS(TableECFTransport[EnergieConsumptieFactor (PJ per km)],TableECFTransport[Index],CONCATENATE($A10,"_LPG_LPG"))</f>
        <v>2.1513182272122483E-3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0.45820608176977734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0.12374491230401288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1.8144442032392901E-2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0.52785195541044538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1.8372335452836901E-4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1.6632203510683775E-2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82.524452581859293</v>
      </c>
      <c r="C14" s="21"/>
      <c r="D14" s="21">
        <f t="shared" ref="D14:M14" si="0">((D5)*10^9/3600)+D12</f>
        <v>172.83372937820474</v>
      </c>
      <c r="E14" s="21">
        <f t="shared" si="0"/>
        <v>795.85904527321918</v>
      </c>
      <c r="F14" s="21"/>
      <c r="G14" s="21">
        <f t="shared" si="0"/>
        <v>341519.25537781604</v>
      </c>
      <c r="H14" s="21">
        <f t="shared" si="0"/>
        <v>48166.164059884701</v>
      </c>
      <c r="I14" s="21"/>
      <c r="J14" s="21"/>
      <c r="K14" s="21"/>
      <c r="L14" s="21"/>
      <c r="M14" s="21">
        <f t="shared" si="0"/>
        <v>12202.09880574644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0.20112904815542842</v>
      </c>
      <c r="C16" s="56">
        <f ca="1">'EF ele_warmte'!B22</f>
        <v>0.19948126680570022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16.598064597337146</v>
      </c>
      <c r="C18" s="23"/>
      <c r="D18" s="23">
        <f t="shared" ref="D18:M18" si="1">D14*D16</f>
        <v>34.912413334397357</v>
      </c>
      <c r="E18" s="23">
        <f t="shared" si="1"/>
        <v>180.66000327702076</v>
      </c>
      <c r="F18" s="23"/>
      <c r="G18" s="23">
        <f t="shared" si="1"/>
        <v>91185.641185876884</v>
      </c>
      <c r="H18" s="23">
        <f t="shared" si="1"/>
        <v>11993.37485091129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1.2512358121334388E-2</v>
      </c>
      <c r="H50" s="321">
        <f t="shared" si="2"/>
        <v>0</v>
      </c>
      <c r="I50" s="321">
        <f t="shared" si="2"/>
        <v>0</v>
      </c>
      <c r="J50" s="321">
        <f t="shared" si="2"/>
        <v>0</v>
      </c>
      <c r="K50" s="321">
        <f t="shared" si="2"/>
        <v>0</v>
      </c>
      <c r="L50" s="321">
        <f t="shared" si="2"/>
        <v>0</v>
      </c>
      <c r="M50" s="321">
        <f t="shared" si="2"/>
        <v>3.8810535650032337E-4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1.2512358121334388E-2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3.8810535650032337E-4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3475.6550337039971</v>
      </c>
      <c r="H54" s="21">
        <f t="shared" si="3"/>
        <v>0</v>
      </c>
      <c r="I54" s="21">
        <f t="shared" si="3"/>
        <v>0</v>
      </c>
      <c r="J54" s="21">
        <f t="shared" si="3"/>
        <v>0</v>
      </c>
      <c r="K54" s="21">
        <f t="shared" si="3"/>
        <v>0</v>
      </c>
      <c r="L54" s="21">
        <f t="shared" si="3"/>
        <v>0</v>
      </c>
      <c r="M54" s="21">
        <f t="shared" si="3"/>
        <v>107.80704347231206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0.20112904815542842</v>
      </c>
      <c r="C56" s="56">
        <f ca="1">'EF ele_warmte'!B22</f>
        <v>0.19948126680570022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927.99989399896731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37956.698849090004</v>
      </c>
      <c r="D10" s="1012">
        <f ca="1">tertiair!C16</f>
        <v>0</v>
      </c>
      <c r="E10" s="1012">
        <f ca="1">tertiair!D16</f>
        <v>48555.044536824542</v>
      </c>
      <c r="F10" s="1012">
        <f>tertiair!E16</f>
        <v>448.56098282295721</v>
      </c>
      <c r="G10" s="1012">
        <f ca="1">tertiair!F16</f>
        <v>8532.2002220325976</v>
      </c>
      <c r="H10" s="1012">
        <f>tertiair!G16</f>
        <v>0</v>
      </c>
      <c r="I10" s="1012">
        <f>tertiair!H16</f>
        <v>0</v>
      </c>
      <c r="J10" s="1012">
        <f>tertiair!I16</f>
        <v>0</v>
      </c>
      <c r="K10" s="1012">
        <f>tertiair!J16</f>
        <v>0</v>
      </c>
      <c r="L10" s="1012">
        <f>tertiair!K16</f>
        <v>0</v>
      </c>
      <c r="M10" s="1012">
        <f ca="1">tertiair!L16</f>
        <v>0</v>
      </c>
      <c r="N10" s="1012">
        <f>tertiair!M16</f>
        <v>0</v>
      </c>
      <c r="O10" s="1012">
        <f ca="1">tertiair!N16</f>
        <v>14606.116401975052</v>
      </c>
      <c r="P10" s="1012">
        <f>tertiair!O16</f>
        <v>1.5633333333333335</v>
      </c>
      <c r="Q10" s="1013">
        <f>tertiair!P16</f>
        <v>19.066666666666666</v>
      </c>
      <c r="R10" s="700">
        <f ca="1">SUM(C10:Q10)</f>
        <v>110119.25099274516</v>
      </c>
      <c r="S10" s="67"/>
    </row>
    <row r="11" spans="1:19" s="473" customFormat="1">
      <c r="A11" s="809" t="s">
        <v>225</v>
      </c>
      <c r="B11" s="814"/>
      <c r="C11" s="1012">
        <f>huishoudens!B8</f>
        <v>35057.626942342336</v>
      </c>
      <c r="D11" s="1012">
        <f>huishoudens!C8</f>
        <v>0</v>
      </c>
      <c r="E11" s="1012">
        <f>huishoudens!D8</f>
        <v>86127.723589182002</v>
      </c>
      <c r="F11" s="1012">
        <f>huishoudens!E8</f>
        <v>2560.8244618533536</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21066.361113878782</v>
      </c>
      <c r="P11" s="1012">
        <f>huishoudens!O8</f>
        <v>292.34333333333331</v>
      </c>
      <c r="Q11" s="1013">
        <f>huishoudens!P8</f>
        <v>1201.2</v>
      </c>
      <c r="R11" s="700">
        <f>SUM(C11:Q11)</f>
        <v>146306.07944058982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34253.750545739997</v>
      </c>
      <c r="D13" s="1012">
        <f>industrie!C18</f>
        <v>0</v>
      </c>
      <c r="E13" s="1012">
        <f>industrie!D18</f>
        <v>102376.7155916031</v>
      </c>
      <c r="F13" s="1012">
        <f>industrie!E18</f>
        <v>2096.4121976739061</v>
      </c>
      <c r="G13" s="1012">
        <f>industrie!F18</f>
        <v>8321.1176445255242</v>
      </c>
      <c r="H13" s="1012">
        <f>industrie!G18</f>
        <v>0</v>
      </c>
      <c r="I13" s="1012">
        <f>industrie!H18</f>
        <v>0</v>
      </c>
      <c r="J13" s="1012">
        <f>industrie!I18</f>
        <v>0</v>
      </c>
      <c r="K13" s="1012">
        <f>industrie!J18</f>
        <v>262.75047664092654</v>
      </c>
      <c r="L13" s="1012">
        <f>industrie!K18</f>
        <v>0</v>
      </c>
      <c r="M13" s="1012">
        <f>industrie!L18</f>
        <v>0</v>
      </c>
      <c r="N13" s="1012">
        <f>industrie!M18</f>
        <v>0</v>
      </c>
      <c r="O13" s="1012">
        <f>industrie!N18</f>
        <v>7072.5192471757127</v>
      </c>
      <c r="P13" s="1012">
        <f>industrie!O18</f>
        <v>0</v>
      </c>
      <c r="Q13" s="1013">
        <f>industrie!P18</f>
        <v>0</v>
      </c>
      <c r="R13" s="700">
        <f>SUM(C13:Q13)</f>
        <v>154383.26570335915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107268.07633717234</v>
      </c>
      <c r="D16" s="732">
        <f t="shared" ref="D16:R16" ca="1" si="0">SUM(D9:D15)</f>
        <v>0</v>
      </c>
      <c r="E16" s="732">
        <f t="shared" ca="1" si="0"/>
        <v>237059.48371760963</v>
      </c>
      <c r="F16" s="732">
        <f t="shared" si="0"/>
        <v>5105.7976423502168</v>
      </c>
      <c r="G16" s="732">
        <f t="shared" ca="1" si="0"/>
        <v>16853.317866558122</v>
      </c>
      <c r="H16" s="732">
        <f t="shared" si="0"/>
        <v>0</v>
      </c>
      <c r="I16" s="732">
        <f t="shared" si="0"/>
        <v>0</v>
      </c>
      <c r="J16" s="732">
        <f t="shared" si="0"/>
        <v>0</v>
      </c>
      <c r="K16" s="732">
        <f t="shared" si="0"/>
        <v>262.75047664092654</v>
      </c>
      <c r="L16" s="732">
        <f t="shared" si="0"/>
        <v>0</v>
      </c>
      <c r="M16" s="732">
        <f t="shared" ca="1" si="0"/>
        <v>0</v>
      </c>
      <c r="N16" s="732">
        <f t="shared" si="0"/>
        <v>0</v>
      </c>
      <c r="O16" s="732">
        <f t="shared" ca="1" si="0"/>
        <v>42744.996763029543</v>
      </c>
      <c r="P16" s="732">
        <f t="shared" si="0"/>
        <v>293.90666666666664</v>
      </c>
      <c r="Q16" s="732">
        <f t="shared" si="0"/>
        <v>1220.2666666666667</v>
      </c>
      <c r="R16" s="732">
        <f t="shared" ca="1" si="0"/>
        <v>410808.59613669413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3475.6550337039971</v>
      </c>
      <c r="I19" s="1012">
        <f>transport!H54</f>
        <v>0</v>
      </c>
      <c r="J19" s="1012">
        <f>transport!I54</f>
        <v>0</v>
      </c>
      <c r="K19" s="1012">
        <f>transport!J54</f>
        <v>0</v>
      </c>
      <c r="L19" s="1012">
        <f>transport!K54</f>
        <v>0</v>
      </c>
      <c r="M19" s="1012">
        <f>transport!L54</f>
        <v>0</v>
      </c>
      <c r="N19" s="1012">
        <f>transport!M54</f>
        <v>107.80704347231206</v>
      </c>
      <c r="O19" s="1012">
        <f>transport!N54</f>
        <v>0</v>
      </c>
      <c r="P19" s="1012">
        <f>transport!O54</f>
        <v>0</v>
      </c>
      <c r="Q19" s="1013">
        <f>transport!P54</f>
        <v>0</v>
      </c>
      <c r="R19" s="700">
        <f>SUM(C19:Q19)</f>
        <v>3583.4620771763093</v>
      </c>
      <c r="S19" s="67"/>
    </row>
    <row r="20" spans="1:19" s="473" customFormat="1">
      <c r="A20" s="809" t="s">
        <v>307</v>
      </c>
      <c r="B20" s="814"/>
      <c r="C20" s="1012">
        <f>transport!B14</f>
        <v>82.524452581859293</v>
      </c>
      <c r="D20" s="1012">
        <f>transport!C14</f>
        <v>0</v>
      </c>
      <c r="E20" s="1012">
        <f>transport!D14</f>
        <v>172.83372937820474</v>
      </c>
      <c r="F20" s="1012">
        <f>transport!E14</f>
        <v>795.85904527321918</v>
      </c>
      <c r="G20" s="1012">
        <f>transport!F14</f>
        <v>0</v>
      </c>
      <c r="H20" s="1012">
        <f>transport!G14</f>
        <v>341519.25537781604</v>
      </c>
      <c r="I20" s="1012">
        <f>transport!H14</f>
        <v>48166.164059884701</v>
      </c>
      <c r="J20" s="1012">
        <f>transport!I14</f>
        <v>0</v>
      </c>
      <c r="K20" s="1012">
        <f>transport!J14</f>
        <v>0</v>
      </c>
      <c r="L20" s="1012">
        <f>transport!K14</f>
        <v>0</v>
      </c>
      <c r="M20" s="1012">
        <f>transport!L14</f>
        <v>0</v>
      </c>
      <c r="N20" s="1012">
        <f>transport!M14</f>
        <v>12202.09880574644</v>
      </c>
      <c r="O20" s="1012">
        <f>transport!N14</f>
        <v>0</v>
      </c>
      <c r="P20" s="1012">
        <f>transport!O14</f>
        <v>0</v>
      </c>
      <c r="Q20" s="1013">
        <f>transport!P14</f>
        <v>0</v>
      </c>
      <c r="R20" s="700">
        <f>SUM(C20:Q20)</f>
        <v>402938.7354706804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82.524452581859293</v>
      </c>
      <c r="D22" s="812">
        <f t="shared" ref="D22:R22" si="1">SUM(D18:D21)</f>
        <v>0</v>
      </c>
      <c r="E22" s="812">
        <f t="shared" si="1"/>
        <v>172.83372937820474</v>
      </c>
      <c r="F22" s="812">
        <f t="shared" si="1"/>
        <v>795.85904527321918</v>
      </c>
      <c r="G22" s="812">
        <f t="shared" si="1"/>
        <v>0</v>
      </c>
      <c r="H22" s="812">
        <f t="shared" si="1"/>
        <v>344994.91041152005</v>
      </c>
      <c r="I22" s="812">
        <f t="shared" si="1"/>
        <v>48166.164059884701</v>
      </c>
      <c r="J22" s="812">
        <f t="shared" si="1"/>
        <v>0</v>
      </c>
      <c r="K22" s="812">
        <f t="shared" si="1"/>
        <v>0</v>
      </c>
      <c r="L22" s="812">
        <f t="shared" si="1"/>
        <v>0</v>
      </c>
      <c r="M22" s="812">
        <f t="shared" si="1"/>
        <v>0</v>
      </c>
      <c r="N22" s="812">
        <f t="shared" si="1"/>
        <v>12309.905849218752</v>
      </c>
      <c r="O22" s="812">
        <f t="shared" si="1"/>
        <v>0</v>
      </c>
      <c r="P22" s="812">
        <f t="shared" si="1"/>
        <v>0</v>
      </c>
      <c r="Q22" s="812">
        <f t="shared" si="1"/>
        <v>0</v>
      </c>
      <c r="R22" s="812">
        <f t="shared" si="1"/>
        <v>406522.19754785672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1996.2651309230002</v>
      </c>
      <c r="D24" s="1012">
        <f>+landbouw!C8</f>
        <v>68685.42857142858</v>
      </c>
      <c r="E24" s="1012">
        <f>+landbouw!D8</f>
        <v>0</v>
      </c>
      <c r="F24" s="1012">
        <f>+landbouw!E8</f>
        <v>51.476012954562172</v>
      </c>
      <c r="G24" s="1012">
        <f>+landbouw!F8</f>
        <v>7296.729223750167</v>
      </c>
      <c r="H24" s="1012">
        <f>+landbouw!G8</f>
        <v>0</v>
      </c>
      <c r="I24" s="1012">
        <f>+landbouw!H8</f>
        <v>0</v>
      </c>
      <c r="J24" s="1012">
        <f>+landbouw!I8</f>
        <v>0</v>
      </c>
      <c r="K24" s="1012">
        <f>+landbouw!J8</f>
        <v>287.38874293211177</v>
      </c>
      <c r="L24" s="1012">
        <f>+landbouw!K8</f>
        <v>0</v>
      </c>
      <c r="M24" s="1012">
        <f>+landbouw!L8</f>
        <v>0</v>
      </c>
      <c r="N24" s="1012">
        <f>+landbouw!M8</f>
        <v>0</v>
      </c>
      <c r="O24" s="1012">
        <f>+landbouw!N8</f>
        <v>0</v>
      </c>
      <c r="P24" s="1012">
        <f>+landbouw!O8</f>
        <v>0</v>
      </c>
      <c r="Q24" s="1013">
        <f>+landbouw!P8</f>
        <v>0</v>
      </c>
      <c r="R24" s="700">
        <f>SUM(C24:Q24)</f>
        <v>78317.287681988426</v>
      </c>
      <c r="S24" s="67"/>
    </row>
    <row r="25" spans="1:19" s="473" customFormat="1" ht="15" thickBot="1">
      <c r="A25" s="831" t="s">
        <v>848</v>
      </c>
      <c r="B25" s="1015"/>
      <c r="C25" s="1016">
        <f>IF(Onbekend_ele_kWh="---",0,Onbekend_ele_kWh)/1000+IF(REST_rest_ele_kWh="---",0,REST_rest_ele_kWh)/1000</f>
        <v>1235.0872320999999</v>
      </c>
      <c r="D25" s="1016"/>
      <c r="E25" s="1016">
        <f>IF(onbekend_gas_kWh="---",0,onbekend_gas_kWh)/1000+IF(REST_rest_gas_kWh="---",0,REST_rest_gas_kWh)/1000</f>
        <v>2794.4575657</v>
      </c>
      <c r="F25" s="1016"/>
      <c r="G25" s="1016"/>
      <c r="H25" s="1016"/>
      <c r="I25" s="1016"/>
      <c r="J25" s="1016"/>
      <c r="K25" s="1016"/>
      <c r="L25" s="1016"/>
      <c r="M25" s="1016"/>
      <c r="N25" s="1016"/>
      <c r="O25" s="1016"/>
      <c r="P25" s="1016"/>
      <c r="Q25" s="1017"/>
      <c r="R25" s="700">
        <f>SUM(C25:Q25)</f>
        <v>4029.5447978000002</v>
      </c>
      <c r="S25" s="67"/>
    </row>
    <row r="26" spans="1:19" s="473" customFormat="1" ht="15.75" thickBot="1">
      <c r="A26" s="705" t="s">
        <v>849</v>
      </c>
      <c r="B26" s="817"/>
      <c r="C26" s="812">
        <f>SUM(C24:C25)</f>
        <v>3231.3523630230002</v>
      </c>
      <c r="D26" s="812">
        <f t="shared" ref="D26:R26" si="2">SUM(D24:D25)</f>
        <v>68685.42857142858</v>
      </c>
      <c r="E26" s="812">
        <f t="shared" si="2"/>
        <v>2794.4575657</v>
      </c>
      <c r="F26" s="812">
        <f t="shared" si="2"/>
        <v>51.476012954562172</v>
      </c>
      <c r="G26" s="812">
        <f t="shared" si="2"/>
        <v>7296.729223750167</v>
      </c>
      <c r="H26" s="812">
        <f t="shared" si="2"/>
        <v>0</v>
      </c>
      <c r="I26" s="812">
        <f t="shared" si="2"/>
        <v>0</v>
      </c>
      <c r="J26" s="812">
        <f t="shared" si="2"/>
        <v>0</v>
      </c>
      <c r="K26" s="812">
        <f t="shared" si="2"/>
        <v>287.38874293211177</v>
      </c>
      <c r="L26" s="812">
        <f t="shared" si="2"/>
        <v>0</v>
      </c>
      <c r="M26" s="812">
        <f t="shared" si="2"/>
        <v>0</v>
      </c>
      <c r="N26" s="812">
        <f t="shared" si="2"/>
        <v>0</v>
      </c>
      <c r="O26" s="812">
        <f t="shared" si="2"/>
        <v>0</v>
      </c>
      <c r="P26" s="812">
        <f t="shared" si="2"/>
        <v>0</v>
      </c>
      <c r="Q26" s="812">
        <f t="shared" si="2"/>
        <v>0</v>
      </c>
      <c r="R26" s="812">
        <f t="shared" si="2"/>
        <v>82346.832479788427</v>
      </c>
      <c r="S26" s="67"/>
    </row>
    <row r="27" spans="1:19" s="473" customFormat="1" ht="17.25" thickTop="1" thickBot="1">
      <c r="A27" s="706" t="s">
        <v>116</v>
      </c>
      <c r="B27" s="805"/>
      <c r="C27" s="707">
        <f ca="1">C22+C16+C26</f>
        <v>110581.95315277721</v>
      </c>
      <c r="D27" s="707">
        <f t="shared" ref="D27:R27" ca="1" si="3">D22+D16+D26</f>
        <v>68685.42857142858</v>
      </c>
      <c r="E27" s="707">
        <f t="shared" ca="1" si="3"/>
        <v>240026.77501268784</v>
      </c>
      <c r="F27" s="707">
        <f t="shared" si="3"/>
        <v>5953.1327005779976</v>
      </c>
      <c r="G27" s="707">
        <f t="shared" ca="1" si="3"/>
        <v>24150.04709030829</v>
      </c>
      <c r="H27" s="707">
        <f t="shared" si="3"/>
        <v>344994.91041152005</v>
      </c>
      <c r="I27" s="707">
        <f t="shared" si="3"/>
        <v>48166.164059884701</v>
      </c>
      <c r="J27" s="707">
        <f t="shared" si="3"/>
        <v>0</v>
      </c>
      <c r="K27" s="707">
        <f t="shared" si="3"/>
        <v>550.1392195730383</v>
      </c>
      <c r="L27" s="707">
        <f t="shared" si="3"/>
        <v>0</v>
      </c>
      <c r="M27" s="707">
        <f t="shared" ca="1" si="3"/>
        <v>0</v>
      </c>
      <c r="N27" s="707">
        <f t="shared" si="3"/>
        <v>12309.905849218752</v>
      </c>
      <c r="O27" s="707">
        <f t="shared" ca="1" si="3"/>
        <v>42744.996763029543</v>
      </c>
      <c r="P27" s="707">
        <f t="shared" si="3"/>
        <v>293.90666666666664</v>
      </c>
      <c r="Q27" s="707">
        <f t="shared" si="3"/>
        <v>1220.2666666666667</v>
      </c>
      <c r="R27" s="707">
        <f t="shared" ca="1" si="3"/>
        <v>899677.62616433925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7634.1947106397183</v>
      </c>
      <c r="D40" s="1012">
        <f ca="1">tertiair!C20</f>
        <v>0</v>
      </c>
      <c r="E40" s="1012">
        <f ca="1">tertiair!D20</f>
        <v>9808.1189964385576</v>
      </c>
      <c r="F40" s="1012">
        <f>tertiair!E20</f>
        <v>101.82334310081129</v>
      </c>
      <c r="G40" s="1012">
        <f ca="1">tertiair!F20</f>
        <v>2278.0974592827038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19822.234509461792</v>
      </c>
    </row>
    <row r="41" spans="1:18">
      <c r="A41" s="822" t="s">
        <v>225</v>
      </c>
      <c r="B41" s="829"/>
      <c r="C41" s="1012">
        <f ca="1">huishoudens!B12</f>
        <v>7051.1071375014171</v>
      </c>
      <c r="D41" s="1012">
        <f ca="1">huishoudens!C12</f>
        <v>0</v>
      </c>
      <c r="E41" s="1012">
        <f>huishoudens!D12</f>
        <v>17397.800165014767</v>
      </c>
      <c r="F41" s="1012">
        <f>huishoudens!E12</f>
        <v>581.3071528407113</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25030.214455356898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6889.4242430181721</v>
      </c>
      <c r="D43" s="1012">
        <f ca="1">industrie!C22</f>
        <v>0</v>
      </c>
      <c r="E43" s="1012">
        <f>industrie!D22</f>
        <v>20680.096549503829</v>
      </c>
      <c r="F43" s="1012">
        <f>industrie!E22</f>
        <v>475.88556887197672</v>
      </c>
      <c r="G43" s="1012">
        <f>industrie!F22</f>
        <v>2221.7384110883149</v>
      </c>
      <c r="H43" s="1012">
        <f>industrie!G22</f>
        <v>0</v>
      </c>
      <c r="I43" s="1012">
        <f>industrie!H22</f>
        <v>0</v>
      </c>
      <c r="J43" s="1012">
        <f>industrie!I22</f>
        <v>0</v>
      </c>
      <c r="K43" s="1012">
        <f>industrie!J22</f>
        <v>93.013668730887986</v>
      </c>
      <c r="L43" s="1012">
        <f>industrie!K22</f>
        <v>0</v>
      </c>
      <c r="M43" s="1012">
        <f>industrie!L22</f>
        <v>0</v>
      </c>
      <c r="N43" s="1012">
        <f>industrie!M22</f>
        <v>0</v>
      </c>
      <c r="O43" s="1012">
        <f>industrie!N22</f>
        <v>0</v>
      </c>
      <c r="P43" s="1012">
        <f>industrie!O22</f>
        <v>0</v>
      </c>
      <c r="Q43" s="774">
        <f>industrie!P22</f>
        <v>0</v>
      </c>
      <c r="R43" s="849">
        <f t="shared" ca="1" si="4"/>
        <v>30360.158441213182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21574.726091159308</v>
      </c>
      <c r="D46" s="732">
        <f t="shared" ref="D46:Q46" ca="1" si="5">SUM(D39:D45)</f>
        <v>0</v>
      </c>
      <c r="E46" s="732">
        <f t="shared" ca="1" si="5"/>
        <v>47886.015710957159</v>
      </c>
      <c r="F46" s="732">
        <f t="shared" si="5"/>
        <v>1159.0160648134993</v>
      </c>
      <c r="G46" s="732">
        <f t="shared" ca="1" si="5"/>
        <v>4499.8358703710182</v>
      </c>
      <c r="H46" s="732">
        <f t="shared" si="5"/>
        <v>0</v>
      </c>
      <c r="I46" s="732">
        <f t="shared" si="5"/>
        <v>0</v>
      </c>
      <c r="J46" s="732">
        <f t="shared" si="5"/>
        <v>0</v>
      </c>
      <c r="K46" s="732">
        <f t="shared" si="5"/>
        <v>93.013668730887986</v>
      </c>
      <c r="L46" s="732">
        <f t="shared" si="5"/>
        <v>0</v>
      </c>
      <c r="M46" s="732">
        <f t="shared" ca="1" si="5"/>
        <v>0</v>
      </c>
      <c r="N46" s="732">
        <f t="shared" si="5"/>
        <v>0</v>
      </c>
      <c r="O46" s="732">
        <f t="shared" ca="1" si="5"/>
        <v>0</v>
      </c>
      <c r="P46" s="732">
        <f t="shared" si="5"/>
        <v>0</v>
      </c>
      <c r="Q46" s="732">
        <f t="shared" si="5"/>
        <v>0</v>
      </c>
      <c r="R46" s="732">
        <f ca="1">SUM(R39:R45)</f>
        <v>75212.607406031864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927.99989399896731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927.99989399896731</v>
      </c>
    </row>
    <row r="50" spans="1:18">
      <c r="A50" s="825" t="s">
        <v>307</v>
      </c>
      <c r="B50" s="835"/>
      <c r="C50" s="703">
        <f ca="1">transport!B18</f>
        <v>16.598064597337146</v>
      </c>
      <c r="D50" s="703">
        <f>transport!C18</f>
        <v>0</v>
      </c>
      <c r="E50" s="703">
        <f>transport!D18</f>
        <v>34.912413334397357</v>
      </c>
      <c r="F50" s="703">
        <f>transport!E18</f>
        <v>180.66000327702076</v>
      </c>
      <c r="G50" s="703">
        <f>transport!F18</f>
        <v>0</v>
      </c>
      <c r="H50" s="703">
        <f>transport!G18</f>
        <v>91185.641185876884</v>
      </c>
      <c r="I50" s="703">
        <f>transport!H18</f>
        <v>11993.37485091129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103411.18651799693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16.598064597337146</v>
      </c>
      <c r="D52" s="732">
        <f t="shared" ref="D52:Q52" ca="1" si="6">SUM(D48:D51)</f>
        <v>0</v>
      </c>
      <c r="E52" s="732">
        <f t="shared" si="6"/>
        <v>34.912413334397357</v>
      </c>
      <c r="F52" s="732">
        <f t="shared" si="6"/>
        <v>180.66000327702076</v>
      </c>
      <c r="G52" s="732">
        <f t="shared" si="6"/>
        <v>0</v>
      </c>
      <c r="H52" s="732">
        <f t="shared" si="6"/>
        <v>92113.641079875844</v>
      </c>
      <c r="I52" s="732">
        <f t="shared" si="6"/>
        <v>11993.37485091129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104339.18641199591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401.50690564841477</v>
      </c>
      <c r="D54" s="703">
        <f ca="1">+landbouw!C12</f>
        <v>13701.45630252101</v>
      </c>
      <c r="E54" s="703">
        <f>+landbouw!D12</f>
        <v>0</v>
      </c>
      <c r="F54" s="703">
        <f>+landbouw!E12</f>
        <v>11.685054940685614</v>
      </c>
      <c r="G54" s="703">
        <f>+landbouw!F12</f>
        <v>1948.2267027412947</v>
      </c>
      <c r="H54" s="703">
        <f>+landbouw!G12</f>
        <v>0</v>
      </c>
      <c r="I54" s="703">
        <f>+landbouw!H12</f>
        <v>0</v>
      </c>
      <c r="J54" s="703">
        <f>+landbouw!I12</f>
        <v>0</v>
      </c>
      <c r="K54" s="703">
        <f>+landbouw!J12</f>
        <v>101.73561499796756</v>
      </c>
      <c r="L54" s="703">
        <f>+landbouw!K12</f>
        <v>0</v>
      </c>
      <c r="M54" s="703">
        <f>+landbouw!L12</f>
        <v>0</v>
      </c>
      <c r="N54" s="703">
        <f>+landbouw!M12</f>
        <v>0</v>
      </c>
      <c r="O54" s="703">
        <f>+landbouw!N12</f>
        <v>0</v>
      </c>
      <c r="P54" s="703">
        <f>+landbouw!O12</f>
        <v>0</v>
      </c>
      <c r="Q54" s="704">
        <f>+landbouw!P12</f>
        <v>0</v>
      </c>
      <c r="R54" s="731">
        <f ca="1">SUM(C54:Q54)</f>
        <v>16164.610580849374</v>
      </c>
    </row>
    <row r="55" spans="1:18" ht="15" thickBot="1">
      <c r="A55" s="825" t="s">
        <v>848</v>
      </c>
      <c r="B55" s="835"/>
      <c r="C55" s="703">
        <f ca="1">C25*'EF ele_warmte'!B12</f>
        <v>248.4119193811957</v>
      </c>
      <c r="D55" s="703"/>
      <c r="E55" s="703">
        <f>E25*EF_CO2_aardgas</f>
        <v>564.4804282714</v>
      </c>
      <c r="F55" s="703"/>
      <c r="G55" s="703"/>
      <c r="H55" s="703"/>
      <c r="I55" s="703"/>
      <c r="J55" s="703"/>
      <c r="K55" s="703"/>
      <c r="L55" s="703"/>
      <c r="M55" s="703"/>
      <c r="N55" s="703"/>
      <c r="O55" s="703"/>
      <c r="P55" s="703"/>
      <c r="Q55" s="704"/>
      <c r="R55" s="731">
        <f ca="1">SUM(C55:Q55)</f>
        <v>812.89234765259573</v>
      </c>
    </row>
    <row r="56" spans="1:18" ht="15.75" thickBot="1">
      <c r="A56" s="823" t="s">
        <v>849</v>
      </c>
      <c r="B56" s="836"/>
      <c r="C56" s="732">
        <f ca="1">SUM(C54:C55)</f>
        <v>649.9188250296105</v>
      </c>
      <c r="D56" s="732">
        <f t="shared" ref="D56:Q56" ca="1" si="7">SUM(D54:D55)</f>
        <v>13701.45630252101</v>
      </c>
      <c r="E56" s="732">
        <f t="shared" si="7"/>
        <v>564.4804282714</v>
      </c>
      <c r="F56" s="732">
        <f t="shared" si="7"/>
        <v>11.685054940685614</v>
      </c>
      <c r="G56" s="732">
        <f t="shared" si="7"/>
        <v>1948.2267027412947</v>
      </c>
      <c r="H56" s="732">
        <f t="shared" si="7"/>
        <v>0</v>
      </c>
      <c r="I56" s="732">
        <f t="shared" si="7"/>
        <v>0</v>
      </c>
      <c r="J56" s="732">
        <f t="shared" si="7"/>
        <v>0</v>
      </c>
      <c r="K56" s="732">
        <f t="shared" si="7"/>
        <v>101.73561499796756</v>
      </c>
      <c r="L56" s="732">
        <f t="shared" si="7"/>
        <v>0</v>
      </c>
      <c r="M56" s="732">
        <f t="shared" si="7"/>
        <v>0</v>
      </c>
      <c r="N56" s="732">
        <f t="shared" si="7"/>
        <v>0</v>
      </c>
      <c r="O56" s="732">
        <f t="shared" si="7"/>
        <v>0</v>
      </c>
      <c r="P56" s="732">
        <f t="shared" si="7"/>
        <v>0</v>
      </c>
      <c r="Q56" s="733">
        <f t="shared" si="7"/>
        <v>0</v>
      </c>
      <c r="R56" s="734">
        <f ca="1">SUM(R54:R55)</f>
        <v>16977.50292850197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22241.242980786254</v>
      </c>
      <c r="D61" s="740">
        <f t="shared" ref="D61:Q61" ca="1" si="8">D46+D52+D56</f>
        <v>13701.45630252101</v>
      </c>
      <c r="E61" s="740">
        <f t="shared" ca="1" si="8"/>
        <v>48485.408552562956</v>
      </c>
      <c r="F61" s="740">
        <f t="shared" si="8"/>
        <v>1351.3611230312056</v>
      </c>
      <c r="G61" s="740">
        <f t="shared" ca="1" si="8"/>
        <v>6448.0625731123127</v>
      </c>
      <c r="H61" s="740">
        <f t="shared" si="8"/>
        <v>92113.641079875844</v>
      </c>
      <c r="I61" s="740">
        <f t="shared" si="8"/>
        <v>11993.37485091129</v>
      </c>
      <c r="J61" s="740">
        <f t="shared" si="8"/>
        <v>0</v>
      </c>
      <c r="K61" s="740">
        <f t="shared" si="8"/>
        <v>194.74928372885554</v>
      </c>
      <c r="L61" s="740">
        <f t="shared" si="8"/>
        <v>0</v>
      </c>
      <c r="M61" s="740">
        <f t="shared" ca="1" si="8"/>
        <v>0</v>
      </c>
      <c r="N61" s="740">
        <f t="shared" si="8"/>
        <v>0</v>
      </c>
      <c r="O61" s="740">
        <f t="shared" ca="1" si="8"/>
        <v>0</v>
      </c>
      <c r="P61" s="740">
        <f t="shared" si="8"/>
        <v>0</v>
      </c>
      <c r="Q61" s="740">
        <f t="shared" si="8"/>
        <v>0</v>
      </c>
      <c r="R61" s="740">
        <f ca="1">R46+R52+R56</f>
        <v>196529.29674652976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0.2011290481554284</v>
      </c>
      <c r="D63" s="781">
        <f t="shared" ca="1" si="9"/>
        <v>0.19948126680570022</v>
      </c>
      <c r="E63" s="1023">
        <f t="shared" ca="1" si="9"/>
        <v>0.20200000000000004</v>
      </c>
      <c r="F63" s="781">
        <f t="shared" si="9"/>
        <v>0.22700000000000001</v>
      </c>
      <c r="G63" s="781">
        <f t="shared" ca="1" si="9"/>
        <v>0.26699999999999996</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5261.3225237204142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7721.55</v>
      </c>
      <c r="C76" s="750">
        <f>'lokale energieproductie'!B8*IFERROR(SUM(D76:H76)/SUM(D76:O76),0)</f>
        <v>40358.25</v>
      </c>
      <c r="D76" s="1033">
        <f>'lokale energieproductie'!C8</f>
        <v>47480.294117647063</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9084.176470588236</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9591.0194117647079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12982.872523720414</v>
      </c>
      <c r="C78" s="755">
        <f>SUM(C72:C77)</f>
        <v>40358.25</v>
      </c>
      <c r="D78" s="756">
        <f t="shared" ref="D78:H78" si="10">SUM(D76:D77)</f>
        <v>47480.294117647063</v>
      </c>
      <c r="E78" s="756">
        <f t="shared" si="10"/>
        <v>0</v>
      </c>
      <c r="F78" s="756">
        <f t="shared" si="10"/>
        <v>0</v>
      </c>
      <c r="G78" s="756">
        <f t="shared" si="10"/>
        <v>0</v>
      </c>
      <c r="H78" s="756">
        <f t="shared" si="10"/>
        <v>0</v>
      </c>
      <c r="I78" s="756">
        <f>SUM(I76:I77)</f>
        <v>0</v>
      </c>
      <c r="J78" s="756">
        <f>SUM(J76:J77)</f>
        <v>9084.176470588236</v>
      </c>
      <c r="K78" s="756">
        <f t="shared" ref="K78:L78" si="11">SUM(K76:K77)</f>
        <v>0</v>
      </c>
      <c r="L78" s="756">
        <f t="shared" si="11"/>
        <v>0</v>
      </c>
      <c r="M78" s="756">
        <f>SUM(M76:M77)</f>
        <v>0</v>
      </c>
      <c r="N78" s="756">
        <f>SUM(N76:N77)</f>
        <v>0</v>
      </c>
      <c r="O78" s="860">
        <f>SUM(O76:O77)</f>
        <v>0</v>
      </c>
      <c r="P78" s="757">
        <v>0</v>
      </c>
      <c r="Q78" s="757">
        <f>SUM(Q76:Q77)</f>
        <v>9591.0194117647079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11030.785714285716</v>
      </c>
      <c r="C87" s="766">
        <f>'lokale energieproductie'!B17*IFERROR(SUM(D87:H87)/SUM(D87:O87),0)</f>
        <v>57654.642857142862</v>
      </c>
      <c r="D87" s="777">
        <f>'lokale energieproductie'!C17</f>
        <v>67828.991596638662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12977.394957983195</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13701.45630252101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11030.785714285716</v>
      </c>
      <c r="C90" s="755">
        <f>SUM(C87:C89)</f>
        <v>57654.642857142862</v>
      </c>
      <c r="D90" s="755">
        <f t="shared" ref="D90:H90" si="12">SUM(D87:D89)</f>
        <v>67828.991596638662</v>
      </c>
      <c r="E90" s="755">
        <f t="shared" si="12"/>
        <v>0</v>
      </c>
      <c r="F90" s="755">
        <f t="shared" si="12"/>
        <v>0</v>
      </c>
      <c r="G90" s="755">
        <f t="shared" si="12"/>
        <v>0</v>
      </c>
      <c r="H90" s="755">
        <f t="shared" si="12"/>
        <v>0</v>
      </c>
      <c r="I90" s="755">
        <f>SUM(I87:I89)</f>
        <v>0</v>
      </c>
      <c r="J90" s="755">
        <f>SUM(J87:J89)</f>
        <v>12977.394957983195</v>
      </c>
      <c r="K90" s="755">
        <f t="shared" ref="K90:L90" si="13">SUM(K87:K89)</f>
        <v>0</v>
      </c>
      <c r="L90" s="755">
        <f t="shared" si="13"/>
        <v>0</v>
      </c>
      <c r="M90" s="755">
        <f>SUM(M87:M89)</f>
        <v>0</v>
      </c>
      <c r="N90" s="755">
        <f>SUM(N87:N89)</f>
        <v>0</v>
      </c>
      <c r="O90" s="755">
        <f>SUM(O87:O89)</f>
        <v>0</v>
      </c>
      <c r="P90" s="755">
        <v>0</v>
      </c>
      <c r="Q90" s="755">
        <f>SUM(Q87:Q89)</f>
        <v>13701.45630252101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5261.3225237204142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48079.8</v>
      </c>
      <c r="C8" s="570">
        <f>B101</f>
        <v>47480.294117647063</v>
      </c>
      <c r="D8" s="1043"/>
      <c r="E8" s="1043">
        <f>E101</f>
        <v>0</v>
      </c>
      <c r="F8" s="1044"/>
      <c r="G8" s="571"/>
      <c r="H8" s="1043">
        <f>I101</f>
        <v>0</v>
      </c>
      <c r="I8" s="1043">
        <f>G101+F101</f>
        <v>0</v>
      </c>
      <c r="J8" s="1043">
        <f>H101+D101+C101</f>
        <v>9084.176470588236</v>
      </c>
      <c r="K8" s="1043"/>
      <c r="L8" s="1043"/>
      <c r="M8" s="1043"/>
      <c r="N8" s="572"/>
      <c r="O8" s="573">
        <f>C8*$C$12+D8*$D$12+E8*$E$12+F8*$F$12+G8*$G$12+H8*$H$12+I8*$I$12+J8*$J$12</f>
        <v>9591.0194117647079</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53341.12252372042</v>
      </c>
      <c r="C10" s="583">
        <f t="shared" ref="C10:L10" si="0">SUM(C8:C9)</f>
        <v>47480.294117647063</v>
      </c>
      <c r="D10" s="583">
        <f t="shared" si="0"/>
        <v>0</v>
      </c>
      <c r="E10" s="583">
        <f t="shared" si="0"/>
        <v>0</v>
      </c>
      <c r="F10" s="583">
        <f t="shared" si="0"/>
        <v>0</v>
      </c>
      <c r="G10" s="583">
        <f t="shared" si="0"/>
        <v>0</v>
      </c>
      <c r="H10" s="583">
        <f t="shared" si="0"/>
        <v>0</v>
      </c>
      <c r="I10" s="583">
        <f t="shared" si="0"/>
        <v>0</v>
      </c>
      <c r="J10" s="583">
        <f t="shared" si="0"/>
        <v>9084.176470588236</v>
      </c>
      <c r="K10" s="583">
        <f t="shared" si="0"/>
        <v>0</v>
      </c>
      <c r="L10" s="583">
        <f t="shared" si="0"/>
        <v>0</v>
      </c>
      <c r="M10" s="1046"/>
      <c r="N10" s="1046"/>
      <c r="O10" s="584">
        <f>SUM(O4:O9)</f>
        <v>9591.0194117647079</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68685.42857142858</v>
      </c>
      <c r="C17" s="595">
        <f>B102</f>
        <v>67828.991596638662</v>
      </c>
      <c r="D17" s="596"/>
      <c r="E17" s="596">
        <f>E102</f>
        <v>0</v>
      </c>
      <c r="F17" s="1049"/>
      <c r="G17" s="597"/>
      <c r="H17" s="595">
        <f>I102</f>
        <v>0</v>
      </c>
      <c r="I17" s="596">
        <f>G102+F102</f>
        <v>0</v>
      </c>
      <c r="J17" s="596">
        <f>H102+D102+C102</f>
        <v>12977.394957983195</v>
      </c>
      <c r="K17" s="596"/>
      <c r="L17" s="596"/>
      <c r="M17" s="596"/>
      <c r="N17" s="1050"/>
      <c r="O17" s="598">
        <f>C17*$C$22+E17*$E$22+H17*$H$22+I17*$I$22+J17*$J$22+D17*$D$22+F17*$F$22+G17*$G$22+K17*$K$22+L17*$L$22</f>
        <v>13701.45630252101</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68685.42857142858</v>
      </c>
      <c r="C20" s="582">
        <f>SUM(C17:C19)</f>
        <v>67828.991596638662</v>
      </c>
      <c r="D20" s="582">
        <f t="shared" ref="D20:L20" si="1">SUM(D17:D19)</f>
        <v>0</v>
      </c>
      <c r="E20" s="582">
        <f t="shared" si="1"/>
        <v>0</v>
      </c>
      <c r="F20" s="582">
        <f t="shared" si="1"/>
        <v>0</v>
      </c>
      <c r="G20" s="582">
        <f t="shared" si="1"/>
        <v>0</v>
      </c>
      <c r="H20" s="582">
        <f t="shared" si="1"/>
        <v>0</v>
      </c>
      <c r="I20" s="582">
        <f t="shared" si="1"/>
        <v>0</v>
      </c>
      <c r="J20" s="582">
        <f t="shared" si="1"/>
        <v>12977.394957983195</v>
      </c>
      <c r="K20" s="582">
        <f t="shared" si="1"/>
        <v>0</v>
      </c>
      <c r="L20" s="582">
        <f t="shared" si="1"/>
        <v>0</v>
      </c>
      <c r="M20" s="582"/>
      <c r="N20" s="582"/>
      <c r="O20" s="601">
        <f>SUM(O17:O19)</f>
        <v>13701.45630252101</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11035</v>
      </c>
      <c r="C28" s="796">
        <v>2520</v>
      </c>
      <c r="D28" s="653" t="s">
        <v>890</v>
      </c>
      <c r="E28" s="652" t="s">
        <v>891</v>
      </c>
      <c r="F28" s="652" t="s">
        <v>892</v>
      </c>
      <c r="G28" s="652" t="s">
        <v>893</v>
      </c>
      <c r="H28" s="652" t="s">
        <v>894</v>
      </c>
      <c r="I28" s="652" t="s">
        <v>891</v>
      </c>
      <c r="J28" s="795">
        <v>41043</v>
      </c>
      <c r="K28" s="795">
        <v>39083</v>
      </c>
      <c r="L28" s="652" t="s">
        <v>895</v>
      </c>
      <c r="M28" s="652">
        <v>1817</v>
      </c>
      <c r="N28" s="652">
        <v>8176.5</v>
      </c>
      <c r="O28" s="652">
        <v>11680.714285714286</v>
      </c>
      <c r="P28" s="652">
        <v>23361.428571428572</v>
      </c>
      <c r="Q28" s="652">
        <v>0</v>
      </c>
      <c r="R28" s="652">
        <v>0</v>
      </c>
      <c r="S28" s="652">
        <v>0</v>
      </c>
      <c r="T28" s="652">
        <v>0</v>
      </c>
      <c r="U28" s="652">
        <v>0</v>
      </c>
      <c r="V28" s="652">
        <v>0</v>
      </c>
      <c r="W28" s="652">
        <v>0</v>
      </c>
      <c r="X28" s="652">
        <v>10</v>
      </c>
      <c r="Y28" s="652" t="s">
        <v>112</v>
      </c>
      <c r="Z28" s="654" t="s">
        <v>112</v>
      </c>
    </row>
    <row r="29" spans="1:26" s="606" customFormat="1" ht="38.25">
      <c r="A29" s="605"/>
      <c r="B29" s="796">
        <v>11035</v>
      </c>
      <c r="C29" s="796">
        <v>2520</v>
      </c>
      <c r="D29" s="653" t="s">
        <v>896</v>
      </c>
      <c r="E29" s="652" t="s">
        <v>897</v>
      </c>
      <c r="F29" s="652" t="s">
        <v>898</v>
      </c>
      <c r="G29" s="652" t="s">
        <v>893</v>
      </c>
      <c r="H29" s="652" t="s">
        <v>894</v>
      </c>
      <c r="I29" s="652" t="s">
        <v>897</v>
      </c>
      <c r="J29" s="795">
        <v>39853</v>
      </c>
      <c r="K29" s="795">
        <v>39853</v>
      </c>
      <c r="L29" s="652" t="s">
        <v>895</v>
      </c>
      <c r="M29" s="652">
        <v>2016</v>
      </c>
      <c r="N29" s="652">
        <v>9072</v>
      </c>
      <c r="O29" s="652">
        <v>12960</v>
      </c>
      <c r="P29" s="652">
        <v>25920</v>
      </c>
      <c r="Q29" s="652">
        <v>0</v>
      </c>
      <c r="R29" s="652">
        <v>0</v>
      </c>
      <c r="S29" s="652">
        <v>0</v>
      </c>
      <c r="T29" s="652">
        <v>0</v>
      </c>
      <c r="U29" s="652">
        <v>0</v>
      </c>
      <c r="V29" s="652">
        <v>0</v>
      </c>
      <c r="W29" s="652">
        <v>0</v>
      </c>
      <c r="X29" s="652">
        <v>10</v>
      </c>
      <c r="Y29" s="652" t="s">
        <v>112</v>
      </c>
      <c r="Z29" s="654" t="s">
        <v>112</v>
      </c>
    </row>
    <row r="30" spans="1:26" s="606" customFormat="1" ht="25.5">
      <c r="A30" s="605"/>
      <c r="B30" s="796">
        <v>11035</v>
      </c>
      <c r="C30" s="796">
        <v>2520</v>
      </c>
      <c r="D30" s="653" t="s">
        <v>899</v>
      </c>
      <c r="E30" s="652" t="s">
        <v>900</v>
      </c>
      <c r="F30" s="652" t="s">
        <v>901</v>
      </c>
      <c r="G30" s="652" t="s">
        <v>893</v>
      </c>
      <c r="H30" s="652" t="s">
        <v>894</v>
      </c>
      <c r="I30" s="652" t="s">
        <v>900</v>
      </c>
      <c r="J30" s="795">
        <v>39895</v>
      </c>
      <c r="K30" s="795">
        <v>39895</v>
      </c>
      <c r="L30" s="652" t="s">
        <v>895</v>
      </c>
      <c r="M30" s="652">
        <v>1635</v>
      </c>
      <c r="N30" s="652">
        <v>7357.5</v>
      </c>
      <c r="O30" s="652">
        <v>10510.714285714286</v>
      </c>
      <c r="P30" s="652">
        <v>21021.428571428572</v>
      </c>
      <c r="Q30" s="652">
        <v>0</v>
      </c>
      <c r="R30" s="652">
        <v>0</v>
      </c>
      <c r="S30" s="652">
        <v>0</v>
      </c>
      <c r="T30" s="652">
        <v>0</v>
      </c>
      <c r="U30" s="652">
        <v>0</v>
      </c>
      <c r="V30" s="652">
        <v>0</v>
      </c>
      <c r="W30" s="652">
        <v>0</v>
      </c>
      <c r="X30" s="652">
        <v>10</v>
      </c>
      <c r="Y30" s="652" t="s">
        <v>112</v>
      </c>
      <c r="Z30" s="654" t="s">
        <v>112</v>
      </c>
    </row>
    <row r="31" spans="1:26" s="606" customFormat="1" ht="25.5">
      <c r="A31" s="605"/>
      <c r="B31" s="796">
        <v>11035</v>
      </c>
      <c r="C31" s="796">
        <v>2520</v>
      </c>
      <c r="D31" s="653" t="s">
        <v>902</v>
      </c>
      <c r="E31" s="652" t="s">
        <v>903</v>
      </c>
      <c r="F31" s="652" t="s">
        <v>904</v>
      </c>
      <c r="G31" s="652" t="s">
        <v>893</v>
      </c>
      <c r="H31" s="652" t="s">
        <v>894</v>
      </c>
      <c r="I31" s="652" t="s">
        <v>903</v>
      </c>
      <c r="J31" s="795">
        <v>40163</v>
      </c>
      <c r="K31" s="795">
        <v>40163</v>
      </c>
      <c r="L31" s="652" t="s">
        <v>895</v>
      </c>
      <c r="M31" s="652">
        <v>1127</v>
      </c>
      <c r="N31" s="652">
        <v>5071.5</v>
      </c>
      <c r="O31" s="652">
        <v>7245</v>
      </c>
      <c r="P31" s="652">
        <v>14490.000000000002</v>
      </c>
      <c r="Q31" s="652">
        <v>0</v>
      </c>
      <c r="R31" s="652">
        <v>0</v>
      </c>
      <c r="S31" s="652">
        <v>0</v>
      </c>
      <c r="T31" s="652">
        <v>0</v>
      </c>
      <c r="U31" s="652">
        <v>0</v>
      </c>
      <c r="V31" s="652">
        <v>0</v>
      </c>
      <c r="W31" s="652">
        <v>0</v>
      </c>
      <c r="X31" s="652">
        <v>10</v>
      </c>
      <c r="Y31" s="652" t="s">
        <v>112</v>
      </c>
      <c r="Z31" s="654" t="s">
        <v>112</v>
      </c>
    </row>
    <row r="32" spans="1:26" s="606" customFormat="1" ht="25.5">
      <c r="A32" s="605"/>
      <c r="B32" s="796">
        <v>11035</v>
      </c>
      <c r="C32" s="796">
        <v>2520</v>
      </c>
      <c r="D32" s="653" t="s">
        <v>905</v>
      </c>
      <c r="E32" s="652" t="s">
        <v>906</v>
      </c>
      <c r="F32" s="652" t="s">
        <v>907</v>
      </c>
      <c r="G32" s="652" t="s">
        <v>893</v>
      </c>
      <c r="H32" s="652" t="s">
        <v>894</v>
      </c>
      <c r="I32" s="652" t="s">
        <v>906</v>
      </c>
      <c r="J32" s="795">
        <v>40259</v>
      </c>
      <c r="K32" s="795">
        <v>40259</v>
      </c>
      <c r="L32" s="652" t="s">
        <v>895</v>
      </c>
      <c r="M32" s="652">
        <v>1008</v>
      </c>
      <c r="N32" s="652">
        <v>4536</v>
      </c>
      <c r="O32" s="652">
        <v>6480</v>
      </c>
      <c r="P32" s="652">
        <v>12960</v>
      </c>
      <c r="Q32" s="652">
        <v>0</v>
      </c>
      <c r="R32" s="652">
        <v>0</v>
      </c>
      <c r="S32" s="652">
        <v>0</v>
      </c>
      <c r="T32" s="652">
        <v>0</v>
      </c>
      <c r="U32" s="652">
        <v>0</v>
      </c>
      <c r="V32" s="652">
        <v>0</v>
      </c>
      <c r="W32" s="652">
        <v>0</v>
      </c>
      <c r="X32" s="652">
        <v>10</v>
      </c>
      <c r="Y32" s="652" t="s">
        <v>112</v>
      </c>
      <c r="Z32" s="654" t="s">
        <v>112</v>
      </c>
    </row>
    <row r="33" spans="1:26" s="606" customFormat="1" ht="25.5">
      <c r="A33" s="605"/>
      <c r="B33" s="796">
        <v>11035</v>
      </c>
      <c r="C33" s="796">
        <v>2520</v>
      </c>
      <c r="D33" s="653" t="s">
        <v>908</v>
      </c>
      <c r="E33" s="652" t="s">
        <v>909</v>
      </c>
      <c r="F33" s="652" t="s">
        <v>910</v>
      </c>
      <c r="G33" s="652" t="s">
        <v>893</v>
      </c>
      <c r="H33" s="652" t="s">
        <v>894</v>
      </c>
      <c r="I33" s="652" t="s">
        <v>911</v>
      </c>
      <c r="J33" s="795">
        <v>40434</v>
      </c>
      <c r="K33" s="795">
        <v>40434</v>
      </c>
      <c r="L33" s="652" t="s">
        <v>895</v>
      </c>
      <c r="M33" s="652">
        <v>2262</v>
      </c>
      <c r="N33" s="652">
        <v>10179</v>
      </c>
      <c r="O33" s="652">
        <v>14541.428571428572</v>
      </c>
      <c r="P33" s="652">
        <v>7270.7142857142862</v>
      </c>
      <c r="Q33" s="652">
        <v>21812.142857142859</v>
      </c>
      <c r="R33" s="652">
        <v>0</v>
      </c>
      <c r="S33" s="652">
        <v>0</v>
      </c>
      <c r="T33" s="652">
        <v>0</v>
      </c>
      <c r="U33" s="652">
        <v>0</v>
      </c>
      <c r="V33" s="652">
        <v>0</v>
      </c>
      <c r="W33" s="652">
        <v>0</v>
      </c>
      <c r="X33" s="652">
        <v>10</v>
      </c>
      <c r="Y33" s="652" t="s">
        <v>112</v>
      </c>
      <c r="Z33" s="654" t="s">
        <v>112</v>
      </c>
    </row>
    <row r="34" spans="1:26" s="606" customFormat="1" ht="25.5">
      <c r="A34" s="605"/>
      <c r="B34" s="796">
        <v>11035</v>
      </c>
      <c r="C34" s="796">
        <v>2520</v>
      </c>
      <c r="D34" s="653" t="s">
        <v>912</v>
      </c>
      <c r="E34" s="652" t="s">
        <v>913</v>
      </c>
      <c r="F34" s="652" t="s">
        <v>914</v>
      </c>
      <c r="G34" s="652" t="s">
        <v>893</v>
      </c>
      <c r="H34" s="652" t="s">
        <v>894</v>
      </c>
      <c r="I34" s="652" t="s">
        <v>913</v>
      </c>
      <c r="J34" s="795">
        <v>40568</v>
      </c>
      <c r="K34" s="795">
        <v>40570</v>
      </c>
      <c r="L34" s="652" t="s">
        <v>895</v>
      </c>
      <c r="M34" s="652">
        <v>800</v>
      </c>
      <c r="N34" s="652">
        <v>3600</v>
      </c>
      <c r="O34" s="652">
        <v>5142.8571428571431</v>
      </c>
      <c r="P34" s="652">
        <v>10285.714285714286</v>
      </c>
      <c r="Q34" s="652">
        <v>0</v>
      </c>
      <c r="R34" s="652">
        <v>0</v>
      </c>
      <c r="S34" s="652">
        <v>0</v>
      </c>
      <c r="T34" s="652">
        <v>0</v>
      </c>
      <c r="U34" s="652">
        <v>0</v>
      </c>
      <c r="V34" s="652">
        <v>0</v>
      </c>
      <c r="W34" s="652">
        <v>0</v>
      </c>
      <c r="X34" s="652">
        <v>10</v>
      </c>
      <c r="Y34" s="652" t="s">
        <v>112</v>
      </c>
      <c r="Z34" s="654" t="s">
        <v>112</v>
      </c>
    </row>
    <row r="35" spans="1:26" s="606" customFormat="1" ht="25.5">
      <c r="A35" s="605"/>
      <c r="B35" s="796">
        <v>11035</v>
      </c>
      <c r="C35" s="796">
        <v>2520</v>
      </c>
      <c r="D35" s="653"/>
      <c r="E35" s="652"/>
      <c r="F35" s="652" t="s">
        <v>915</v>
      </c>
      <c r="G35" s="652" t="s">
        <v>893</v>
      </c>
      <c r="H35" s="652" t="s">
        <v>894</v>
      </c>
      <c r="I35" s="652" t="s">
        <v>916</v>
      </c>
      <c r="J35" s="795">
        <v>41627</v>
      </c>
      <c r="K35" s="795">
        <v>41627</v>
      </c>
      <c r="L35" s="652" t="s">
        <v>895</v>
      </c>
      <c r="M35" s="652">
        <v>19.399999999999999</v>
      </c>
      <c r="N35" s="652">
        <v>87.299999999999983</v>
      </c>
      <c r="O35" s="652">
        <v>124.71428571428569</v>
      </c>
      <c r="P35" s="652">
        <v>0</v>
      </c>
      <c r="Q35" s="652">
        <v>249.42857142857139</v>
      </c>
      <c r="R35" s="652">
        <v>0</v>
      </c>
      <c r="S35" s="652">
        <v>0</v>
      </c>
      <c r="T35" s="652">
        <v>0</v>
      </c>
      <c r="U35" s="652">
        <v>0</v>
      </c>
      <c r="V35" s="652">
        <v>0</v>
      </c>
      <c r="W35" s="652">
        <v>0</v>
      </c>
      <c r="X35" s="652">
        <v>10</v>
      </c>
      <c r="Y35" s="652" t="s">
        <v>112</v>
      </c>
      <c r="Z35" s="654" t="s">
        <v>112</v>
      </c>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10684.4</v>
      </c>
      <c r="N58" s="610">
        <f>SUM(N28:N57)</f>
        <v>48079.8</v>
      </c>
      <c r="O58" s="610">
        <f t="shared" ref="O58:W58" si="2">SUM(O28:O57)</f>
        <v>68685.42857142858</v>
      </c>
      <c r="P58" s="610">
        <f t="shared" si="2"/>
        <v>115309.28571428572</v>
      </c>
      <c r="Q58" s="610">
        <f t="shared" si="2"/>
        <v>22061.571428571431</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10684.4</v>
      </c>
      <c r="N61" s="615">
        <f t="shared" si="4"/>
        <v>48079.8</v>
      </c>
      <c r="O61" s="615">
        <f t="shared" si="4"/>
        <v>68685.42857142858</v>
      </c>
      <c r="P61" s="615">
        <f t="shared" si="4"/>
        <v>115309.28571428572</v>
      </c>
      <c r="Q61" s="615">
        <f t="shared" si="4"/>
        <v>22061.571428571431</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47480.294117647063</v>
      </c>
      <c r="C101" s="644">
        <f t="shared" si="9"/>
        <v>9084.176470588236</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67828.991596638662</v>
      </c>
      <c r="C102" s="647">
        <f t="shared" si="10"/>
        <v>12977.394957983195</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35057.626942342336</v>
      </c>
      <c r="C4" s="477">
        <f>huishoudens!C8</f>
        <v>0</v>
      </c>
      <c r="D4" s="477">
        <f>huishoudens!D8</f>
        <v>86127.723589182002</v>
      </c>
      <c r="E4" s="477">
        <f>huishoudens!E8</f>
        <v>2560.8244618533536</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21066.361113878782</v>
      </c>
      <c r="O4" s="477">
        <f>huishoudens!O8</f>
        <v>292.34333333333331</v>
      </c>
      <c r="P4" s="478">
        <f>huishoudens!P8</f>
        <v>1201.2</v>
      </c>
      <c r="Q4" s="479">
        <f>SUM(B4:P4)</f>
        <v>146306.07944058982</v>
      </c>
    </row>
    <row r="5" spans="1:17">
      <c r="A5" s="476" t="s">
        <v>156</v>
      </c>
      <c r="B5" s="477">
        <f ca="1">tertiair!B16</f>
        <v>36523.635849090002</v>
      </c>
      <c r="C5" s="477">
        <f ca="1">tertiair!C16</f>
        <v>0</v>
      </c>
      <c r="D5" s="477">
        <f ca="1">tertiair!D16</f>
        <v>48555.044536824542</v>
      </c>
      <c r="E5" s="477">
        <f>tertiair!E16</f>
        <v>448.56098282295721</v>
      </c>
      <c r="F5" s="477">
        <f ca="1">tertiair!F16</f>
        <v>8532.2002220325976</v>
      </c>
      <c r="G5" s="477">
        <f>tertiair!G16</f>
        <v>0</v>
      </c>
      <c r="H5" s="477">
        <f>tertiair!H16</f>
        <v>0</v>
      </c>
      <c r="I5" s="477">
        <f>tertiair!I16</f>
        <v>0</v>
      </c>
      <c r="J5" s="477">
        <f>tertiair!J16</f>
        <v>0</v>
      </c>
      <c r="K5" s="477">
        <f>tertiair!K16</f>
        <v>0</v>
      </c>
      <c r="L5" s="477">
        <f ca="1">tertiair!L16</f>
        <v>0</v>
      </c>
      <c r="M5" s="477">
        <f>tertiair!M16</f>
        <v>0</v>
      </c>
      <c r="N5" s="477">
        <f ca="1">tertiair!N16</f>
        <v>14606.116401975052</v>
      </c>
      <c r="O5" s="477">
        <f>tertiair!O16</f>
        <v>1.5633333333333335</v>
      </c>
      <c r="P5" s="478">
        <f>tertiair!P16</f>
        <v>19.066666666666666</v>
      </c>
      <c r="Q5" s="476">
        <f t="shared" ref="Q5:Q14" ca="1" si="0">SUM(B5:P5)</f>
        <v>108686.18799274517</v>
      </c>
    </row>
    <row r="6" spans="1:17">
      <c r="A6" s="476" t="s">
        <v>194</v>
      </c>
      <c r="B6" s="477">
        <f>'openbare verlichting'!B8</f>
        <v>1433.0630000000001</v>
      </c>
      <c r="C6" s="477"/>
      <c r="D6" s="477"/>
      <c r="E6" s="477"/>
      <c r="F6" s="477"/>
      <c r="G6" s="477"/>
      <c r="H6" s="477"/>
      <c r="I6" s="477"/>
      <c r="J6" s="477"/>
      <c r="K6" s="477"/>
      <c r="L6" s="477"/>
      <c r="M6" s="477"/>
      <c r="N6" s="477"/>
      <c r="O6" s="477"/>
      <c r="P6" s="478"/>
      <c r="Q6" s="476">
        <f t="shared" si="0"/>
        <v>1433.0630000000001</v>
      </c>
    </row>
    <row r="7" spans="1:17">
      <c r="A7" s="476" t="s">
        <v>112</v>
      </c>
      <c r="B7" s="477">
        <f>landbouw!B8</f>
        <v>1996.2651309230002</v>
      </c>
      <c r="C7" s="477">
        <f>landbouw!C8</f>
        <v>68685.42857142858</v>
      </c>
      <c r="D7" s="477">
        <f>landbouw!D8</f>
        <v>0</v>
      </c>
      <c r="E7" s="477">
        <f>landbouw!E8</f>
        <v>51.476012954562172</v>
      </c>
      <c r="F7" s="477">
        <f>landbouw!F8</f>
        <v>7296.729223750167</v>
      </c>
      <c r="G7" s="477">
        <f>landbouw!G8</f>
        <v>0</v>
      </c>
      <c r="H7" s="477">
        <f>landbouw!H8</f>
        <v>0</v>
      </c>
      <c r="I7" s="477">
        <f>landbouw!I8</f>
        <v>0</v>
      </c>
      <c r="J7" s="477">
        <f>landbouw!J8</f>
        <v>287.38874293211177</v>
      </c>
      <c r="K7" s="477">
        <f>landbouw!K8</f>
        <v>0</v>
      </c>
      <c r="L7" s="477">
        <f>landbouw!L8</f>
        <v>0</v>
      </c>
      <c r="M7" s="477">
        <f>landbouw!M8</f>
        <v>0</v>
      </c>
      <c r="N7" s="477">
        <f>landbouw!N8</f>
        <v>0</v>
      </c>
      <c r="O7" s="477">
        <f>landbouw!O8</f>
        <v>0</v>
      </c>
      <c r="P7" s="478">
        <f>landbouw!P8</f>
        <v>0</v>
      </c>
      <c r="Q7" s="476">
        <f t="shared" si="0"/>
        <v>78317.287681988426</v>
      </c>
    </row>
    <row r="8" spans="1:17">
      <c r="A8" s="476" t="s">
        <v>638</v>
      </c>
      <c r="B8" s="477">
        <f>industrie!B18</f>
        <v>34253.750545739997</v>
      </c>
      <c r="C8" s="477">
        <f>industrie!C18</f>
        <v>0</v>
      </c>
      <c r="D8" s="477">
        <f>industrie!D18</f>
        <v>102376.7155916031</v>
      </c>
      <c r="E8" s="477">
        <f>industrie!E18</f>
        <v>2096.4121976739061</v>
      </c>
      <c r="F8" s="477">
        <f>industrie!F18</f>
        <v>8321.1176445255242</v>
      </c>
      <c r="G8" s="477">
        <f>industrie!G18</f>
        <v>0</v>
      </c>
      <c r="H8" s="477">
        <f>industrie!H18</f>
        <v>0</v>
      </c>
      <c r="I8" s="477">
        <f>industrie!I18</f>
        <v>0</v>
      </c>
      <c r="J8" s="477">
        <f>industrie!J18</f>
        <v>262.75047664092654</v>
      </c>
      <c r="K8" s="477">
        <f>industrie!K18</f>
        <v>0</v>
      </c>
      <c r="L8" s="477">
        <f>industrie!L18</f>
        <v>0</v>
      </c>
      <c r="M8" s="477">
        <f>industrie!M18</f>
        <v>0</v>
      </c>
      <c r="N8" s="477">
        <f>industrie!N18</f>
        <v>7072.5192471757127</v>
      </c>
      <c r="O8" s="477">
        <f>industrie!O18</f>
        <v>0</v>
      </c>
      <c r="P8" s="478">
        <f>industrie!P18</f>
        <v>0</v>
      </c>
      <c r="Q8" s="476">
        <f t="shared" si="0"/>
        <v>154383.26570335915</v>
      </c>
    </row>
    <row r="9" spans="1:17" s="482" customFormat="1">
      <c r="A9" s="480" t="s">
        <v>564</v>
      </c>
      <c r="B9" s="481">
        <f>transport!B14</f>
        <v>82.524452581859293</v>
      </c>
      <c r="C9" s="481">
        <f>transport!C14</f>
        <v>0</v>
      </c>
      <c r="D9" s="481">
        <f>transport!D14</f>
        <v>172.83372937820474</v>
      </c>
      <c r="E9" s="481">
        <f>transport!E14</f>
        <v>795.85904527321918</v>
      </c>
      <c r="F9" s="481">
        <f>transport!F14</f>
        <v>0</v>
      </c>
      <c r="G9" s="481">
        <f>transport!G14</f>
        <v>341519.25537781604</v>
      </c>
      <c r="H9" s="481">
        <f>transport!H14</f>
        <v>48166.164059884701</v>
      </c>
      <c r="I9" s="481">
        <f>transport!I14</f>
        <v>0</v>
      </c>
      <c r="J9" s="481">
        <f>transport!J14</f>
        <v>0</v>
      </c>
      <c r="K9" s="481">
        <f>transport!K14</f>
        <v>0</v>
      </c>
      <c r="L9" s="481">
        <f>transport!L14</f>
        <v>0</v>
      </c>
      <c r="M9" s="481">
        <f>transport!M14</f>
        <v>12202.09880574644</v>
      </c>
      <c r="N9" s="481">
        <f>transport!N14</f>
        <v>0</v>
      </c>
      <c r="O9" s="481">
        <f>transport!O14</f>
        <v>0</v>
      </c>
      <c r="P9" s="481">
        <f>transport!P14</f>
        <v>0</v>
      </c>
      <c r="Q9" s="480">
        <f>SUM(B9:P9)</f>
        <v>402938.7354706804</v>
      </c>
    </row>
    <row r="10" spans="1:17">
      <c r="A10" s="476" t="s">
        <v>554</v>
      </c>
      <c r="B10" s="477">
        <f>transport!B54</f>
        <v>0</v>
      </c>
      <c r="C10" s="477">
        <f>transport!C54</f>
        <v>0</v>
      </c>
      <c r="D10" s="477">
        <f>transport!D54</f>
        <v>0</v>
      </c>
      <c r="E10" s="477">
        <f>transport!E54</f>
        <v>0</v>
      </c>
      <c r="F10" s="477">
        <f>transport!F54</f>
        <v>0</v>
      </c>
      <c r="G10" s="477">
        <f>transport!G54</f>
        <v>3475.6550337039971</v>
      </c>
      <c r="H10" s="477">
        <f>transport!H54</f>
        <v>0</v>
      </c>
      <c r="I10" s="477">
        <f>transport!I54</f>
        <v>0</v>
      </c>
      <c r="J10" s="477">
        <f>transport!J54</f>
        <v>0</v>
      </c>
      <c r="K10" s="477">
        <f>transport!K54</f>
        <v>0</v>
      </c>
      <c r="L10" s="477">
        <f>transport!L54</f>
        <v>0</v>
      </c>
      <c r="M10" s="477">
        <f>transport!M54</f>
        <v>107.80704347231206</v>
      </c>
      <c r="N10" s="477">
        <f>transport!N54</f>
        <v>0</v>
      </c>
      <c r="O10" s="477">
        <f>transport!O54</f>
        <v>0</v>
      </c>
      <c r="P10" s="478">
        <f>transport!P54</f>
        <v>0</v>
      </c>
      <c r="Q10" s="476">
        <f t="shared" si="0"/>
        <v>3583.4620771763093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1235.0872320999999</v>
      </c>
      <c r="C14" s="484"/>
      <c r="D14" s="484">
        <f>'SEAP template'!E25</f>
        <v>2794.4575657</v>
      </c>
      <c r="E14" s="484"/>
      <c r="F14" s="484"/>
      <c r="G14" s="484"/>
      <c r="H14" s="484"/>
      <c r="I14" s="484"/>
      <c r="J14" s="484"/>
      <c r="K14" s="484"/>
      <c r="L14" s="484"/>
      <c r="M14" s="484"/>
      <c r="N14" s="484"/>
      <c r="O14" s="484"/>
      <c r="P14" s="485"/>
      <c r="Q14" s="476">
        <f t="shared" si="0"/>
        <v>4029.5447978000002</v>
      </c>
    </row>
    <row r="15" spans="1:17" s="486" customFormat="1">
      <c r="A15" s="1038" t="s">
        <v>558</v>
      </c>
      <c r="B15" s="978">
        <f ca="1">SUM(B4:B14)</f>
        <v>110581.95315277719</v>
      </c>
      <c r="C15" s="978">
        <f t="shared" ref="C15:Q15" ca="1" si="1">SUM(C4:C14)</f>
        <v>68685.42857142858</v>
      </c>
      <c r="D15" s="978">
        <f t="shared" ca="1" si="1"/>
        <v>240026.77501268784</v>
      </c>
      <c r="E15" s="978">
        <f t="shared" si="1"/>
        <v>5953.1327005779985</v>
      </c>
      <c r="F15" s="978">
        <f t="shared" ca="1" si="1"/>
        <v>24150.04709030829</v>
      </c>
      <c r="G15" s="978">
        <f t="shared" si="1"/>
        <v>344994.91041152005</v>
      </c>
      <c r="H15" s="978">
        <f t="shared" si="1"/>
        <v>48166.164059884701</v>
      </c>
      <c r="I15" s="978">
        <f t="shared" si="1"/>
        <v>0</v>
      </c>
      <c r="J15" s="978">
        <f t="shared" si="1"/>
        <v>550.1392195730383</v>
      </c>
      <c r="K15" s="978">
        <f t="shared" si="1"/>
        <v>0</v>
      </c>
      <c r="L15" s="978">
        <f t="shared" ca="1" si="1"/>
        <v>0</v>
      </c>
      <c r="M15" s="978">
        <f t="shared" si="1"/>
        <v>12309.905849218752</v>
      </c>
      <c r="N15" s="978">
        <f t="shared" ca="1" si="1"/>
        <v>42744.996763029543</v>
      </c>
      <c r="O15" s="978">
        <f t="shared" si="1"/>
        <v>293.90666666666664</v>
      </c>
      <c r="P15" s="978">
        <f t="shared" si="1"/>
        <v>1220.2666666666667</v>
      </c>
      <c r="Q15" s="978">
        <f t="shared" ca="1" si="1"/>
        <v>899677.62616433937</v>
      </c>
    </row>
    <row r="17" spans="1:17">
      <c r="A17" s="487" t="s">
        <v>559</v>
      </c>
      <c r="B17" s="786">
        <f ca="1">huishoudens!B10</f>
        <v>0.20112904815542842</v>
      </c>
      <c r="C17" s="786">
        <f ca="1">huishoudens!C10</f>
        <v>0.19948126680570022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7051.1071375014171</v>
      </c>
      <c r="C22" s="477">
        <f t="shared" ref="C22:C32" ca="1" si="3">C4*$C$17</f>
        <v>0</v>
      </c>
      <c r="D22" s="477">
        <f t="shared" ref="D22:D32" si="4">D4*$D$17</f>
        <v>17397.800165014767</v>
      </c>
      <c r="E22" s="477">
        <f t="shared" ref="E22:E32" si="5">E4*$E$17</f>
        <v>581.3071528407113</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25030.214455356898</v>
      </c>
    </row>
    <row r="23" spans="1:17">
      <c r="A23" s="476" t="s">
        <v>156</v>
      </c>
      <c r="B23" s="477">
        <f t="shared" ca="1" si="2"/>
        <v>7345.9641135029551</v>
      </c>
      <c r="C23" s="477">
        <f t="shared" ca="1" si="3"/>
        <v>0</v>
      </c>
      <c r="D23" s="477">
        <f t="shared" ca="1" si="4"/>
        <v>9808.1189964385576</v>
      </c>
      <c r="E23" s="477">
        <f t="shared" si="5"/>
        <v>101.82334310081129</v>
      </c>
      <c r="F23" s="477">
        <f t="shared" ca="1" si="6"/>
        <v>2278.0974592827038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19534.003912325028</v>
      </c>
    </row>
    <row r="24" spans="1:17">
      <c r="A24" s="476" t="s">
        <v>194</v>
      </c>
      <c r="B24" s="477">
        <f t="shared" ca="1" si="2"/>
        <v>288.23059713676275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288.23059713676275</v>
      </c>
    </row>
    <row r="25" spans="1:17">
      <c r="A25" s="476" t="s">
        <v>112</v>
      </c>
      <c r="B25" s="477">
        <f t="shared" ca="1" si="2"/>
        <v>401.50690564841477</v>
      </c>
      <c r="C25" s="477">
        <f t="shared" ca="1" si="3"/>
        <v>13701.45630252101</v>
      </c>
      <c r="D25" s="477">
        <f t="shared" si="4"/>
        <v>0</v>
      </c>
      <c r="E25" s="477">
        <f t="shared" si="5"/>
        <v>11.685054940685614</v>
      </c>
      <c r="F25" s="477">
        <f t="shared" si="6"/>
        <v>1948.2267027412947</v>
      </c>
      <c r="G25" s="477">
        <f t="shared" si="7"/>
        <v>0</v>
      </c>
      <c r="H25" s="477">
        <f t="shared" si="8"/>
        <v>0</v>
      </c>
      <c r="I25" s="477">
        <f t="shared" si="9"/>
        <v>0</v>
      </c>
      <c r="J25" s="477">
        <f t="shared" si="10"/>
        <v>101.73561499796756</v>
      </c>
      <c r="K25" s="477">
        <f t="shared" si="11"/>
        <v>0</v>
      </c>
      <c r="L25" s="477">
        <f t="shared" si="12"/>
        <v>0</v>
      </c>
      <c r="M25" s="477">
        <f t="shared" si="13"/>
        <v>0</v>
      </c>
      <c r="N25" s="477">
        <f t="shared" si="14"/>
        <v>0</v>
      </c>
      <c r="O25" s="477">
        <f t="shared" si="15"/>
        <v>0</v>
      </c>
      <c r="P25" s="478">
        <f t="shared" si="16"/>
        <v>0</v>
      </c>
      <c r="Q25" s="476">
        <f t="shared" ca="1" si="17"/>
        <v>16164.610580849374</v>
      </c>
    </row>
    <row r="26" spans="1:17">
      <c r="A26" s="476" t="s">
        <v>638</v>
      </c>
      <c r="B26" s="477">
        <f t="shared" ca="1" si="2"/>
        <v>6889.4242430181721</v>
      </c>
      <c r="C26" s="477">
        <f t="shared" ca="1" si="3"/>
        <v>0</v>
      </c>
      <c r="D26" s="477">
        <f t="shared" si="4"/>
        <v>20680.096549503829</v>
      </c>
      <c r="E26" s="477">
        <f t="shared" si="5"/>
        <v>475.88556887197672</v>
      </c>
      <c r="F26" s="477">
        <f t="shared" si="6"/>
        <v>2221.7384110883149</v>
      </c>
      <c r="G26" s="477">
        <f t="shared" si="7"/>
        <v>0</v>
      </c>
      <c r="H26" s="477">
        <f t="shared" si="8"/>
        <v>0</v>
      </c>
      <c r="I26" s="477">
        <f t="shared" si="9"/>
        <v>0</v>
      </c>
      <c r="J26" s="477">
        <f t="shared" si="10"/>
        <v>93.013668730887986</v>
      </c>
      <c r="K26" s="477">
        <f t="shared" si="11"/>
        <v>0</v>
      </c>
      <c r="L26" s="477">
        <f t="shared" si="12"/>
        <v>0</v>
      </c>
      <c r="M26" s="477">
        <f t="shared" si="13"/>
        <v>0</v>
      </c>
      <c r="N26" s="477">
        <f t="shared" si="14"/>
        <v>0</v>
      </c>
      <c r="O26" s="477">
        <f t="shared" si="15"/>
        <v>0</v>
      </c>
      <c r="P26" s="478">
        <f t="shared" si="16"/>
        <v>0</v>
      </c>
      <c r="Q26" s="476">
        <f t="shared" ca="1" si="17"/>
        <v>30360.158441213182</v>
      </c>
    </row>
    <row r="27" spans="1:17" s="482" customFormat="1">
      <c r="A27" s="480" t="s">
        <v>564</v>
      </c>
      <c r="B27" s="780">
        <f t="shared" ca="1" si="2"/>
        <v>16.598064597337146</v>
      </c>
      <c r="C27" s="481">
        <f t="shared" ca="1" si="3"/>
        <v>0</v>
      </c>
      <c r="D27" s="481">
        <f t="shared" si="4"/>
        <v>34.912413334397357</v>
      </c>
      <c r="E27" s="481">
        <f t="shared" si="5"/>
        <v>180.66000327702076</v>
      </c>
      <c r="F27" s="481">
        <f t="shared" si="6"/>
        <v>0</v>
      </c>
      <c r="G27" s="481">
        <f t="shared" si="7"/>
        <v>91185.641185876884</v>
      </c>
      <c r="H27" s="481">
        <f t="shared" si="8"/>
        <v>11993.37485091129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103411.18651799693</v>
      </c>
    </row>
    <row r="28" spans="1:17">
      <c r="A28" s="476" t="s">
        <v>554</v>
      </c>
      <c r="B28" s="477">
        <f t="shared" ca="1" si="2"/>
        <v>0</v>
      </c>
      <c r="C28" s="477">
        <f t="shared" ca="1" si="3"/>
        <v>0</v>
      </c>
      <c r="D28" s="477">
        <f t="shared" si="4"/>
        <v>0</v>
      </c>
      <c r="E28" s="477">
        <f t="shared" si="5"/>
        <v>0</v>
      </c>
      <c r="F28" s="477">
        <f t="shared" si="6"/>
        <v>0</v>
      </c>
      <c r="G28" s="477">
        <f t="shared" si="7"/>
        <v>927.99989399896731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927.99989399896731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248.4119193811957</v>
      </c>
      <c r="C32" s="477">
        <f t="shared" ca="1" si="3"/>
        <v>0</v>
      </c>
      <c r="D32" s="477">
        <f t="shared" si="4"/>
        <v>564.4804282714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812.89234765259573</v>
      </c>
    </row>
    <row r="33" spans="1:17" s="486" customFormat="1">
      <c r="A33" s="1038" t="s">
        <v>558</v>
      </c>
      <c r="B33" s="978">
        <f ca="1">SUM(B22:B32)</f>
        <v>22241.242980786254</v>
      </c>
      <c r="C33" s="978">
        <f t="shared" ref="C33:Q33" ca="1" si="18">SUM(C22:C32)</f>
        <v>13701.45630252101</v>
      </c>
      <c r="D33" s="978">
        <f t="shared" ca="1" si="18"/>
        <v>48485.408552562956</v>
      </c>
      <c r="E33" s="978">
        <f t="shared" si="18"/>
        <v>1351.3611230312056</v>
      </c>
      <c r="F33" s="978">
        <f t="shared" ca="1" si="18"/>
        <v>6448.0625731123137</v>
      </c>
      <c r="G33" s="978">
        <f t="shared" si="18"/>
        <v>92113.641079875844</v>
      </c>
      <c r="H33" s="978">
        <f t="shared" si="18"/>
        <v>11993.37485091129</v>
      </c>
      <c r="I33" s="978">
        <f t="shared" si="18"/>
        <v>0</v>
      </c>
      <c r="J33" s="978">
        <f t="shared" si="18"/>
        <v>194.74928372885554</v>
      </c>
      <c r="K33" s="978">
        <f t="shared" si="18"/>
        <v>0</v>
      </c>
      <c r="L33" s="978">
        <f t="shared" ca="1" si="18"/>
        <v>0</v>
      </c>
      <c r="M33" s="978">
        <f t="shared" si="18"/>
        <v>0</v>
      </c>
      <c r="N33" s="978">
        <f t="shared" ca="1" si="18"/>
        <v>0</v>
      </c>
      <c r="O33" s="978">
        <f t="shared" si="18"/>
        <v>0</v>
      </c>
      <c r="P33" s="978">
        <f t="shared" si="18"/>
        <v>0</v>
      </c>
      <c r="Q33" s="978">
        <f t="shared" ca="1" si="18"/>
        <v>196529.2967465297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5261.3225237204142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7721.55</v>
      </c>
      <c r="C8" s="1055">
        <f>'SEAP template'!C76</f>
        <v>40358.25</v>
      </c>
      <c r="D8" s="1055">
        <f>'SEAP template'!D76</f>
        <v>47480.294117647063</v>
      </c>
      <c r="E8" s="1055">
        <f>'SEAP template'!E76</f>
        <v>0</v>
      </c>
      <c r="F8" s="1055">
        <f>'SEAP template'!F76</f>
        <v>0</v>
      </c>
      <c r="G8" s="1055">
        <f>'SEAP template'!G76</f>
        <v>0</v>
      </c>
      <c r="H8" s="1055">
        <f>'SEAP template'!H76</f>
        <v>0</v>
      </c>
      <c r="I8" s="1055">
        <f>'SEAP template'!I76</f>
        <v>0</v>
      </c>
      <c r="J8" s="1055">
        <f>'SEAP template'!J76</f>
        <v>9084.176470588236</v>
      </c>
      <c r="K8" s="1055">
        <f>'SEAP template'!K76</f>
        <v>0</v>
      </c>
      <c r="L8" s="1055">
        <f>'SEAP template'!L76</f>
        <v>0</v>
      </c>
      <c r="M8" s="1055">
        <f>'SEAP template'!M76</f>
        <v>0</v>
      </c>
      <c r="N8" s="1055">
        <f>'SEAP template'!N76</f>
        <v>0</v>
      </c>
      <c r="O8" s="1055">
        <f>'SEAP template'!O76</f>
        <v>0</v>
      </c>
      <c r="P8" s="1056">
        <f>'SEAP template'!Q76</f>
        <v>9591.0194117647079</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12982.872523720414</v>
      </c>
      <c r="C10" s="1059">
        <f>SUM(C4:C9)</f>
        <v>40358.25</v>
      </c>
      <c r="D10" s="1059">
        <f t="shared" ref="D10:H10" si="0">SUM(D8:D9)</f>
        <v>47480.294117647063</v>
      </c>
      <c r="E10" s="1059">
        <f t="shared" si="0"/>
        <v>0</v>
      </c>
      <c r="F10" s="1059">
        <f t="shared" si="0"/>
        <v>0</v>
      </c>
      <c r="G10" s="1059">
        <f t="shared" si="0"/>
        <v>0</v>
      </c>
      <c r="H10" s="1059">
        <f t="shared" si="0"/>
        <v>0</v>
      </c>
      <c r="I10" s="1059">
        <f>SUM(I8:I9)</f>
        <v>0</v>
      </c>
      <c r="J10" s="1059">
        <f>SUM(J8:J9)</f>
        <v>9084.176470588236</v>
      </c>
      <c r="K10" s="1059">
        <f t="shared" ref="K10:L10" si="1">SUM(K8:K9)</f>
        <v>0</v>
      </c>
      <c r="L10" s="1059">
        <f t="shared" si="1"/>
        <v>0</v>
      </c>
      <c r="M10" s="1059">
        <f>SUM(M8:M9)</f>
        <v>0</v>
      </c>
      <c r="N10" s="1059">
        <f>SUM(N8:N9)</f>
        <v>0</v>
      </c>
      <c r="O10" s="1059">
        <f>SUM(O8:O9)</f>
        <v>0</v>
      </c>
      <c r="P10" s="1059">
        <f>SUM(P8:P9)</f>
        <v>9591.0194117647079</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0.20112904815542842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11030.785714285716</v>
      </c>
      <c r="C17" s="1061">
        <f>'SEAP template'!C87</f>
        <v>57654.642857142862</v>
      </c>
      <c r="D17" s="1056">
        <f>'SEAP template'!D87</f>
        <v>67828.991596638662</v>
      </c>
      <c r="E17" s="1056">
        <f>'SEAP template'!E87</f>
        <v>0</v>
      </c>
      <c r="F17" s="1056">
        <f>'SEAP template'!F87</f>
        <v>0</v>
      </c>
      <c r="G17" s="1056">
        <f>'SEAP template'!G87</f>
        <v>0</v>
      </c>
      <c r="H17" s="1056">
        <f>'SEAP template'!H87</f>
        <v>0</v>
      </c>
      <c r="I17" s="1056">
        <f>'SEAP template'!I87</f>
        <v>0</v>
      </c>
      <c r="J17" s="1056">
        <f>'SEAP template'!J87</f>
        <v>12977.394957983195</v>
      </c>
      <c r="K17" s="1056">
        <f>'SEAP template'!K87</f>
        <v>0</v>
      </c>
      <c r="L17" s="1056">
        <f>'SEAP template'!L87</f>
        <v>0</v>
      </c>
      <c r="M17" s="1056">
        <f>'SEAP template'!M87</f>
        <v>0</v>
      </c>
      <c r="N17" s="1056">
        <f>'SEAP template'!N87</f>
        <v>0</v>
      </c>
      <c r="O17" s="1056">
        <f>'SEAP template'!O87</f>
        <v>0</v>
      </c>
      <c r="P17" s="1056">
        <f>'SEAP template'!Q87</f>
        <v>13701.45630252101</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11030.785714285716</v>
      </c>
      <c r="C20" s="1059">
        <f>SUM(C17:C19)</f>
        <v>57654.642857142862</v>
      </c>
      <c r="D20" s="1059">
        <f t="shared" ref="D20:H20" si="2">SUM(D17:D19)</f>
        <v>67828.991596638662</v>
      </c>
      <c r="E20" s="1059">
        <f t="shared" si="2"/>
        <v>0</v>
      </c>
      <c r="F20" s="1059">
        <f t="shared" si="2"/>
        <v>0</v>
      </c>
      <c r="G20" s="1059">
        <f t="shared" si="2"/>
        <v>0</v>
      </c>
      <c r="H20" s="1059">
        <f t="shared" si="2"/>
        <v>0</v>
      </c>
      <c r="I20" s="1059">
        <f>SUM(I17:I19)</f>
        <v>0</v>
      </c>
      <c r="J20" s="1059">
        <f>SUM(J17:J19)</f>
        <v>12977.394957983195</v>
      </c>
      <c r="K20" s="1059">
        <f t="shared" ref="K20:L20" si="3">SUM(K17:K19)</f>
        <v>0</v>
      </c>
      <c r="L20" s="1059">
        <f t="shared" si="3"/>
        <v>0</v>
      </c>
      <c r="M20" s="1059">
        <f>SUM(M17:M19)</f>
        <v>0</v>
      </c>
      <c r="N20" s="1059">
        <f>SUM(N17:N19)</f>
        <v>0</v>
      </c>
      <c r="O20" s="1059">
        <f>SUM(O17:O19)</f>
        <v>0</v>
      </c>
      <c r="P20" s="1059">
        <f>SUM(P17:P19)</f>
        <v>13701.45630252101</v>
      </c>
    </row>
    <row r="22" spans="1:16">
      <c r="A22" s="487" t="s">
        <v>871</v>
      </c>
      <c r="B22" s="786" t="s">
        <v>865</v>
      </c>
      <c r="C22" s="786">
        <f ca="1">'EF ele_warmte'!B22</f>
        <v>0.19948126680570022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0.20112904815542842</v>
      </c>
      <c r="C17" s="524">
        <f ca="1">'EF ele_warmte'!B22</f>
        <v>0.19948126680570022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2019-08-12T08:22:18Z</dcterms:modified>
</cp:coreProperties>
</file>