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H89" i="14" s="1"/>
  <c r="H19" i="59" s="1"/>
  <c r="F19" i="18"/>
  <c r="E19"/>
  <c r="D19"/>
  <c r="D20" s="1"/>
  <c r="C19"/>
  <c r="D89" i="14" s="1"/>
  <c r="D19" i="59" s="1"/>
  <c r="B19" i="18"/>
  <c r="N18"/>
  <c r="L88" i="14" s="1"/>
  <c r="M18" i="18"/>
  <c r="K88" i="14" s="1"/>
  <c r="K18" i="59" s="1"/>
  <c r="L18" i="18"/>
  <c r="K18"/>
  <c r="J18"/>
  <c r="J88" i="14" s="1"/>
  <c r="J18" i="59" s="1"/>
  <c r="I18" i="18"/>
  <c r="H18"/>
  <c r="M88" i="14" s="1"/>
  <c r="M18" i="59" s="1"/>
  <c r="G18" i="18"/>
  <c r="F18"/>
  <c r="F20" s="1"/>
  <c r="E18"/>
  <c r="D18"/>
  <c r="C18"/>
  <c r="B18"/>
  <c r="L9"/>
  <c r="O77" i="14" s="1"/>
  <c r="K9" i="18"/>
  <c r="K10" s="1"/>
  <c r="I9"/>
  <c r="I77" i="14" s="1"/>
  <c r="I9" i="59" s="1"/>
  <c r="G9" i="18"/>
  <c r="F9"/>
  <c r="D9"/>
  <c r="D10" s="1"/>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25" s="1"/>
  <c r="O17"/>
  <c r="O32" s="1"/>
  <c r="M4"/>
  <c r="L4"/>
  <c r="K4"/>
  <c r="I4"/>
  <c r="H4"/>
  <c r="G4"/>
  <c r="P11"/>
  <c r="O11"/>
  <c r="N11"/>
  <c r="M11"/>
  <c r="L11"/>
  <c r="K11"/>
  <c r="J11"/>
  <c r="I11"/>
  <c r="H11"/>
  <c r="G11"/>
  <c r="F11"/>
  <c r="E11"/>
  <c r="D11"/>
  <c r="C11"/>
  <c r="B11"/>
  <c r="Q11" s="1"/>
  <c r="Q12"/>
  <c r="P28"/>
  <c r="O28"/>
  <c r="M89" i="14"/>
  <c r="M19" i="59" s="1"/>
  <c r="L89" i="14"/>
  <c r="L19" i="59" s="1"/>
  <c r="K89" i="14"/>
  <c r="K19" i="59" s="1"/>
  <c r="G89" i="14"/>
  <c r="G19" i="59" s="1"/>
  <c r="O88" i="14"/>
  <c r="O18" i="59" s="1"/>
  <c r="N88" i="14"/>
  <c r="N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O19"/>
  <c r="M19"/>
  <c r="L19"/>
  <c r="K19"/>
  <c r="J19"/>
  <c r="I19"/>
  <c r="G19"/>
  <c r="G22" s="1"/>
  <c r="F19"/>
  <c r="E19"/>
  <c r="D19"/>
  <c r="Q48"/>
  <c r="P48"/>
  <c r="P52" s="1"/>
  <c r="O48"/>
  <c r="M48"/>
  <c r="L48"/>
  <c r="K48"/>
  <c r="J48"/>
  <c r="G48"/>
  <c r="D48"/>
  <c r="Q18"/>
  <c r="Q22" s="1"/>
  <c r="P18"/>
  <c r="O18"/>
  <c r="M18"/>
  <c r="M22" s="1"/>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K78"/>
  <c r="P56"/>
  <c r="L56"/>
  <c r="I56"/>
  <c r="Q52"/>
  <c r="R44"/>
  <c r="E25"/>
  <c r="E55" s="1"/>
  <c r="C25"/>
  <c r="B14" i="48" s="1"/>
  <c r="Q26" i="14"/>
  <c r="P26"/>
  <c r="N26"/>
  <c r="L26"/>
  <c r="L22"/>
  <c r="P22"/>
  <c r="O22"/>
  <c r="R12"/>
  <c r="N19" i="59" l="1"/>
  <c r="N90" i="14"/>
  <c r="O78"/>
  <c r="O9" i="59"/>
  <c r="O10" s="1"/>
  <c r="O19"/>
  <c r="O20" s="1"/>
  <c r="O90" i="14"/>
  <c r="L18" i="59"/>
  <c r="L20" s="1"/>
  <c r="L90" i="14"/>
  <c r="L78"/>
  <c r="L8" i="59"/>
  <c r="L10" s="1"/>
  <c r="E89" i="14"/>
  <c r="E19" i="59" s="1"/>
  <c r="H10"/>
  <c r="P29" i="48"/>
  <c r="L10" i="18"/>
  <c r="K90" i="14"/>
  <c r="E20" i="59"/>
  <c r="O29" i="48"/>
  <c r="P31"/>
  <c r="E77" i="14"/>
  <c r="E9" i="59" s="1"/>
  <c r="N77" i="14"/>
  <c r="N9" i="59" s="1"/>
  <c r="N10" s="1"/>
  <c r="K20"/>
  <c r="P32" i="48"/>
  <c r="R25" i="14"/>
  <c r="F13" i="15"/>
  <c r="H90" i="14"/>
  <c r="H18" i="59"/>
  <c r="H20" s="1"/>
  <c r="H78" i="14"/>
  <c r="H8" i="59"/>
  <c r="K10"/>
  <c r="C98" i="18"/>
  <c r="B101" s="1"/>
  <c r="C8" s="1"/>
  <c r="E10" i="59"/>
  <c r="N20"/>
  <c r="B17" i="18"/>
  <c r="B20" s="1"/>
  <c r="G78" i="14"/>
  <c r="B8" i="18"/>
  <c r="B10" s="1"/>
  <c r="O19"/>
  <c r="L13" i="15"/>
  <c r="N13"/>
  <c r="Q77" i="14"/>
  <c r="P9" i="59" s="1"/>
  <c r="O9" i="18"/>
  <c r="O18"/>
  <c r="B89" i="14"/>
  <c r="B19" i="59" s="1"/>
  <c r="G88" i="14"/>
  <c r="F89"/>
  <c r="I101" i="18"/>
  <c r="H8" s="1"/>
  <c r="E101"/>
  <c r="E8" s="1"/>
  <c r="H101"/>
  <c r="D101"/>
  <c r="G101"/>
  <c r="C101"/>
  <c r="I102"/>
  <c r="H17" s="1"/>
  <c r="E102"/>
  <c r="E17" s="1"/>
  <c r="H102"/>
  <c r="D102"/>
  <c r="G102"/>
  <c r="C102"/>
  <c r="F102"/>
  <c r="B102"/>
  <c r="C17" s="1"/>
  <c r="Q88" i="14"/>
  <c r="P18" i="59" s="1"/>
  <c r="B88" i="14"/>
  <c r="B18" i="59" s="1"/>
  <c r="Q14" i="48"/>
  <c r="O24"/>
  <c r="O30"/>
  <c r="P24"/>
  <c r="P30"/>
  <c r="C88" i="14"/>
  <c r="C18" i="59" s="1"/>
  <c r="E78" i="14"/>
  <c r="E90"/>
  <c r="G90" l="1"/>
  <c r="G18" i="59"/>
  <c r="G20" s="1"/>
  <c r="B77" i="14"/>
  <c r="B9" i="59" s="1"/>
  <c r="C77" i="14"/>
  <c r="C9" i="59" s="1"/>
  <c r="F101" i="18"/>
  <c r="C89" i="14"/>
  <c r="C19" i="59" s="1"/>
  <c r="F19"/>
  <c r="N78" i="14"/>
  <c r="Q89"/>
  <c r="P19" i="59" s="1"/>
  <c r="C20" i="18"/>
  <c r="D87" i="14"/>
  <c r="D17" i="59" s="1"/>
  <c r="D20" s="1"/>
  <c r="D76" i="14"/>
  <c r="D8" i="59" s="1"/>
  <c r="D10" s="1"/>
  <c r="C10" i="18"/>
  <c r="J17"/>
  <c r="J8"/>
  <c r="F87" i="14"/>
  <c r="E20" i="18"/>
  <c r="E10"/>
  <c r="F76" i="14"/>
  <c r="F8" i="59" s="1"/>
  <c r="F10" s="1"/>
  <c r="I17" i="18"/>
  <c r="H20"/>
  <c r="M87" i="14"/>
  <c r="I8" i="18"/>
  <c r="O8" s="1"/>
  <c r="O10" s="1"/>
  <c r="M76" i="14"/>
  <c r="H10" i="18"/>
  <c r="H14" i="15"/>
  <c r="H16" s="1"/>
  <c r="G14"/>
  <c r="G16" s="1"/>
  <c r="M78" i="14" l="1"/>
  <c r="M8" i="59"/>
  <c r="M10" s="1"/>
  <c r="F90" i="14"/>
  <c r="F17" i="59"/>
  <c r="F20" s="1"/>
  <c r="I10" i="14"/>
  <c r="I16" s="1"/>
  <c r="H5" i="48"/>
  <c r="O17" i="18"/>
  <c r="O20" s="1"/>
  <c r="H10" i="14"/>
  <c r="H16" s="1"/>
  <c r="G5" i="48"/>
  <c r="M90" i="14"/>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C78" i="14" l="1"/>
  <c r="C8" i="59"/>
  <c r="C10" s="1"/>
  <c r="B78" i="14"/>
  <c r="B8" i="59"/>
  <c r="B10" s="1"/>
  <c r="B90" i="14"/>
  <c r="B17" i="59"/>
  <c r="B20" s="1"/>
  <c r="C90" i="14"/>
  <c r="C17" i="59"/>
  <c r="C2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32" i="48"/>
  <c r="H25"/>
  <c r="H26"/>
  <c r="H29"/>
  <c r="H28"/>
  <c r="H24"/>
  <c r="H22"/>
  <c r="H30"/>
  <c r="H23"/>
  <c r="D11" i="14"/>
  <c r="C4" i="48"/>
  <c r="F32"/>
  <c r="F28"/>
  <c r="F27"/>
  <c r="F30"/>
  <c r="F29"/>
  <c r="F31"/>
  <c r="F24"/>
  <c r="K28"/>
  <c r="K25"/>
  <c r="K27"/>
  <c r="K32"/>
  <c r="K31"/>
  <c r="K26"/>
  <c r="K30"/>
  <c r="K24"/>
  <c r="K22"/>
  <c r="K29"/>
  <c r="C24" i="14"/>
  <c r="C26" s="1"/>
  <c r="B7" i="48"/>
  <c r="J32"/>
  <c r="J28"/>
  <c r="J27"/>
  <c r="J31"/>
  <c r="J29"/>
  <c r="J30"/>
  <c r="J24"/>
  <c r="P4"/>
  <c r="Q11" i="14"/>
  <c r="N46"/>
  <c r="J15" i="16"/>
  <c r="O4" i="48"/>
  <c r="P11" i="14"/>
  <c r="I27" i="48"/>
  <c r="I31"/>
  <c r="I26"/>
  <c r="I32"/>
  <c r="I25"/>
  <c r="I29"/>
  <c r="I22"/>
  <c r="I30"/>
  <c r="I24"/>
  <c r="I28"/>
  <c r="G25"/>
  <c r="G29"/>
  <c r="G32"/>
  <c r="G26"/>
  <c r="G30"/>
  <c r="G22"/>
  <c r="G24"/>
  <c r="G23"/>
  <c r="B4"/>
  <c r="C11" i="14"/>
  <c r="N32" i="48"/>
  <c r="N28"/>
  <c r="N27"/>
  <c r="N30"/>
  <c r="N29"/>
  <c r="N24"/>
  <c r="N31"/>
  <c r="B10"/>
  <c r="C19" i="14"/>
  <c r="E28" i="48"/>
  <c r="E32"/>
  <c r="E31"/>
  <c r="E30"/>
  <c r="E29"/>
  <c r="E24"/>
  <c r="M32"/>
  <c r="M22"/>
  <c r="M24"/>
  <c r="M29"/>
  <c r="M25"/>
  <c r="M30"/>
  <c r="M26"/>
  <c r="M23"/>
  <c r="L10" i="14"/>
  <c r="L16" s="1"/>
  <c r="L27" s="1"/>
  <c r="K5" i="48"/>
  <c r="D28"/>
  <c r="D30"/>
  <c r="D32"/>
  <c r="D29"/>
  <c r="D31"/>
  <c r="D24"/>
  <c r="L32"/>
  <c r="L28"/>
  <c r="L27"/>
  <c r="L29"/>
  <c r="L24"/>
  <c r="L22"/>
  <c r="L31"/>
  <c r="L30"/>
  <c r="P5"/>
  <c r="P23" s="1"/>
  <c r="Q10" i="14"/>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I5" i="48" l="1"/>
  <c r="J10" i="14"/>
  <c r="J16" s="1"/>
  <c r="J27" s="1"/>
  <c r="M12" i="22"/>
  <c r="M13" i="48"/>
  <c r="M31" s="1"/>
  <c r="N18" i="14"/>
  <c r="G13" i="48"/>
  <c r="H18" i="14"/>
  <c r="H13" i="48"/>
  <c r="H31" s="1"/>
  <c r="I18" i="14"/>
  <c r="O22" i="48"/>
  <c r="J7"/>
  <c r="J25" s="1"/>
  <c r="K24" i="14"/>
  <c r="K26" s="1"/>
  <c r="I20" i="15"/>
  <c r="J40" i="14" s="1"/>
  <c r="J46" s="1"/>
  <c r="J61" s="1"/>
  <c r="F4" i="48"/>
  <c r="F22" s="1"/>
  <c r="G11" i="14"/>
  <c r="K23" i="48"/>
  <c r="K33" s="1"/>
  <c r="K15"/>
  <c r="C22" i="14"/>
  <c r="Q13"/>
  <c r="P8" i="48"/>
  <c r="P26" s="1"/>
  <c r="E9"/>
  <c r="E27" s="1"/>
  <c r="F20" i="14"/>
  <c r="F22" s="1"/>
  <c r="D9" i="48"/>
  <c r="D27" s="1"/>
  <c r="E20" i="14"/>
  <c r="E22" s="1"/>
  <c r="P10"/>
  <c r="O5" i="48"/>
  <c r="O23" s="1"/>
  <c r="C20" i="14"/>
  <c r="B9" i="48"/>
  <c r="P22"/>
  <c r="Q16" i="14"/>
  <c r="Q27"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H19"/>
  <c r="R19" s="1"/>
  <c r="G10" i="48"/>
  <c r="I23"/>
  <c r="I33" s="1"/>
  <c r="I15"/>
  <c r="E7"/>
  <c r="E25" s="1"/>
  <c r="F24" i="14"/>
  <c r="F26" s="1"/>
  <c r="O22" i="16"/>
  <c r="P43" i="14" s="1"/>
  <c r="O8" i="48"/>
  <c r="P13" i="14"/>
  <c r="P16" s="1"/>
  <c r="P27" s="1"/>
  <c r="Q13" i="48"/>
  <c r="G31"/>
  <c r="I20" i="14"/>
  <c r="H9" i="48"/>
  <c r="R18" i="14"/>
  <c r="I22"/>
  <c r="I27" s="1"/>
  <c r="Q63"/>
  <c r="M14" i="22"/>
  <c r="G14"/>
  <c r="P15" i="48"/>
  <c r="E12" i="13"/>
  <c r="F41" i="14" s="1"/>
  <c r="F11"/>
  <c r="E4" i="48"/>
  <c r="J4"/>
  <c r="K11" i="14"/>
  <c r="N19"/>
  <c r="M10" i="48"/>
  <c r="M28" s="1"/>
  <c r="P46" i="14"/>
  <c r="P61" s="1"/>
  <c r="J63"/>
  <c r="P33" i="48"/>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J5" i="48" l="1"/>
  <c r="J23" s="1"/>
  <c r="K10" i="14"/>
  <c r="O26" i="48"/>
  <c r="O33" s="1"/>
  <c r="O15"/>
  <c r="F10" i="14"/>
  <c r="E5" i="48"/>
  <c r="E23" s="1"/>
  <c r="H20" i="14"/>
  <c r="R20" s="1"/>
  <c r="R22" s="1"/>
  <c r="G9" i="48"/>
  <c r="I63" i="14"/>
  <c r="P63"/>
  <c r="J20" i="15"/>
  <c r="K40" i="14" s="1"/>
  <c r="G28" i="48"/>
  <c r="Q10"/>
  <c r="E22"/>
  <c r="Q4"/>
  <c r="N20" i="14"/>
  <c r="N22" s="1"/>
  <c r="N27" s="1"/>
  <c r="M9" i="48"/>
  <c r="J22"/>
  <c r="H27"/>
  <c r="H33" s="1"/>
  <c r="H15"/>
  <c r="R11" i="14"/>
  <c r="R24"/>
  <c r="R26" s="1"/>
  <c r="M18" i="22"/>
  <c r="N50" i="14" s="1"/>
  <c r="N52" s="1"/>
  <c r="N61" s="1"/>
  <c r="N63" s="1"/>
  <c r="Q7" i="48"/>
  <c r="E20" i="15"/>
  <c r="F40" i="14" s="1"/>
  <c r="J18" i="16"/>
  <c r="E18"/>
  <c r="F18"/>
  <c r="F22" s="1"/>
  <c r="G43" i="14" s="1"/>
  <c r="N18" i="16"/>
  <c r="G18" i="22"/>
  <c r="H50" i="14" s="1"/>
  <c r="H52" s="1"/>
  <c r="H61" s="1"/>
  <c r="H18" i="22"/>
  <c r="I50" i="14" s="1"/>
  <c r="I52" s="1"/>
  <c r="I61" s="1"/>
  <c r="E8" i="48" l="1"/>
  <c r="F13" i="14"/>
  <c r="F16" s="1"/>
  <c r="F27" s="1"/>
  <c r="G27" i="48"/>
  <c r="G33" s="1"/>
  <c r="G15"/>
  <c r="Q9"/>
  <c r="M27"/>
  <c r="M33" s="1"/>
  <c r="M15"/>
  <c r="J22" i="16"/>
  <c r="K43" i="14" s="1"/>
  <c r="K46" s="1"/>
  <c r="K61" s="1"/>
  <c r="K13"/>
  <c r="K16" s="1"/>
  <c r="K27" s="1"/>
  <c r="J8" i="48"/>
  <c r="J26" s="1"/>
  <c r="H63" i="14"/>
  <c r="E22" i="16"/>
  <c r="F43" i="14" s="1"/>
  <c r="H22"/>
  <c r="H27" s="1"/>
  <c r="F46"/>
  <c r="F61" s="1"/>
  <c r="J15" i="48"/>
  <c r="J33"/>
  <c r="N8"/>
  <c r="N26" s="1"/>
  <c r="O13" i="14"/>
  <c r="N22" i="16"/>
  <c r="O43" i="14" s="1"/>
  <c r="G13"/>
  <c r="R13" s="1"/>
  <c r="F8" i="48"/>
  <c r="K63" i="14" l="1"/>
  <c r="E26" i="48"/>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<sst xmlns="http://schemas.openxmlformats.org/spreadsheetml/2006/main" count="2401" uniqueCount="896">
  <si>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</si>
  <si>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</si>
  <si>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</si>
  <si>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</si>
  <si>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</si>
  <si>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</si>
  <si>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</si>
  <si>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</si>
  <si>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</si>
  <si>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</si>
  <si>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</si>
  <si>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</si>
  <si>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</si>
  <si>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</si>
  <si>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</si>
  <si>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</si>
  <si>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</si>
  <si>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</si>
  <si>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</si>
  <si>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</si>
  <si>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</si>
  <si>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</si>
  <si>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</si>
  <si>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</si>
  <si>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</si>
  <si>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</si>
  <si>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</si>
  <si>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</si>
  <si>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</si>
  <si>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</si>
  <si>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</si>
  <si>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</si>
  <si>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</si>
  <si>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</si>
  <si>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</si>
  <si>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</si>
  <si>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</si>
  <si>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</si>
  <si>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</si>
  <si>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</si>
  <si>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</si>
  <si>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</si>
  <si>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</si>
  <si>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</si>
  <si>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</si>
  <si>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</si>
  <si>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</si>
  <si>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</si>
  <si>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</si>
  <si>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</si>
  <si>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</si>
  <si>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</si>
  <si>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</si>
  <si>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</si>
  <si>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</si>
  <si>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</si>
  <si>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</si>
  <si>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</si>
  <si>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</si>
  <si>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</si>
  <si>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</si>
  <si>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</si>
  <si>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</si>
  <si>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</si>
  <si>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</si>
  <si>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</si>
  <si>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</si>
  <si>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</si>
  <si>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</si>
  <si>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</si>
  <si>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</si>
  <si>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</si>
  <si>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</si>
  <si>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</si>
  <si>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</si>
  <si>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</si>
  <si>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</si>
  <si>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</si>
  <si>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</si>
  <si>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</si>
  <si>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</si>
  <si>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</si>
  <si>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</si>
  <si>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</si>
  <si>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</si>
  <si>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</si>
  <si>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</si>
  <si>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</si>
  <si>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</si>
  <si>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</si>
  <si>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</si>
  <si>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</si>
  <si>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</si>
  <si>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</si>
  <si>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</si>
  <si>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</si>
  <si>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</si>
  <si>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</si>
  <si>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</si>
  <si>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</si>
  <si>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</si>
  <si>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</si>
  <si>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</si>
  <si>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</si>
  <si>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</si>
  <si>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</si>
  <si>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</si>
  <si>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</si>
  <si>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</si>
  <si>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</si>
  <si>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</si>
  <si>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</si>
  <si>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</si>
  <si>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</si>
  <si>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</si>
  <si>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</si>
  <si>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</si>
  <si>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</si>
  <si>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</si>
  <si>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</si>
  <si>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</si>
  <si>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</si>
  <si>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</si>
  <si>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</si>
  <si>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</si>
  <si>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</si>
  <si>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</si>
  <si>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</si>
  <si>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</si>
  <si>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</si>
  <si>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</si>
  <si>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</si>
  <si>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</si>
  <si>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</si>
  <si>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</si>
  <si>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</si>
  <si>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</si>
  <si>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</si>
  <si>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</si>
  <si>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</si>
  <si>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</si>
  <si>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</si>
  <si>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</si>
  <si>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</si>
  <si>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</si>
  <si>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</si>
  <si>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</si>
  <si>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</si>
  <si>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</si>
  <si>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</si>
  <si>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</si>
  <si>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</si>
  <si>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</si>
  <si>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</si>
  <si>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</si>
  <si>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</si>
  <si>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</si>
  <si>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</si>
  <si>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</si>
  <si>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</si>
  <si>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</si>
  <si>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</si>
  <si>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</si>
  <si>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</si>
  <si>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</si>
  <si>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</si>
  <si>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</si>
  <si>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</si>
  <si>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</si>
  <si>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</si>
  <si>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</si>
  <si>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</si>
  <si>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</si>
  <si>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</si>
  <si>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</si>
  <si>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</si>
  <si>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</si>
  <si>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</si>
  <si>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</si>
  <si>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</si>
  <si>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</si>
  <si>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</si>
  <si>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</si>
  <si>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</si>
  <si>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</si>
  <si>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</si>
  <si>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</si>
  <si>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</si>
  <si>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</si>
  <si>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</si>
  <si>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</si>
  <si>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</si>
  <si>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</si>
  <si>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</si>
  <si>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</si>
  <si>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</si>
  <si>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</si>
  <si>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</si>
  <si>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</si>
  <si>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</si>
  <si>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</si>
  <si>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</si>
  <si>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</si>
  <si>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</si>
  <si>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</si>
  <si>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</si>
  <si>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</si>
  <si>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</si>
  <si>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</si>
  <si>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</si>
  <si>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</si>
  <si>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</si>
  <si>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</si>
  <si>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</si>
  <si>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</si>
  <si>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</si>
  <si>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</si>
  <si>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</si>
  <si>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</si>
  <si>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</si>
  <si>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</si>
  <si>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</si>
  <si>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</si>
  <si>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</si>
  <si>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</si>
  <si>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</si>
  <si>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</si>
  <si>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</si>
  <si>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</si>
  <si>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</si>
  <si>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</si>
  <si>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</si>
  <si>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</si>
  <si>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</si>
  <si>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</si>
  <si>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</si>
  <si>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</si>
  <si>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</si>
  <si>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</si>
  <si>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</si>
  <si>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</si>
  <si>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</si>
  <si>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</si>
  <si>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</si>
  <si>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</si>
  <si>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</si>
  <si>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</si>
  <si>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</si>
  <si>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</si>
  <si>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</si>
  <si>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</si>
  <si>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</si>
  <si>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</si>
  <si>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</si>
  <si>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</si>
  <si>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</si>
  <si>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</si>
  <si>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</si>
  <si>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</si>
  <si>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</si>
  <si>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</si>
  <si>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</si>
  <si>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</si>
  <si>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</si>
  <si>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</si>
  <si>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</si>
  <si>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</si>
  <si>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</si>
  <si>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</si>
  <si>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</si>
  <si>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</si>
  <si>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</si>
  <si>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</si>
  <si>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</si>
  <si>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</si>
  <si>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</si>
  <si>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</si>
  <si>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</si>
  <si>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</si>
  <si>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</si>
  <si>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</si>
  <si>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</si>
  <si>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</si>
  <si>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</si>
  <si>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</si>
  <si>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</si>
  <si>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</si>
  <si>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</si>
  <si>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</si>
  <si>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</si>
  <si>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</si>
  <si>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</si>
  <si>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</si>
  <si>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</si>
  <si>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</si>
  <si>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</si>
  <si>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</si>
  <si>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</si>
  <si>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</si>
  <si>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</si>
  <si>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</si>
  <si>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</si>
  <si>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</si>
  <si>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</si>
  <si>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</si>
  <si>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</si>
  <si>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</si>
  <si>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</si>
  <si>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</si>
  <si>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</si>
  <si>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</si>
  <si>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</si>
  <si>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</si>
  <si>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</si>
  <si>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</si>
  <si>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</si>
  <si>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</si>
  <si>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</si>
  <si>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</si>
  <si>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</si>
  <si>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</si>
  <si>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</si>
  <si>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</si>
  <si>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</si>
  <si>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</si>
  <si>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</si>
  <si>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</si>
  <si>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</si>
  <si>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</si>
  <si>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</si>
  <si>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</si>
  <si>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</si>
  <si>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</si>
  <si>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</si>
  <si>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</si>
  <si>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</si>
  <si>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</si>
  <si>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</si>
  <si>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</si>
  <si>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</si>
  <si>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</si>
  <si>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</si>
  <si>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</si>
  <si>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</si>
  <si>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</si>
  <si>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</si>
  <si>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</si>
  <si>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</si>
  <si>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</si>
  <si>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</si>
  <si>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</si>
  <si>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</si>
  <si>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</si>
  <si>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</si>
  <si>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</si>
  <si>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</si>
  <si>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</si>
  <si>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</si>
  <si>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</si>
  <si>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</si>
  <si>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</si>
  <si>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</si>
  <si>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</si>
  <si>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</si>
  <si>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</si>
  <si>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</si>
  <si>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</si>
  <si>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</si>
  <si>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</si>
  <si>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</si>
  <si>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</si>
  <si>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</si>
  <si>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</si>
  <si>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</si>
  <si>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</si>
  <si>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</si>
  <si>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</si>
  <si>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</si>
  <si>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</si>
  <si>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</si>
  <si>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</si>
  <si>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</si>
  <si>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</si>
  <si>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</si>
  <si>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</si>
  <si>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</si>
  <si>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</si>
  <si>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</si>
  <si>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</si>
  <si>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</si>
  <si>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</si>
  <si>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</si>
  <si>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</si>
  <si>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</si>
  <si>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</si>
  <si>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</si>
  <si>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</si>
  <si>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</si>
  <si>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</si>
  <si>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</si>
  <si>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</si>
  <si>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</si>
  <si>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</si>
  <si>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</si>
  <si>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</si>
  <si>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</si>
  <si>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</si>
  <si>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</si>
  <si>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</si>
  <si>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</si>
  <si>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</si>
  <si>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</si>
  <si>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</si>
  <si>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</si>
  <si>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</si>
  <si>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</si>
  <si>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</si>
  <si>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</si>
  <si>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</si>
  <si>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</si>
  <si>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</si>
  <si>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</si>
  <si>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</si>
  <si>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</si>
  <si>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</si>
  <si>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</si>
  <si>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</si>
  <si>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</si>
  <si>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</si>
  <si>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</si>
  <si>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</si>
  <si>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</si>
  <si>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</si>
  <si>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</si>
  <si>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</si>
  <si>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</si>
  <si>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</si>
  <si>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</si>
  <si>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</si>
  <si>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</si>
  <si>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</si>
  <si>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</si>
  <si>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</si>
  <si>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</si>
  <si>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</si>
  <si>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</si>
  <si>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</si>
  <si>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</si>
  <si>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</si>
  <si>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</si>
  <si>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</si>
  <si>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</si>
  <si>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</si>
  <si>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</si>
  <si>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</si>
  <si>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</si>
  <si>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</si>
  <si>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</si>
  <si>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</si>
  <si>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</si>
  <si>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</si>
  <si>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</si>
  <si>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</si>
  <si>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</si>
  <si>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</si>
  <si>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</si>
  <si>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</si>
  <si>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</si>
  <si>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</si>
  <si>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</si>
  <si>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</si>
  <si>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</si>
  <si>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</si>
  <si>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</si>
  <si>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</si>
  <si>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</si>
  <si>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</si>
  <si>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</si>
  <si>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</si>
  <si>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</si>
  <si>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</si>
  <si>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</si>
  <si>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</si>
  <si>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</si>
  <si>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</si>
  <si>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</si>
  <si>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</si>
  <si>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</si>
  <si>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</si>
  <si>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</si>
  <si>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</si>
  <si>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</si>
  <si>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</si>
  <si>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</si>
  <si>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</si>
  <si>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</si>
  <si>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</si>
  <si>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</si>
  <si>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</si>
  <si>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</si>
  <si>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</si>
  <si>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</si>
  <si>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</si>
  <si>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</si>
  <si>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</si>
  <si>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</si>
  <si>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</si>
  <si>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</si>
  <si>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</si>
  <si>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</si>
  <si>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</si>
  <si>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</si>
  <si>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</si>
  <si>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</si>
  <si>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</si>
  <si>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</si>
  <si>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</si>
  <si>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</si>
  <si>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</si>
  <si>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</si>
  <si>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</si>
  <si>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</si>
  <si>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</si>
  <si>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</si>
  <si>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</si>
  <si>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</si>
  <si>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</si>
  <si>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</si>
  <si>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</si>
  <si>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</si>
  <si>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</si>
  <si>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</si>
  <si>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</si>
  <si>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</si>
  <si>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</si>
  <si>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</si>
  <si>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</si>
  <si>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</si>
  <si>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</si>
  <si>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</si>
  <si>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</si>
  <si>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</si>
  <si>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</si>
  <si>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</si>
  <si>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</si>
  <si>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</si>
  <si>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</si>
  <si>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</si>
  <si>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</si>
  <si>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</si>
  <si>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</si>
  <si>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</si>
  <si>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</si>
  <si>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</si>
  <si>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</si>
  <si>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</si>
  <si>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</si>
  <si>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</si>
  <si>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</si>
  <si>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</si>
  <si>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</si>
  <si>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</si>
  <si>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</si>
  <si>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</si>
  <si>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</si>
  <si>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</si>
  <si>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</si>
  <si>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</si>
  <si>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</si>
  <si>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</si>
  <si>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</si>
  <si>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</si>
  <si>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</si>
  <si>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</si>
  <si>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</si>
  <si>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</si>
  <si>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</si>
  <si>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</si>
  <si>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</si>
  <si>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</si>
  <si>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</si>
  <si>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</si>
  <si>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</si>
  <si>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</si>
  <si>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</si>
  <si>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</si>
  <si>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</si>
  <si>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</si>
  <si>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</si>
  <si>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</si>
  <si>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</si>
  <si>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</si>
  <si>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</si>
  <si>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</si>
  <si>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</si>
  <si>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</si>
  <si>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</si>
  <si>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</si>
  <si>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</si>
  <si>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</si>
  <si>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</si>
  <si>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</si>
  <si>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</si>
  <si>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</si>
  <si>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</si>
  <si>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</si>
  <si>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</si>
  <si>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</si>
  <si>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</si>
  <si>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</si>
  <si>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</si>
  <si>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</si>
  <si>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</si>
  <si>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</si>
  <si>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</si>
  <si>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</si>
  <si>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</si>
  <si>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</si>
  <si>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</si>
  <si>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</si>
  <si>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</si>
  <si>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</si>
  <si>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</si>
  <si>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</si>
  <si>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</si>
  <si>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</si>
  <si>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</si>
  <si>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</si>
  <si>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</si>
  <si>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</si>
  <si>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</si>
  <si>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</si>
  <si>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</si>
  <si>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</si>
  <si>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</si>
  <si>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</si>
  <si>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</si>
  <si>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</si>
  <si>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</si>
  <si>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</si>
  <si>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</si>
  <si>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</si>
  <si>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</si>
  <si>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</si>
  <si>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</si>
  <si>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</si>
  <si>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</si>
  <si>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</si>
  <si>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</si>
  <si>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</si>
  <si>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</si>
  <si>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</si>
  <si>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</si>
  <si>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</si>
  <si>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</si>
  <si>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</si>
  <si>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</si>
  <si>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</si>
  <si>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</si>
  <si>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</si>
  <si>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</si>
  <si>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</si>
  <si>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</si>
  <si>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</si>
  <si>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</si>
  <si>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</si>
  <si>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</si>
  <si>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</si>
  <si>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</si>
  <si>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</si>
  <si>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</si>
  <si>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</si>
  <si>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</si>
  <si>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</si>
  <si>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</si>
  <si>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</si>
  <si>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</si>
  <si>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</si>
  <si>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</si>
  <si>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</si>
  <si>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</si>
  <si>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</si>
  <si>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</si>
  <si>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</si>
  <si>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</si>
  <si>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</si>
  <si>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</si>
  <si>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</si>
  <si>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</si>
  <si>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</si>
  <si>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</si>
  <si>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</si>
  <si>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</si>
  <si>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</si>
  <si>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</si>
  <si>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</si>
  <si>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</si>
  <si>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</si>
  <si>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</si>
  <si>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</si>
  <si>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</si>
  <si>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</si>
  <si>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</si>
  <si>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</si>
  <si>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</si>
  <si>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</si>
  <si>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</si>
  <si>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</si>
  <si>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</si>
  <si>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</si>
  <si>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</si>
  <si>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</si>
  <si>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</si>
  <si>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</si>
  <si>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</si>
  <si>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</si>
  <si>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</si>
  <si>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</si>
  <si>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</si>
  <si>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</si>
  <si>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</si>
  <si>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</si>
  <si>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</si>
  <si>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</si>
  <si>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</si>
  <si>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</si>
  <si>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</si>
  <si>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</si>
  <si>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</si>
  <si>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</si>
  <si>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</si>
  <si>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</si>
  <si>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</si>
  <si>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</si>
  <si>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</si>
  <si>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</si>
  <si>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</si>
  <si>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</si>
  <si>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</si>
  <si>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</si>
  <si>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</si>
  <si>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</si>
  <si>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</si>
  <si>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</si>
  <si>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</si>
  <si>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</si>
  <si>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</si>
  <si>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</si>
  <si>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</si>
  <si>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</si>
  <si>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</si>
  <si>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</si>
  <si>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</si>
  <si>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</si>
  <si>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</si>
  <si>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</si>
  <si>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</si>
  <si>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</si>
  <si>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</si>
  <si>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</si>
  <si>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</si>
  <si>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</si>
  <si>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</si>
  <si>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</si>
  <si>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</si>
  <si>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</si>
  <si>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</si>
  <si>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</si>
  <si>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</si>
  <si>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</si>
  <si>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</si>
  <si>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</si>
  <si>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</si>
  <si>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</si>
  <si>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</si>
  <si>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</si>
  <si>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</si>
  <si>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</si>
  <si>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</si>
  <si>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</si>
  <si>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</si>
  <si>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</si>
  <si>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</si>
  <si>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</si>
  <si>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</si>
  <si>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</si>
  <si>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</si>
  <si>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</si>
  <si>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</si>
  <si>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</si>
  <si>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</si>
  <si>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</si>
  <si>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</si>
  <si>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</si>
  <si>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</si>
  <si>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</si>
  <si>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</si>
  <si>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</si>
  <si>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</si>
  <si>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</si>
  <si>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</si>
  <si>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</si>
  <si>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</si>
  <si>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</si>
  <si>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</si>
  <si>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</si>
  <si>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</si>
  <si>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</si>
  <si>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</si>
  <si>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</si>
  <si>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</si>
  <si>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</si>
  <si>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</si>
  <si>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</si>
  <si>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</si>
  <si>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</si>
  <si>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</si>
  <si>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</si>
  <si>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</si>
  <si>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</si>
  <si>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</si>
  <si>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</si>
  <si>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</si>
  <si>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</si>
  <si>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</si>
  <si>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</si>
  <si>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</si>
  <si>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</si>
  <si>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</si>
  <si>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</si>
  <si>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</si>
  <si>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</si>
  <si>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</si>
  <si>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</si>
  <si>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</si>
  <si>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</si>
  <si>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</si>
  <si>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</si>
  <si>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</si>
  <si>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</si>
  <si>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</si>
  <si>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</si>
  <si>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</si>
  <si>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</si>
  <si>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</si>
  <si>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</si>
  <si>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</si>
  <si>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</si>
  <si>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</si>
  <si>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</si>
  <si>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</si>
  <si>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</si>
  <si>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</si>
  <si>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</si>
  <si>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</si>
  <si>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</si>
  <si>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</si>
  <si>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</si>
  <si>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</si>
  <si>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</si>
  <si>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</si>
  <si>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</si>
  <si>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</si>
  <si>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</si>
  <si>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</si>
  <si>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</si>
  <si>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</si>
  <si>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</si>
  <si>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</si>
  <si>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</si>
  <si>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</si>
  <si>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</si>
  <si>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</si>
  <si>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</si>
  <si>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</si>
  <si>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</si>
  <si>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</si>
  <si>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</si>
  <si>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</si>
  <si>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</si>
  <si>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</si>
  <si>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</si>
  <si>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11029</t>
  </si>
  <si>
    <t>MORTSEL</t>
  </si>
  <si>
    <t>Paarden&amp;pony's 200 - 600 kg</t>
  </si>
  <si>
    <t>Paarden&amp;pony's &lt; 200 kg</t>
  </si>
  <si>
    <t>referentietaak LNE (2017); Jaarverslag De Lijn (2015)</t>
  </si>
  <si>
    <t>op basis van VEA (maart 2018) en Inventaris Hernieuwbare Energiebronnen (juni 2018)</t>
  </si>
  <si>
    <t>VEA (januari 2017)</t>
  </si>
  <si>
    <t>VEA (juni 2018)</t>
  </si>
  <si>
    <t>Sint Carolus Mayerhof vzw</t>
  </si>
  <si>
    <t>Fredericusstraat 89 , 2640 Mortsel</t>
  </si>
  <si>
    <t>WKK-0663 Sint Carolus Mayerhof</t>
  </si>
  <si>
    <t>interne verbrandingsmotor</t>
  </si>
  <si>
    <t>WKK interne verbrandinsgmotor (gas)</t>
  </si>
  <si>
    <t>IMEA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</si>
</sst>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167638.73261765845</c:v>
                </c:pt>
                <c:pt idx="1">
                  <c:v>84682.626152626181</c:v>
                </c:pt>
                <c:pt idx="2">
                  <c:v>1092.278</c:v>
                </c:pt>
                <c:pt idx="3">
                  <c:v>249.59130666912355</c:v>
                </c:pt>
                <c:pt idx="4">
                  <c:v>362040.41713339981</c:v>
                </c:pt>
                <c:pt idx="5">
                  <c:v>54702.358791392857</c:v>
                </c:pt>
                <c:pt idx="6">
                  <c:v>4111.5537195291972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60224"/>
        <c:axId val="183461760"/>
      </c:barChart>
      <c:catAx>
        <c:axId val="183460224"/>
        <c:scaling>
          <c:orientation val="minMax"/>
        </c:scaling>
        <c:axPos val="b"/>
        <c:numFmt formatCode="General" sourceLinked="0"/>
        <c:tickLblPos val="nextTo"/>
        <c:crossAx val="183461760"/>
        <c:crosses val="autoZero"/>
        <c:auto val="1"/>
        <c:lblAlgn val="ctr"/>
        <c:lblOffset val="100"/>
      </c:catAx>
      <c:valAx>
        <c:axId val="183461760"/>
        <c:scaling>
          <c:orientation val="minMax"/>
        </c:scaling>
        <c:axPos val="l"/>
        <c:majorGridlines/>
        <c:numFmt formatCode="#,##0" sourceLinked="1"/>
        <c:tickLblPos val="nextTo"/>
        <c:crossAx val="183460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167638.73261765845</c:v>
                </c:pt>
                <c:pt idx="1">
                  <c:v>84682.626152626181</c:v>
                </c:pt>
                <c:pt idx="2">
                  <c:v>1092.278</c:v>
                </c:pt>
                <c:pt idx="3">
                  <c:v>249.59130666912355</c:v>
                </c:pt>
                <c:pt idx="4">
                  <c:v>362040.41713339981</c:v>
                </c:pt>
                <c:pt idx="5">
                  <c:v>54702.358791392857</c:v>
                </c:pt>
                <c:pt idx="6">
                  <c:v>4111.5537195291972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33010.945585041409</c:v>
                </c:pt>
                <c:pt idx="2">
                  <c:v>17597.951861079091</c:v>
                </c:pt>
                <c:pt idx="3">
                  <c:v>232.79345327526923</c:v>
                </c:pt>
                <c:pt idx="4">
                  <c:v>60.222680405638435</c:v>
                </c:pt>
                <c:pt idx="5">
                  <c:v>73097.521872669939</c:v>
                </c:pt>
                <c:pt idx="6">
                  <c:v>13973.398540879773</c:v>
                </c:pt>
                <c:pt idx="7">
                  <c:v>991.64412624888928</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52032"/>
        <c:axId val="183988992"/>
      </c:barChart>
      <c:catAx>
        <c:axId val="183852032"/>
        <c:scaling>
          <c:orientation val="minMax"/>
        </c:scaling>
        <c:axPos val="b"/>
        <c:numFmt formatCode="General" sourceLinked="0"/>
        <c:tickLblPos val="nextTo"/>
        <c:crossAx val="183988992"/>
        <c:crosses val="autoZero"/>
        <c:auto val="1"/>
        <c:lblAlgn val="ctr"/>
        <c:lblOffset val="100"/>
      </c:catAx>
      <c:valAx>
        <c:axId val="183988992"/>
        <c:scaling>
          <c:orientation val="minMax"/>
        </c:scaling>
        <c:axPos val="l"/>
        <c:majorGridlines/>
        <c:numFmt formatCode="#,##0" sourceLinked="1"/>
        <c:tickLblPos val="nextTo"/>
        <c:crossAx val="183852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33010.945585041409</c:v>
                </c:pt>
                <c:pt idx="2">
                  <c:v>17597.951861079091</c:v>
                </c:pt>
                <c:pt idx="3">
                  <c:v>232.79345327526923</c:v>
                </c:pt>
                <c:pt idx="4">
                  <c:v>60.222680405638435</c:v>
                </c:pt>
                <c:pt idx="5">
                  <c:v>73097.521872669939</c:v>
                </c:pt>
                <c:pt idx="6">
                  <c:v>13973.398540879773</c:v>
                </c:pt>
                <c:pt idx="7">
                  <c:v>991.64412624888928</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11029</v>
      </c>
      <c r="B6" s="415"/>
      <c r="C6" s="416"/>
    </row>
    <row r="7" spans="1:7" s="413" customFormat="1" ht="15.75" customHeight="1">
      <c r="A7" s="417" t="str">
        <f>txtMunicipality</f>
        <v>MORTSEL</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0.21312656052330015</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0.21312656052330015</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11029</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10982</v>
      </c>
      <c r="C9" s="342">
        <v>10776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102.62</v>
      </c>
    </row>
    <row r="15" spans="1:6">
      <c r="A15" s="348" t="s">
        <v>184</v>
      </c>
      <c r="B15" s="334">
        <v>3</v>
      </c>
    </row>
    <row r="16" spans="1:6">
      <c r="A16" s="348" t="s">
        <v>6</v>
      </c>
      <c r="B16" s="334">
        <v>241</v>
      </c>
    </row>
    <row r="17" spans="1:6">
      <c r="A17" s="348" t="s">
        <v>7</v>
      </c>
      <c r="B17" s="334">
        <v>1</v>
      </c>
    </row>
    <row r="18" spans="1:6">
      <c r="A18" s="348" t="s">
        <v>8</v>
      </c>
      <c r="B18" s="334">
        <v>133</v>
      </c>
    </row>
    <row r="19" spans="1:6">
      <c r="A19" s="348" t="s">
        <v>9</v>
      </c>
      <c r="B19" s="334">
        <v>109</v>
      </c>
    </row>
    <row r="20" spans="1:6">
      <c r="A20" s="348" t="s">
        <v>10</v>
      </c>
      <c r="B20" s="334">
        <v>98</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884</v>
      </c>
      <c r="B29" s="355">
        <v>0</v>
      </c>
      <c r="C29" s="356"/>
      <c r="D29" s="356"/>
      <c r="E29" s="356"/>
      <c r="F29" s="356"/>
    </row>
    <row r="30" spans="1:6">
      <c r="A30" s="355" t="s">
        <v>885</v>
      </c>
      <c r="B30" s="341">
        <v>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61694.951059999999</v>
      </c>
      <c r="E38" s="334">
        <v>3</v>
      </c>
      <c r="F38" s="334">
        <v>7677.6736541999999</v>
      </c>
    </row>
    <row r="39" spans="1:6">
      <c r="A39" s="348" t="s">
        <v>30</v>
      </c>
      <c r="B39" s="348" t="s">
        <v>31</v>
      </c>
      <c r="C39" s="334">
        <v>9396</v>
      </c>
      <c r="D39" s="334">
        <v>137908114.84999999</v>
      </c>
      <c r="E39" s="334">
        <v>11323</v>
      </c>
      <c r="F39" s="334">
        <v>34452321.748999998</v>
      </c>
    </row>
    <row r="40" spans="1:6">
      <c r="A40" s="348" t="s">
        <v>30</v>
      </c>
      <c r="B40" s="348" t="s">
        <v>29</v>
      </c>
      <c r="C40" s="334">
        <v>0</v>
      </c>
      <c r="D40" s="334">
        <v>0</v>
      </c>
      <c r="E40" s="334">
        <v>0</v>
      </c>
      <c r="F40" s="334">
        <v>0</v>
      </c>
    </row>
    <row r="41" spans="1:6">
      <c r="A41" s="348" t="s">
        <v>32</v>
      </c>
      <c r="B41" s="348" t="s">
        <v>33</v>
      </c>
      <c r="C41" s="334">
        <v>54</v>
      </c>
      <c r="D41" s="334">
        <v>1022115.3049</v>
      </c>
      <c r="E41" s="334">
        <v>108</v>
      </c>
      <c r="F41" s="334">
        <v>878626.58958999999</v>
      </c>
    </row>
    <row r="42" spans="1:6">
      <c r="A42" s="348" t="s">
        <v>32</v>
      </c>
      <c r="B42" s="348" t="s">
        <v>34</v>
      </c>
      <c r="C42" s="334">
        <v>8</v>
      </c>
      <c r="D42" s="334">
        <v>395112119.47000003</v>
      </c>
      <c r="E42" s="334">
        <v>3</v>
      </c>
      <c r="F42" s="334">
        <v>6931.5733999000004</v>
      </c>
    </row>
    <row r="43" spans="1:6">
      <c r="A43" s="348" t="s">
        <v>32</v>
      </c>
      <c r="B43" s="348" t="s">
        <v>35</v>
      </c>
      <c r="C43" s="334">
        <v>0</v>
      </c>
      <c r="D43" s="334">
        <v>0</v>
      </c>
      <c r="E43" s="334">
        <v>0</v>
      </c>
      <c r="F43" s="334">
        <v>0</v>
      </c>
    </row>
    <row r="44" spans="1:6">
      <c r="A44" s="348" t="s">
        <v>32</v>
      </c>
      <c r="B44" s="348" t="s">
        <v>36</v>
      </c>
      <c r="C44" s="334">
        <v>0</v>
      </c>
      <c r="D44" s="334">
        <v>0</v>
      </c>
      <c r="E44" s="334">
        <v>11</v>
      </c>
      <c r="F44" s="334">
        <v>87028.640073999995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112066.875</v>
      </c>
      <c r="E47" s="334">
        <v>6</v>
      </c>
      <c r="F47" s="334">
        <v>57263.866147000001</v>
      </c>
    </row>
    <row r="48" spans="1:6">
      <c r="A48" s="348" t="s">
        <v>32</v>
      </c>
      <c r="B48" s="348" t="s">
        <v>29</v>
      </c>
      <c r="C48" s="334">
        <v>22</v>
      </c>
      <c r="D48" s="334">
        <v>730010.48632000003</v>
      </c>
      <c r="E48" s="334">
        <v>25</v>
      </c>
      <c r="F48" s="334">
        <v>168085.93478000001</v>
      </c>
    </row>
    <row r="49" spans="1:6">
      <c r="A49" s="348" t="s">
        <v>32</v>
      </c>
      <c r="B49" s="348" t="s">
        <v>40</v>
      </c>
      <c r="C49" s="334">
        <v>0</v>
      </c>
      <c r="D49" s="334">
        <v>0</v>
      </c>
      <c r="E49" s="334">
        <v>0</v>
      </c>
      <c r="F49" s="334">
        <v>0</v>
      </c>
    </row>
    <row r="50" spans="1:6">
      <c r="A50" s="348" t="s">
        <v>32</v>
      </c>
      <c r="B50" s="348" t="s">
        <v>41</v>
      </c>
      <c r="C50" s="334">
        <v>3</v>
      </c>
      <c r="D50" s="334">
        <v>520747.34815999999</v>
      </c>
      <c r="E50" s="334">
        <v>7</v>
      </c>
      <c r="F50" s="334">
        <v>496878.13793999999</v>
      </c>
    </row>
    <row r="51" spans="1:6">
      <c r="A51" s="348" t="s">
        <v>42</v>
      </c>
      <c r="B51" s="348" t="s">
        <v>43</v>
      </c>
      <c r="C51" s="334">
        <v>4</v>
      </c>
      <c r="D51" s="334">
        <v>39724.108184999997</v>
      </c>
      <c r="E51" s="334">
        <v>3</v>
      </c>
      <c r="F51" s="334">
        <v>11519.356551999999</v>
      </c>
    </row>
    <row r="52" spans="1:6">
      <c r="A52" s="348" t="s">
        <v>42</v>
      </c>
      <c r="B52" s="348" t="s">
        <v>29</v>
      </c>
      <c r="C52" s="334">
        <v>2</v>
      </c>
      <c r="D52" s="334">
        <v>43615.103854000001</v>
      </c>
      <c r="E52" s="334">
        <v>3</v>
      </c>
      <c r="F52" s="334">
        <v>24630.179839</v>
      </c>
    </row>
    <row r="53" spans="1:6">
      <c r="A53" s="348" t="s">
        <v>44</v>
      </c>
      <c r="B53" s="348" t="s">
        <v>45</v>
      </c>
      <c r="C53" s="334">
        <v>281</v>
      </c>
      <c r="D53" s="334">
        <v>5601116.9391999999</v>
      </c>
      <c r="E53" s="334">
        <v>541</v>
      </c>
      <c r="F53" s="334">
        <v>2698118.2664000001</v>
      </c>
    </row>
    <row r="54" spans="1:6">
      <c r="A54" s="348" t="s">
        <v>46</v>
      </c>
      <c r="B54" s="348" t="s">
        <v>47</v>
      </c>
      <c r="C54" s="334">
        <v>0</v>
      </c>
      <c r="D54" s="334">
        <v>0</v>
      </c>
      <c r="E54" s="334">
        <v>1</v>
      </c>
      <c r="F54" s="334">
        <v>1092278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86</v>
      </c>
      <c r="D57" s="334">
        <v>2252369.7529000002</v>
      </c>
      <c r="E57" s="334">
        <v>112</v>
      </c>
      <c r="F57" s="334">
        <v>1084549.7386</v>
      </c>
    </row>
    <row r="58" spans="1:6">
      <c r="A58" s="348" t="s">
        <v>49</v>
      </c>
      <c r="B58" s="348" t="s">
        <v>51</v>
      </c>
      <c r="C58" s="334">
        <v>106</v>
      </c>
      <c r="D58" s="334">
        <v>9575275.1143999994</v>
      </c>
      <c r="E58" s="334">
        <v>107</v>
      </c>
      <c r="F58" s="334">
        <v>2365169.8325999998</v>
      </c>
    </row>
    <row r="59" spans="1:6">
      <c r="A59" s="348" t="s">
        <v>49</v>
      </c>
      <c r="B59" s="348" t="s">
        <v>52</v>
      </c>
      <c r="C59" s="334">
        <v>191</v>
      </c>
      <c r="D59" s="334">
        <v>5607865.3718999997</v>
      </c>
      <c r="E59" s="334">
        <v>298</v>
      </c>
      <c r="F59" s="334">
        <v>6805390.9233999997</v>
      </c>
    </row>
    <row r="60" spans="1:6">
      <c r="A60" s="348" t="s">
        <v>49</v>
      </c>
      <c r="B60" s="348" t="s">
        <v>53</v>
      </c>
      <c r="C60" s="334">
        <v>89</v>
      </c>
      <c r="D60" s="334">
        <v>11402077.890000001</v>
      </c>
      <c r="E60" s="334">
        <v>153</v>
      </c>
      <c r="F60" s="334">
        <v>3559183.1479000002</v>
      </c>
    </row>
    <row r="61" spans="1:6">
      <c r="A61" s="348" t="s">
        <v>49</v>
      </c>
      <c r="B61" s="348" t="s">
        <v>54</v>
      </c>
      <c r="C61" s="334">
        <v>305</v>
      </c>
      <c r="D61" s="334">
        <v>13627637.692</v>
      </c>
      <c r="E61" s="334">
        <v>570</v>
      </c>
      <c r="F61" s="334">
        <v>5733895.7892000005</v>
      </c>
    </row>
    <row r="62" spans="1:6">
      <c r="A62" s="348" t="s">
        <v>49</v>
      </c>
      <c r="B62" s="348" t="s">
        <v>55</v>
      </c>
      <c r="C62" s="334">
        <v>22</v>
      </c>
      <c r="D62" s="334">
        <v>1183663.2853000001</v>
      </c>
      <c r="E62" s="334">
        <v>31</v>
      </c>
      <c r="F62" s="334">
        <v>580762.74583000003</v>
      </c>
    </row>
    <row r="63" spans="1:6">
      <c r="A63" s="348" t="s">
        <v>49</v>
      </c>
      <c r="B63" s="348" t="s">
        <v>29</v>
      </c>
      <c r="C63" s="334">
        <v>89</v>
      </c>
      <c r="D63" s="334">
        <v>8306605.6398999998</v>
      </c>
      <c r="E63" s="334">
        <v>93</v>
      </c>
      <c r="F63" s="334">
        <v>8145103.7357999999</v>
      </c>
    </row>
    <row r="64" spans="1:6">
      <c r="A64" s="348" t="s">
        <v>56</v>
      </c>
      <c r="B64" s="348" t="s">
        <v>57</v>
      </c>
      <c r="C64" s="334">
        <v>0</v>
      </c>
      <c r="D64" s="334">
        <v>0</v>
      </c>
      <c r="E64" s="334">
        <v>0</v>
      </c>
      <c r="F64" s="334">
        <v>0</v>
      </c>
    </row>
    <row r="65" spans="1:6">
      <c r="A65" s="348" t="s">
        <v>56</v>
      </c>
      <c r="B65" s="348" t="s">
        <v>29</v>
      </c>
      <c r="C65" s="334">
        <v>6</v>
      </c>
      <c r="D65" s="334">
        <v>121156.21245000001</v>
      </c>
      <c r="E65" s="334">
        <v>2</v>
      </c>
      <c r="F65" s="334">
        <v>8932.9934506999998</v>
      </c>
    </row>
    <row r="66" spans="1:6">
      <c r="A66" s="348" t="s">
        <v>56</v>
      </c>
      <c r="B66" s="348" t="s">
        <v>58</v>
      </c>
      <c r="C66" s="334">
        <v>0</v>
      </c>
      <c r="D66" s="334">
        <v>0</v>
      </c>
      <c r="E66" s="334">
        <v>19</v>
      </c>
      <c r="F66" s="334">
        <v>207611.55405000001</v>
      </c>
    </row>
    <row r="67" spans="1:6">
      <c r="A67" s="355" t="s">
        <v>56</v>
      </c>
      <c r="B67" s="355" t="s">
        <v>59</v>
      </c>
      <c r="C67" s="334">
        <v>0</v>
      </c>
      <c r="D67" s="334">
        <v>0</v>
      </c>
      <c r="E67" s="334">
        <v>0</v>
      </c>
      <c r="F67" s="334">
        <v>0</v>
      </c>
    </row>
    <row r="68" spans="1:6">
      <c r="A68" s="341" t="s">
        <v>56</v>
      </c>
      <c r="B68" s="341" t="s">
        <v>60</v>
      </c>
      <c r="C68" s="334">
        <v>0</v>
      </c>
      <c r="D68" s="334">
        <v>0</v>
      </c>
      <c r="E68" s="334">
        <v>10</v>
      </c>
      <c r="F68" s="334">
        <v>1914927.1503000001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47412991</v>
      </c>
      <c r="E73" s="475">
        <v>46746374.197787844</v>
      </c>
    </row>
    <row r="74" spans="1:6">
      <c r="A74" s="348" t="s">
        <v>64</v>
      </c>
      <c r="B74" s="348" t="s">
        <v>667</v>
      </c>
      <c r="C74" s="1294" t="s">
        <v>669</v>
      </c>
      <c r="D74" s="475">
        <v>2616119.5330465068</v>
      </c>
      <c r="E74" s="475">
        <v>2590815.8648148524</v>
      </c>
    </row>
    <row r="75" spans="1:6">
      <c r="A75" s="348" t="s">
        <v>65</v>
      </c>
      <c r="B75" s="348" t="s">
        <v>666</v>
      </c>
      <c r="C75" s="1294" t="s">
        <v>670</v>
      </c>
      <c r="D75" s="475">
        <v>19242325</v>
      </c>
      <c r="E75" s="475">
        <v>19049613.596057791</v>
      </c>
    </row>
    <row r="76" spans="1:6">
      <c r="A76" s="348" t="s">
        <v>65</v>
      </c>
      <c r="B76" s="348" t="s">
        <v>667</v>
      </c>
      <c r="C76" s="1294" t="s">
        <v>671</v>
      </c>
      <c r="D76" s="475">
        <v>668134.53304650658</v>
      </c>
      <c r="E76" s="475">
        <v>719904.28661527159</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675922.93390698673</v>
      </c>
      <c r="C83" s="475">
        <v>675922.93390698673</v>
      </c>
    </row>
    <row r="84" spans="1:6">
      <c r="A84" s="341" t="s">
        <v>337</v>
      </c>
      <c r="B84" s="1295">
        <v>452470.74265457405</v>
      </c>
      <c r="C84" s="1295">
        <v>452470.74265457405</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1513.9132840878019</v>
      </c>
    </row>
    <row r="92" spans="1:6">
      <c r="A92" s="341" t="s">
        <v>69</v>
      </c>
      <c r="B92" s="342">
        <v>1042.3463234787221</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7129</v>
      </c>
    </row>
    <row r="98" spans="1:6">
      <c r="A98" s="348" t="s">
        <v>72</v>
      </c>
      <c r="B98" s="334">
        <v>9</v>
      </c>
    </row>
    <row r="99" spans="1:6">
      <c r="A99" s="348" t="s">
        <v>73</v>
      </c>
      <c r="B99" s="334">
        <v>16</v>
      </c>
    </row>
    <row r="100" spans="1:6">
      <c r="A100" s="348" t="s">
        <v>74</v>
      </c>
      <c r="B100" s="334">
        <v>538</v>
      </c>
    </row>
    <row r="101" spans="1:6">
      <c r="A101" s="348" t="s">
        <v>75</v>
      </c>
      <c r="B101" s="334">
        <v>33</v>
      </c>
    </row>
    <row r="102" spans="1:6">
      <c r="A102" s="348" t="s">
        <v>76</v>
      </c>
      <c r="B102" s="334">
        <v>143</v>
      </c>
    </row>
    <row r="103" spans="1:6">
      <c r="A103" s="348" t="s">
        <v>77</v>
      </c>
      <c r="B103" s="334">
        <v>56</v>
      </c>
    </row>
    <row r="104" spans="1:6">
      <c r="A104" s="348" t="s">
        <v>78</v>
      </c>
      <c r="B104" s="334">
        <v>2194</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2</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106</v>
      </c>
    </row>
    <row r="130" spans="1:6">
      <c r="A130" s="348" t="s">
        <v>295</v>
      </c>
      <c r="B130" s="334">
        <v>0</v>
      </c>
    </row>
    <row r="131" spans="1:6">
      <c r="A131" s="348" t="s">
        <v>296</v>
      </c>
      <c r="B131" s="334">
        <v>0</v>
      </c>
    </row>
    <row r="132" spans="1:6">
      <c r="A132" s="341" t="s">
        <v>297</v>
      </c>
      <c r="B132" s="342">
        <v>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71494.105548649648</v>
      </c>
      <c r="C3" s="43" t="s">
        <v>170</v>
      </c>
      <c r="D3" s="43"/>
      <c r="E3" s="154"/>
      <c r="F3" s="43"/>
      <c r="G3" s="43"/>
      <c r="H3" s="43"/>
      <c r="I3" s="43"/>
      <c r="J3" s="43"/>
      <c r="K3" s="96"/>
    </row>
    <row r="4" spans="1:11">
      <c r="A4" s="383" t="s">
        <v>171</v>
      </c>
      <c r="B4" s="49">
        <f>IF(ISERROR('SEAP template'!B78+'SEAP template'!C78),0,'SEAP template'!B78+'SEAP template'!C78)</f>
        <v>2678.1346075665242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28.963235294117649</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0.21312656052330015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41.37605042016807</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174.10714285714286</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1092.278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1092.278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0.21312656052330015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232.79345327526923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34452.321748999995</v>
      </c>
      <c r="C5" s="17">
        <f>IF(ISERROR('Eigen informatie GS &amp; warmtenet'!B57),0,'Eigen informatie GS &amp; warmtenet'!B57)</f>
        <v>0</v>
      </c>
      <c r="D5" s="30">
        <f>(SUM(HH_hh_gas_kWh,HH_rest_gas_kWh)/1000)*0.902</f>
        <v>124393.11959469999</v>
      </c>
      <c r="E5" s="17">
        <f>B46*B57</f>
        <v>961.12537153031803</v>
      </c>
      <c r="F5" s="17">
        <f>B51*B62</f>
        <v>0</v>
      </c>
      <c r="G5" s="18"/>
      <c r="H5" s="17"/>
      <c r="I5" s="17"/>
      <c r="J5" s="17">
        <f>B50*B61+C50*C61</f>
        <v>0</v>
      </c>
      <c r="K5" s="17"/>
      <c r="L5" s="17"/>
      <c r="M5" s="17"/>
      <c r="N5" s="17">
        <f>B48*B59+C48*C59</f>
        <v>5629.9226183403534</v>
      </c>
      <c r="O5" s="17">
        <f>B69*B70*B71</f>
        <v>173.53000000000003</v>
      </c>
      <c r="P5" s="17">
        <f>B77*B78*B79/1000-B77*B78*B79/1000/B80</f>
        <v>514.79999999999995</v>
      </c>
    </row>
    <row r="6" spans="1:16">
      <c r="A6" s="16" t="s">
        <v>624</v>
      </c>
      <c r="B6" s="788">
        <f>kWh_PV_kleiner_dan_10kW</f>
        <v>1513.9132840878019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35966.235033087796</v>
      </c>
      <c r="C8" s="21">
        <f>C5</f>
        <v>0</v>
      </c>
      <c r="D8" s="21">
        <f>D5</f>
        <v>124393.11959469999</v>
      </c>
      <c r="E8" s="21">
        <f>E5</f>
        <v>961.12537153031803</v>
      </c>
      <c r="F8" s="21">
        <f>F5</f>
        <v>0</v>
      </c>
      <c r="G8" s="21"/>
      <c r="H8" s="21"/>
      <c r="I8" s="21"/>
      <c r="J8" s="21">
        <f>J5</f>
        <v>0</v>
      </c>
      <c r="K8" s="21"/>
      <c r="L8" s="21">
        <f>L5</f>
        <v>0</v>
      </c>
      <c r="M8" s="21">
        <f>M5</f>
        <v>0</v>
      </c>
      <c r="N8" s="21">
        <f>N5</f>
        <v>5629.9226183403534</v>
      </c>
      <c r="O8" s="21">
        <f>O5</f>
        <v>173.53000000000003</v>
      </c>
      <c r="P8" s="21">
        <f>P5</f>
        <v>514.79999999999995</v>
      </c>
    </row>
    <row r="9" spans="1:16">
      <c r="B9" s="19"/>
      <c r="C9" s="19"/>
      <c r="D9" s="258"/>
      <c r="E9" s="19"/>
      <c r="F9" s="19"/>
      <c r="G9" s="19"/>
      <c r="H9" s="19"/>
      <c r="I9" s="19"/>
      <c r="J9" s="19"/>
      <c r="K9" s="19"/>
      <c r="L9" s="19"/>
      <c r="M9" s="19"/>
      <c r="N9" s="19"/>
      <c r="O9" s="19"/>
      <c r="P9" s="19"/>
    </row>
    <row r="10" spans="1:16">
      <c r="A10" s="24" t="s">
        <v>214</v>
      </c>
      <c r="B10" s="25">
        <f ca="1">'EF ele_warmte'!B12</f>
        <v>0.21312656052330015</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7665.3599675746245</v>
      </c>
      <c r="C12" s="23">
        <f ca="1">C10*C8</f>
        <v>0</v>
      </c>
      <c r="D12" s="23">
        <f>D8*D10</f>
        <v>25127.410158129402</v>
      </c>
      <c r="E12" s="23">
        <f>E10*E8</f>
        <v>218.17545933738219</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7129</v>
      </c>
      <c r="C18" s="166" t="s">
        <v>111</v>
      </c>
      <c r="D18" s="228"/>
      <c r="E18" s="15"/>
    </row>
    <row r="19" spans="1:7">
      <c r="A19" s="171" t="s">
        <v>72</v>
      </c>
      <c r="B19" s="37">
        <f>aantalw2001_ander</f>
        <v>9</v>
      </c>
      <c r="C19" s="166" t="s">
        <v>111</v>
      </c>
      <c r="D19" s="229"/>
      <c r="E19" s="15"/>
    </row>
    <row r="20" spans="1:7">
      <c r="A20" s="171" t="s">
        <v>73</v>
      </c>
      <c r="B20" s="37">
        <f>aantalw2001_propaan</f>
        <v>16</v>
      </c>
      <c r="C20" s="167">
        <f>IF(ISERROR(B20/SUM($B$20,$B$21,$B$22)*100),0,B20/SUM($B$20,$B$21,$B$22)*100)</f>
        <v>2.7257240204429301</v>
      </c>
      <c r="D20" s="229"/>
      <c r="E20" s="15"/>
    </row>
    <row r="21" spans="1:7">
      <c r="A21" s="171" t="s">
        <v>74</v>
      </c>
      <c r="B21" s="37">
        <f>aantalw2001_elektriciteit</f>
        <v>538</v>
      </c>
      <c r="C21" s="167">
        <f>IF(ISERROR(B21/SUM($B$20,$B$21,$B$22)*100),0,B21/SUM($B$20,$B$21,$B$22)*100)</f>
        <v>91.652470187393533</v>
      </c>
      <c r="D21" s="229"/>
      <c r="E21" s="15"/>
    </row>
    <row r="22" spans="1:7">
      <c r="A22" s="171" t="s">
        <v>75</v>
      </c>
      <c r="B22" s="37">
        <f>aantalw2001_hout</f>
        <v>33</v>
      </c>
      <c r="C22" s="167">
        <f>IF(ISERROR(B22/SUM($B$20,$B$21,$B$22)*100),0,B22/SUM($B$20,$B$21,$B$22)*100)</f>
        <v>5.6218057921635438</v>
      </c>
      <c r="D22" s="229"/>
      <c r="E22" s="15"/>
    </row>
    <row r="23" spans="1:7">
      <c r="A23" s="171" t="s">
        <v>76</v>
      </c>
      <c r="B23" s="37">
        <f>aantalw2001_niet_gespec</f>
        <v>143</v>
      </c>
      <c r="C23" s="166" t="s">
        <v>111</v>
      </c>
      <c r="D23" s="228"/>
      <c r="E23" s="15"/>
    </row>
    <row r="24" spans="1:7">
      <c r="A24" s="171" t="s">
        <v>77</v>
      </c>
      <c r="B24" s="37">
        <f>aantalw2001_steenkool</f>
        <v>56</v>
      </c>
      <c r="C24" s="166" t="s">
        <v>111</v>
      </c>
      <c r="D24" s="229"/>
      <c r="E24" s="15"/>
    </row>
    <row r="25" spans="1:7">
      <c r="A25" s="171" t="s">
        <v>78</v>
      </c>
      <c r="B25" s="37">
        <f>aantalw2001_stookolie</f>
        <v>2194</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10982</v>
      </c>
      <c r="C28" s="36"/>
      <c r="D28" s="228"/>
    </row>
    <row r="29" spans="1:7" s="15" customFormat="1">
      <c r="A29" s="230" t="s">
        <v>699</v>
      </c>
      <c r="B29" s="37">
        <f>SUM(HH_hh_gas_aantal,HH_rest_gas_aantal)</f>
        <v>9396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9396</v>
      </c>
      <c r="C32" s="167">
        <f>IF(ISERROR(B32/SUM($B$32,$B$34,$B$35,$B$36,$B$38,$B$39)*100),0,B32/SUM($B$32,$B$34,$B$35,$B$36,$B$38,$B$39)*100)</f>
        <v>85.769055225924234</v>
      </c>
      <c r="D32" s="233"/>
      <c r="G32" s="15"/>
    </row>
    <row r="33" spans="1:7">
      <c r="A33" s="171" t="s">
        <v>72</v>
      </c>
      <c r="B33" s="34" t="s">
        <v>111</v>
      </c>
      <c r="C33" s="167"/>
      <c r="D33" s="233"/>
      <c r="G33" s="15"/>
    </row>
    <row r="34" spans="1:7">
      <c r="A34" s="171" t="s">
        <v>73</v>
      </c>
      <c r="B34" s="33">
        <f>IF((($B$28-$B$32-$B$39-$B$77-$B$38)*C20/100)&lt;0,0,($B$28-$B$32-$B$39-$B$77-$B$38)*C20/100)</f>
        <v>42.49403747870528</v>
      </c>
      <c r="C34" s="167">
        <f>IF(ISERROR(B34/SUM($B$32,$B$34,$B$35,$B$36,$B$38,$B$39)*100),0,B34/SUM($B$32,$B$34,$B$35,$B$36,$B$38,$B$39)*100)</f>
        <v>0.38789628004295096</v>
      </c>
      <c r="D34" s="233"/>
      <c r="G34" s="15"/>
    </row>
    <row r="35" spans="1:7">
      <c r="A35" s="171" t="s">
        <v>74</v>
      </c>
      <c r="B35" s="33">
        <f>IF((($B$28-$B$32-$B$39-$B$77-$B$38)*C21/100)&lt;0,0,($B$28-$B$32-$B$39-$B$77-$B$38)*C21/100)</f>
        <v>1428.8620102214654</v>
      </c>
      <c r="C35" s="167">
        <f>IF(ISERROR(B35/SUM($B$32,$B$34,$B$35,$B$36,$B$38,$B$39)*100),0,B35/SUM($B$32,$B$34,$B$35,$B$36,$B$38,$B$39)*100)</f>
        <v>13.043012416444229</v>
      </c>
      <c r="D35" s="233"/>
      <c r="G35" s="15"/>
    </row>
    <row r="36" spans="1:7">
      <c r="A36" s="171" t="s">
        <v>75</v>
      </c>
      <c r="B36" s="33">
        <f>IF((($B$28-$B$32-$B$39-$B$77-$B$38)*C22/100)&lt;0,0,($B$28-$B$32-$B$39-$B$77-$B$38)*C22/100)</f>
        <v>87.64395229982965</v>
      </c>
      <c r="C36" s="167">
        <f>IF(ISERROR(B36/SUM($B$32,$B$34,$B$35,$B$36,$B$38,$B$39)*100),0,B36/SUM($B$32,$B$34,$B$35,$B$36,$B$38,$B$39)*100)</f>
        <v>0.80003607758858641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9396</v>
      </c>
      <c r="C44" s="34" t="s">
        <v>111</v>
      </c>
      <c r="D44" s="174"/>
    </row>
    <row r="45" spans="1:7">
      <c r="A45" s="171" t="s">
        <v>72</v>
      </c>
      <c r="B45" s="33" t="str">
        <f t="shared" si="0"/>
        <v>-</v>
      </c>
      <c r="C45" s="34" t="s">
        <v>111</v>
      </c>
      <c r="D45" s="174"/>
    </row>
    <row r="46" spans="1:7">
      <c r="A46" s="171" t="s">
        <v>73</v>
      </c>
      <c r="B46" s="33">
        <f t="shared" si="0"/>
        <v>42.49403747870528</v>
      </c>
      <c r="C46" s="34" t="s">
        <v>111</v>
      </c>
      <c r="D46" s="174"/>
    </row>
    <row r="47" spans="1:7">
      <c r="A47" s="171" t="s">
        <v>74</v>
      </c>
      <c r="B47" s="33">
        <f t="shared" si="0"/>
        <v>1428.8620102214654</v>
      </c>
      <c r="C47" s="34" t="s">
        <v>111</v>
      </c>
      <c r="D47" s="174"/>
    </row>
    <row r="48" spans="1:7">
      <c r="A48" s="171" t="s">
        <v>75</v>
      </c>
      <c r="B48" s="33">
        <f t="shared" si="0"/>
        <v>87.64395229982965</v>
      </c>
      <c r="C48" s="33">
        <f>B48*10</f>
        <v>876.43952299829652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27</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28274.055913330001</v>
      </c>
      <c r="C5" s="17">
        <f>IF(ISERROR('Eigen informatie GS &amp; warmtenet'!B58),0,'Eigen informatie GS &amp; warmtenet'!B58)</f>
        <v>0</v>
      </c>
      <c r="D5" s="30">
        <f>SUM(D6:D12)</f>
        <v>46863.856261252797</v>
      </c>
      <c r="E5" s="17">
        <f>SUM(E6:E12)</f>
        <v>554.00296132046219</v>
      </c>
      <c r="F5" s="17">
        <f>SUM(F6:F12)</f>
        <v>7425.9564455622549</v>
      </c>
      <c r="G5" s="18"/>
      <c r="H5" s="17"/>
      <c r="I5" s="17"/>
      <c r="J5" s="17">
        <f>SUM(J6:J12)</f>
        <v>0</v>
      </c>
      <c r="K5" s="17"/>
      <c r="L5" s="17"/>
      <c r="M5" s="17"/>
      <c r="N5" s="17">
        <f>SUM(N6:N12)</f>
        <v>1616.9867140177953</v>
      </c>
      <c r="O5" s="17">
        <f>B38*B39*B40</f>
        <v>0</v>
      </c>
      <c r="P5" s="17">
        <f>B46*B47*B48/1000-B46*B47*B48/1000/B49</f>
        <v>0</v>
      </c>
      <c r="R5" s="32"/>
    </row>
    <row r="6" spans="1:18">
      <c r="A6" s="32" t="s">
        <v>54</v>
      </c>
      <c r="B6" s="37">
        <f>B26</f>
        <v>5733.8957892000008</v>
      </c>
      <c r="C6" s="33"/>
      <c r="D6" s="37">
        <f>IF(ISERROR(TER_kantoor_gas_kWh/1000),0,TER_kantoor_gas_kWh/1000)*0.902</f>
        <v>12292.129198184</v>
      </c>
      <c r="E6" s="33">
        <f>$C$26*'E Balans VL '!I12/100/3.6*1000000</f>
        <v>75.063759016057247</v>
      </c>
      <c r="F6" s="33">
        <f>$C$26*('E Balans VL '!L12+'E Balans VL '!N12)/100/3.6*1000000</f>
        <v>1462.0841743802625</v>
      </c>
      <c r="G6" s="34"/>
      <c r="H6" s="33"/>
      <c r="I6" s="33"/>
      <c r="J6" s="33">
        <f>$C$26*('E Balans VL '!D12+'E Balans VL '!E12)/100/3.6*1000000</f>
        <v>0</v>
      </c>
      <c r="K6" s="33"/>
      <c r="L6" s="33"/>
      <c r="M6" s="33"/>
      <c r="N6" s="33">
        <f>$C$26*'E Balans VL '!Y12/100/3.6*1000000</f>
        <v>5.7532043761465665</v>
      </c>
      <c r="O6" s="33"/>
      <c r="P6" s="33"/>
      <c r="R6" s="32"/>
    </row>
    <row r="7" spans="1:18">
      <c r="A7" s="32" t="s">
        <v>53</v>
      </c>
      <c r="B7" s="37">
        <f t="shared" ref="B7:B12" si="0">B27</f>
        <v>3559.1831479000002</v>
      </c>
      <c r="C7" s="33"/>
      <c r="D7" s="37">
        <f>IF(ISERROR(TER_horeca_gas_kWh/1000),0,TER_horeca_gas_kWh/1000)*0.902</f>
        <v>10284.674256780001</v>
      </c>
      <c r="E7" s="33">
        <f>$C$27*'E Balans VL '!I9/100/3.6*1000000</f>
        <v>117.78731241066374</v>
      </c>
      <c r="F7" s="33">
        <f>$C$27*('E Balans VL '!L9+'E Balans VL '!N9)/100/3.6*1000000</f>
        <v>1530.4351131549345</v>
      </c>
      <c r="G7" s="34"/>
      <c r="H7" s="33"/>
      <c r="I7" s="33"/>
      <c r="J7" s="33">
        <f>$C$27*('E Balans VL '!D9+'E Balans VL '!E9)/100/3.6*1000000</f>
        <v>0</v>
      </c>
      <c r="K7" s="33"/>
      <c r="L7" s="33"/>
      <c r="M7" s="33"/>
      <c r="N7" s="33">
        <f>$C$27*'E Balans VL '!Y9/100/3.6*1000000</f>
        <v>0.8567470687107962</v>
      </c>
      <c r="O7" s="33"/>
      <c r="P7" s="33"/>
      <c r="R7" s="32"/>
    </row>
    <row r="8" spans="1:18">
      <c r="A8" s="6" t="s">
        <v>52</v>
      </c>
      <c r="B8" s="37">
        <f t="shared" si="0"/>
        <v>6805.3909233999993</v>
      </c>
      <c r="C8" s="33"/>
      <c r="D8" s="37">
        <f>IF(ISERROR(TER_handel_gas_kWh/1000),0,TER_handel_gas_kWh/1000)*0.902</f>
        <v>5058.2945654537998</v>
      </c>
      <c r="E8" s="33">
        <f>$C$28*'E Balans VL '!I13/100/3.6*1000000</f>
        <v>214.78853587031219</v>
      </c>
      <c r="F8" s="33">
        <f>$C$28*('E Balans VL '!L13+'E Balans VL '!N13)/100/3.6*1000000</f>
        <v>1334.6569955728535</v>
      </c>
      <c r="G8" s="34"/>
      <c r="H8" s="33"/>
      <c r="I8" s="33"/>
      <c r="J8" s="33">
        <f>$C$28*('E Balans VL '!D13+'E Balans VL '!E13)/100/3.6*1000000</f>
        <v>0</v>
      </c>
      <c r="K8" s="33"/>
      <c r="L8" s="33"/>
      <c r="M8" s="33"/>
      <c r="N8" s="33">
        <f>$C$28*'E Balans VL '!Y13/100/3.6*1000000</f>
        <v>8.0766777756483066</v>
      </c>
      <c r="O8" s="33"/>
      <c r="P8" s="33"/>
      <c r="R8" s="32"/>
    </row>
    <row r="9" spans="1:18">
      <c r="A9" s="32" t="s">
        <v>51</v>
      </c>
      <c r="B9" s="37">
        <f t="shared" si="0"/>
        <v>2365.1698326000001</v>
      </c>
      <c r="C9" s="33"/>
      <c r="D9" s="37">
        <f>IF(ISERROR(TER_gezond_gas_kWh/1000),0,TER_gezond_gas_kWh/1000)*0.902</f>
        <v>8636.8981531888003</v>
      </c>
      <c r="E9" s="33">
        <f>$C$29*'E Balans VL '!I10/100/3.6*1000000</f>
        <v>0.30281093008102289</v>
      </c>
      <c r="F9" s="33">
        <f>$C$29*('E Balans VL '!L10+'E Balans VL '!N10)/100/3.6*1000000</f>
        <v>492.76400948318002</v>
      </c>
      <c r="G9" s="34"/>
      <c r="H9" s="33"/>
      <c r="I9" s="33"/>
      <c r="J9" s="33">
        <f>$C$29*('E Balans VL '!D10+'E Balans VL '!E10)/100/3.6*1000000</f>
        <v>0</v>
      </c>
      <c r="K9" s="33"/>
      <c r="L9" s="33"/>
      <c r="M9" s="33"/>
      <c r="N9" s="33">
        <f>$C$29*'E Balans VL '!Y10/100/3.6*1000000</f>
        <v>27.780037610118985</v>
      </c>
      <c r="O9" s="33"/>
      <c r="P9" s="33"/>
      <c r="R9" s="32"/>
    </row>
    <row r="10" spans="1:18">
      <c r="A10" s="32" t="s">
        <v>50</v>
      </c>
      <c r="B10" s="37">
        <f t="shared" si="0"/>
        <v>1084.5497386</v>
      </c>
      <c r="C10" s="33"/>
      <c r="D10" s="37">
        <f>IF(ISERROR(TER_ander_gas_kWh/1000),0,TER_ander_gas_kWh/1000)*0.902</f>
        <v>2031.6375171158002</v>
      </c>
      <c r="E10" s="33">
        <f>$C$30*'E Balans VL '!I14/100/3.6*1000000</f>
        <v>1.6309077580774929</v>
      </c>
      <c r="F10" s="33">
        <f>$C$30*('E Balans VL '!L14+'E Balans VL '!N14)/100/3.6*1000000</f>
        <v>239.43362225914328</v>
      </c>
      <c r="G10" s="34"/>
      <c r="H10" s="33"/>
      <c r="I10" s="33"/>
      <c r="J10" s="33">
        <f>$C$30*('E Balans VL '!D14+'E Balans VL '!E14)/100/3.6*1000000</f>
        <v>0</v>
      </c>
      <c r="K10" s="33"/>
      <c r="L10" s="33"/>
      <c r="M10" s="33"/>
      <c r="N10" s="33">
        <f>$C$30*'E Balans VL '!Y14/100/3.6*1000000</f>
        <v>854.69818146230705</v>
      </c>
      <c r="O10" s="33"/>
      <c r="P10" s="33"/>
      <c r="R10" s="32"/>
    </row>
    <row r="11" spans="1:18">
      <c r="A11" s="32" t="s">
        <v>55</v>
      </c>
      <c r="B11" s="37">
        <f t="shared" si="0"/>
        <v>580.76274583000009</v>
      </c>
      <c r="C11" s="33"/>
      <c r="D11" s="37">
        <f>IF(ISERROR(TER_onderwijs_gas_kWh/1000),0,TER_onderwijs_gas_kWh/1000)*0.902</f>
        <v>1067.6642833406002</v>
      </c>
      <c r="E11" s="33">
        <f>$C$31*'E Balans VL '!I11/100/3.6*1000000</f>
        <v>1.0227718631565039</v>
      </c>
      <c r="F11" s="33">
        <f>$C$31*('E Balans VL '!L11+'E Balans VL '!N11)/100/3.6*1000000</f>
        <v>268.14866863421599</v>
      </c>
      <c r="G11" s="34"/>
      <c r="H11" s="33"/>
      <c r="I11" s="33"/>
      <c r="J11" s="33">
        <f>$C$31*('E Balans VL '!D11+'E Balans VL '!E11)/100/3.6*1000000</f>
        <v>0</v>
      </c>
      <c r="K11" s="33"/>
      <c r="L11" s="33"/>
      <c r="M11" s="33"/>
      <c r="N11" s="33">
        <f>$C$31*'E Balans VL '!Y11/100/3.6*1000000</f>
        <v>1.0819690267207858</v>
      </c>
      <c r="O11" s="33"/>
      <c r="P11" s="33"/>
      <c r="R11" s="32"/>
    </row>
    <row r="12" spans="1:18">
      <c r="A12" s="32" t="s">
        <v>260</v>
      </c>
      <c r="B12" s="37">
        <f t="shared" si="0"/>
        <v>8145.1037358000003</v>
      </c>
      <c r="C12" s="33"/>
      <c r="D12" s="37">
        <f>IF(ISERROR(TER_rest_gas_kWh/1000),0,TER_rest_gas_kWh/1000)*0.902</f>
        <v>7492.5582871897996</v>
      </c>
      <c r="E12" s="33">
        <f>$C$32*'E Balans VL '!I8/100/3.6*1000000</f>
        <v>143.40686347211391</v>
      </c>
      <c r="F12" s="33">
        <f>$C$32*('E Balans VL '!L8+'E Balans VL '!N8)/100/3.6*1000000</f>
        <v>2098.4338620776639</v>
      </c>
      <c r="G12" s="34"/>
      <c r="H12" s="33"/>
      <c r="I12" s="33"/>
      <c r="J12" s="33">
        <f>$C$32*('E Balans VL '!D8+'E Balans VL '!E8)/100/3.6*1000000</f>
        <v>0</v>
      </c>
      <c r="K12" s="33"/>
      <c r="L12" s="33"/>
      <c r="M12" s="33"/>
      <c r="N12" s="33">
        <f>$C$32*'E Balans VL '!Y8/100/3.6*1000000</f>
        <v>718.73989669814273</v>
      </c>
      <c r="O12" s="33"/>
      <c r="P12" s="33"/>
      <c r="R12" s="32"/>
    </row>
    <row r="13" spans="1:18">
      <c r="A13" s="16" t="s">
        <v>491</v>
      </c>
      <c r="B13" s="247">
        <f ca="1">'lokale energieproductie'!N91+'lokale energieproductie'!N60</f>
        <v>121.875</v>
      </c>
      <c r="C13" s="247">
        <f ca="1">'lokale energieproductie'!O91+'lokale energieproductie'!O60</f>
        <v>174.10714285714286</v>
      </c>
      <c r="D13" s="310">
        <f ca="1">('lokale energieproductie'!P60+'lokale energieproductie'!P91)*(-1)</f>
        <v>-348.21428571428572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28395.930913330001</v>
      </c>
      <c r="C16" s="21">
        <f t="shared" ca="1" si="1"/>
        <v>174.10714285714286</v>
      </c>
      <c r="D16" s="21">
        <f t="shared" ca="1" si="1"/>
        <v>46515.641975538514</v>
      </c>
      <c r="E16" s="21">
        <f t="shared" si="1"/>
        <v>554.00296132046219</v>
      </c>
      <c r="F16" s="21">
        <f t="shared" ca="1" si="1"/>
        <v>7425.9564455622549</v>
      </c>
      <c r="G16" s="21">
        <f t="shared" si="1"/>
        <v>0</v>
      </c>
      <c r="H16" s="21">
        <f t="shared" si="1"/>
        <v>0</v>
      </c>
      <c r="I16" s="21">
        <f t="shared" si="1"/>
        <v>0</v>
      </c>
      <c r="J16" s="21">
        <f t="shared" si="1"/>
        <v>0</v>
      </c>
      <c r="K16" s="21">
        <f t="shared" si="1"/>
        <v>0</v>
      </c>
      <c r="L16" s="21">
        <f t="shared" ca="1" si="1"/>
        <v>0</v>
      </c>
      <c r="M16" s="21">
        <f t="shared" si="1"/>
        <v>0</v>
      </c>
      <c r="N16" s="21">
        <f t="shared" ca="1" si="1"/>
        <v>1616.9867140177953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0.21312656052330015</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6051.9270884152756</v>
      </c>
      <c r="C20" s="23">
        <f t="shared" ref="C20:P20" ca="1" si="2">C16*C18</f>
        <v>41.37605042016807</v>
      </c>
      <c r="D20" s="23">
        <f t="shared" ca="1" si="2"/>
        <v>9396.159679058781</v>
      </c>
      <c r="E20" s="23">
        <f t="shared" si="2"/>
        <v>125.75867221974492</v>
      </c>
      <c r="F20" s="23">
        <f t="shared" ca="1" si="2"/>
        <v>1982.7303709651221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5733.8957892000008</v>
      </c>
      <c r="C26" s="39">
        <f>IF(ISERROR(B26*3.6/1000000/'E Balans VL '!Z12*100),0,B26*3.6/1000000/'E Balans VL '!Z12*100)</f>
        <v>0.12282450229484691</v>
      </c>
      <c r="D26" s="237" t="s">
        <v>660</v>
      </c>
      <c r="F26" s="6"/>
    </row>
    <row r="27" spans="1:18">
      <c r="A27" s="231" t="s">
        <v>53</v>
      </c>
      <c r="B27" s="33">
        <f>IF(ISERROR(TER_horeca_ele_kWh/1000),0,TER_horeca_ele_kWh/1000)</f>
        <v>3559.1831479000002</v>
      </c>
      <c r="C27" s="39">
        <f>IF(ISERROR(B27*3.6/1000000/'E Balans VL '!Z9*100),0,B27*3.6/1000000/'E Balans VL '!Z9*100)</f>
        <v>0.28561207602463184</v>
      </c>
      <c r="D27" s="237" t="s">
        <v>660</v>
      </c>
      <c r="F27" s="6"/>
    </row>
    <row r="28" spans="1:18">
      <c r="A28" s="171" t="s">
        <v>52</v>
      </c>
      <c r="B28" s="33">
        <f>IF(ISERROR(TER_handel_ele_kWh/1000),0,TER_handel_ele_kWh/1000)</f>
        <v>6805.3909233999993</v>
      </c>
      <c r="C28" s="39">
        <f>IF(ISERROR(B28*3.6/1000000/'E Balans VL '!Z13*100),0,B28*3.6/1000000/'E Balans VL '!Z13*100)</f>
        <v>0.20071999807490973</v>
      </c>
      <c r="D28" s="237" t="s">
        <v>660</v>
      </c>
      <c r="F28" s="6"/>
    </row>
    <row r="29" spans="1:18">
      <c r="A29" s="231" t="s">
        <v>51</v>
      </c>
      <c r="B29" s="33">
        <f>IF(ISERROR(TER_gezond_ele_kWh/1000),0,TER_gezond_ele_kWh/1000)</f>
        <v>2365.1698326000001</v>
      </c>
      <c r="C29" s="39">
        <f>IF(ISERROR(B29*3.6/1000000/'E Balans VL '!Z10*100),0,B29*3.6/1000000/'E Balans VL '!Z10*100)</f>
        <v>0.25253672554051582</v>
      </c>
      <c r="D29" s="237" t="s">
        <v>660</v>
      </c>
      <c r="F29" s="6"/>
    </row>
    <row r="30" spans="1:18">
      <c r="A30" s="231" t="s">
        <v>50</v>
      </c>
      <c r="B30" s="33">
        <f>IF(ISERROR(TER_ander_ele_kWh/1000),0,TER_ander_ele_kWh/1000)</f>
        <v>1084.5497386</v>
      </c>
      <c r="C30" s="39">
        <f>IF(ISERROR(B30*3.6/1000000/'E Balans VL '!Z14*100),0,B30*3.6/1000000/'E Balans VL '!Z14*100)</f>
        <v>8.1920300611493427E-2</v>
      </c>
      <c r="D30" s="237" t="s">
        <v>660</v>
      </c>
      <c r="F30" s="6"/>
    </row>
    <row r="31" spans="1:18">
      <c r="A31" s="231" t="s">
        <v>55</v>
      </c>
      <c r="B31" s="33">
        <f>IF(ISERROR(TER_onderwijs_ele_kWh/1000),0,TER_onderwijs_ele_kWh/1000)</f>
        <v>580.76274583000009</v>
      </c>
      <c r="C31" s="39">
        <f>IF(ISERROR(B31*3.6/1000000/'E Balans VL '!Z11*100),0,B31*3.6/1000000/'E Balans VL '!Z11*100)</f>
        <v>0.11727538574128792</v>
      </c>
      <c r="D31" s="237" t="s">
        <v>660</v>
      </c>
    </row>
    <row r="32" spans="1:18">
      <c r="A32" s="231" t="s">
        <v>260</v>
      </c>
      <c r="B32" s="33">
        <f>IF(ISERROR(TER_rest_ele_kWh/1000),0,TER_rest_ele_kWh/1000)</f>
        <v>8145.1037358000003</v>
      </c>
      <c r="C32" s="39">
        <f>IF(ISERROR(B32*3.6/1000000/'E Balans VL '!Z8*100),0,B32*3.6/1000000/'E Balans VL '!Z8*100)</f>
        <v>6.7534251944911736E-2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1694.8147419308998</v>
      </c>
      <c r="C5" s="17">
        <f>IF(ISERROR('Eigen informatie GS &amp; warmtenet'!B59),0,'Eigen informatie GS &amp; warmtenet'!B59)</f>
        <v>0</v>
      </c>
      <c r="D5" s="30">
        <f>SUM(D6:D15)</f>
        <v>358542.34765491076</v>
      </c>
      <c r="E5" s="17">
        <f>SUM(E6:E15)</f>
        <v>249.35321933244643</v>
      </c>
      <c r="F5" s="17">
        <f>SUM(F6:F15)</f>
        <v>944.99991120944264</v>
      </c>
      <c r="G5" s="18"/>
      <c r="H5" s="17"/>
      <c r="I5" s="17"/>
      <c r="J5" s="17">
        <f>SUM(J6:J15)</f>
        <v>5.1961938549241955</v>
      </c>
      <c r="K5" s="17"/>
      <c r="L5" s="17"/>
      <c r="M5" s="17"/>
      <c r="N5" s="17">
        <f>SUM(N6:N15)</f>
        <v>603.70541216130323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87.028640073999995</v>
      </c>
      <c r="C8" s="33"/>
      <c r="D8" s="37">
        <f>IF( ISERROR(IND_metaal_Gas_kWH/1000),0,IND_metaal_Gas_kWH/1000)*0.902</f>
        <v>0</v>
      </c>
      <c r="E8" s="33">
        <f>C30*'E Balans VL '!I18/100/3.6*1000000</f>
        <v>3.1315537493459344</v>
      </c>
      <c r="F8" s="33">
        <f>C30*'E Balans VL '!L18/100/3.6*1000000+C30*'E Balans VL '!N18/100/3.6*1000000</f>
        <v>38.002585955333387</v>
      </c>
      <c r="G8" s="34"/>
      <c r="H8" s="33"/>
      <c r="I8" s="33"/>
      <c r="J8" s="40">
        <f>C30*'E Balans VL '!D18/100/3.6*1000000+C30*'E Balans VL '!E18/100/3.6*1000000</f>
        <v>0</v>
      </c>
      <c r="K8" s="33"/>
      <c r="L8" s="33"/>
      <c r="M8" s="33"/>
      <c r="N8" s="33">
        <f>C30*'E Balans VL '!Y18/100/3.6*1000000</f>
        <v>4.361816298281262</v>
      </c>
      <c r="O8" s="33"/>
      <c r="P8" s="33"/>
      <c r="R8" s="32"/>
    </row>
    <row r="9" spans="1:18">
      <c r="A9" s="6" t="s">
        <v>33</v>
      </c>
      <c r="B9" s="37">
        <f t="shared" si="0"/>
        <v>878.62658958999998</v>
      </c>
      <c r="C9" s="33"/>
      <c r="D9" s="37">
        <f>IF( ISERROR(IND_andere_gas_kWh/1000),0,IND_andere_gas_kWh/1000)*0.902</f>
        <v>921.94800501980001</v>
      </c>
      <c r="E9" s="33">
        <f>C31*'E Balans VL '!I19/100/3.6*1000000</f>
        <v>224.2056261799749</v>
      </c>
      <c r="F9" s="33">
        <f>C31*'E Balans VL '!L19/100/3.6*1000000+C31*'E Balans VL '!N19/100/3.6*1000000</f>
        <v>756.43145349509621</v>
      </c>
      <c r="G9" s="34"/>
      <c r="H9" s="33"/>
      <c r="I9" s="33"/>
      <c r="J9" s="40">
        <f>C31*'E Balans VL '!D19/100/3.6*1000000+C31*'E Balans VL '!E19/100/3.6*1000000</f>
        <v>0</v>
      </c>
      <c r="K9" s="33"/>
      <c r="L9" s="33"/>
      <c r="M9" s="33"/>
      <c r="N9" s="33">
        <f>C31*'E Balans VL '!Y19/100/3.6*1000000</f>
        <v>274.7766243829426</v>
      </c>
      <c r="O9" s="33"/>
      <c r="P9" s="33"/>
      <c r="R9" s="32"/>
    </row>
    <row r="10" spans="1:18">
      <c r="A10" s="6" t="s">
        <v>41</v>
      </c>
      <c r="B10" s="37">
        <f t="shared" si="0"/>
        <v>496.87813793999999</v>
      </c>
      <c r="C10" s="33"/>
      <c r="D10" s="37">
        <f>IF( ISERROR(IND_voed_gas_kWh/1000),0,IND_voed_gas_kWh/1000)*0.902</f>
        <v>469.71410804032001</v>
      </c>
      <c r="E10" s="33">
        <f>C32*'E Balans VL '!I20/100/3.6*1000000</f>
        <v>12.631324536029032</v>
      </c>
      <c r="F10" s="33">
        <f>C32*'E Balans VL '!L20/100/3.6*1000000+C32*'E Balans VL '!N20/100/3.6*1000000</f>
        <v>112.43606383172555</v>
      </c>
      <c r="G10" s="34"/>
      <c r="H10" s="33"/>
      <c r="I10" s="33"/>
      <c r="J10" s="40">
        <f>C32*'E Balans VL '!D20/100/3.6*1000000+C32*'E Balans VL '!E20/100/3.6*1000000</f>
        <v>0</v>
      </c>
      <c r="K10" s="33"/>
      <c r="L10" s="33"/>
      <c r="M10" s="33"/>
      <c r="N10" s="33">
        <f>C32*'E Balans VL '!Y20/100/3.6*1000000</f>
        <v>186.34277013919075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57.263866147000002</v>
      </c>
      <c r="C13" s="33"/>
      <c r="D13" s="37">
        <f>IF( ISERROR(IND_papier_gas_kWh/1000),0,IND_papier_gas_kWh/1000)*0.902</f>
        <v>101.08432125</v>
      </c>
      <c r="E13" s="33">
        <f>C35*'E Balans VL '!I23/100/3.6*1000000</f>
        <v>0.24558806282746476</v>
      </c>
      <c r="F13" s="33">
        <f>C35*'E Balans VL '!L23/100/3.6*1000000+C35*'E Balans VL '!N23/100/3.6*1000000</f>
        <v>1.4392186919999661</v>
      </c>
      <c r="G13" s="34"/>
      <c r="H13" s="33"/>
      <c r="I13" s="33"/>
      <c r="J13" s="40">
        <f>C35*'E Balans VL '!D23/100/3.6*1000000+C35*'E Balans VL '!E23/100/3.6*1000000</f>
        <v>3.8335017591557903</v>
      </c>
      <c r="K13" s="33"/>
      <c r="L13" s="33"/>
      <c r="M13" s="33"/>
      <c r="N13" s="33">
        <f>C35*'E Balans VL '!Y23/100/3.6*1000000</f>
        <v>104.23385425446362</v>
      </c>
      <c r="O13" s="33"/>
      <c r="P13" s="33"/>
      <c r="R13" s="32"/>
    </row>
    <row r="14" spans="1:18">
      <c r="A14" s="6" t="s">
        <v>34</v>
      </c>
      <c r="B14" s="37">
        <f t="shared" si="0"/>
        <v>6.9315733999000004</v>
      </c>
      <c r="C14" s="33"/>
      <c r="D14" s="37">
        <f>IF( ISERROR(IND_chemie_gas_kWh/1000),0,IND_chemie_gas_kWh/1000)*0.902</f>
        <v>356391.13176194002</v>
      </c>
      <c r="E14" s="33">
        <f>C36*'E Balans VL '!I24/100/3.6*1000000</f>
        <v>1.6617361486636818E-2</v>
      </c>
      <c r="F14" s="33">
        <f>C36*'E Balans VL '!L24/100/3.6*1000000+C36*'E Balans VL '!N24/100/3.6*1000000</f>
        <v>5.5627444485414256E-2</v>
      </c>
      <c r="G14" s="34"/>
      <c r="H14" s="33"/>
      <c r="I14" s="33"/>
      <c r="J14" s="40">
        <f>C36*'E Balans VL '!D24/100/3.6*1000000+C36*'E Balans VL '!E24/100/3.6*1000000</f>
        <v>0</v>
      </c>
      <c r="K14" s="33"/>
      <c r="L14" s="33"/>
      <c r="M14" s="33"/>
      <c r="N14" s="33">
        <f>C36*'E Balans VL '!Y24/100/3.6*1000000</f>
        <v>0.14327024839894861</v>
      </c>
      <c r="O14" s="33"/>
      <c r="P14" s="33"/>
      <c r="R14" s="32"/>
    </row>
    <row r="15" spans="1:18">
      <c r="A15" s="6" t="s">
        <v>270</v>
      </c>
      <c r="B15" s="37">
        <f t="shared" si="0"/>
        <v>168.08593478</v>
      </c>
      <c r="C15" s="33"/>
      <c r="D15" s="37">
        <f>IF( ISERROR(IND_rest_gas_kWh/1000),0,IND_rest_gas_kWh/1000)*0.902</f>
        <v>658.46945866064004</v>
      </c>
      <c r="E15" s="33">
        <f>C37*'E Balans VL '!I15/100/3.6*1000000</f>
        <v>9.12250944278248</v>
      </c>
      <c r="F15" s="33">
        <f>C37*'E Balans VL '!L15/100/3.6*1000000+C37*'E Balans VL '!N15/100/3.6*1000000</f>
        <v>36.63496179080223</v>
      </c>
      <c r="G15" s="34"/>
      <c r="H15" s="33"/>
      <c r="I15" s="33"/>
      <c r="J15" s="40">
        <f>C37*'E Balans VL '!D15/100/3.6*1000000+C37*'E Balans VL '!E15/100/3.6*1000000</f>
        <v>1.3626920957684052</v>
      </c>
      <c r="K15" s="33"/>
      <c r="L15" s="33"/>
      <c r="M15" s="33"/>
      <c r="N15" s="33">
        <f>C37*'E Balans VL '!Y15/100/3.6*1000000</f>
        <v>33.847076838026027</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1694.8147419308998</v>
      </c>
      <c r="C18" s="21">
        <f>C5+C16</f>
        <v>0</v>
      </c>
      <c r="D18" s="21">
        <f>MAX((D5+D16),0)</f>
        <v>358542.34765491076</v>
      </c>
      <c r="E18" s="21">
        <f>MAX((E5+E16),0)</f>
        <v>249.35321933244643</v>
      </c>
      <c r="F18" s="21">
        <f>MAX((F5+F16),0)</f>
        <v>944.99991120944264</v>
      </c>
      <c r="G18" s="21"/>
      <c r="H18" s="21"/>
      <c r="I18" s="21"/>
      <c r="J18" s="21">
        <f>MAX((J5+J16),0)</f>
        <v>5.1961938549241955</v>
      </c>
      <c r="K18" s="21"/>
      <c r="L18" s="21">
        <f>MAX((L5+L16),0)</f>
        <v>0</v>
      </c>
      <c r="M18" s="21"/>
      <c r="N18" s="21">
        <f>MAX((N5+N16),0)</f>
        <v>603.70541216130323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0.21312656052330015</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361.21003667191724</v>
      </c>
      <c r="C22" s="23">
        <f ca="1">C18*C20</f>
        <v>0</v>
      </c>
      <c r="D22" s="23">
        <f>D18*D20</f>
        <v>72425.554226291977</v>
      </c>
      <c r="E22" s="23">
        <f>E18*E20</f>
        <v>56.603180788465345</v>
      </c>
      <c r="F22" s="23">
        <f>F18*F20</f>
        <v>252.31497629292119</v>
      </c>
      <c r="G22" s="23"/>
      <c r="H22" s="23"/>
      <c r="I22" s="23"/>
      <c r="J22" s="23">
        <f>J18*J20</f>
        <v>1.8394526246431651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87.028640073999995</v>
      </c>
      <c r="C30" s="39">
        <f>IF(ISERROR(B30*3.6/1000000/'E Balans VL '!Z18*100),0,B30*3.6/1000000/'E Balans VL '!Z18*100)</f>
        <v>1.8439502986812767E-2</v>
      </c>
      <c r="D30" s="237" t="s">
        <v>660</v>
      </c>
    </row>
    <row r="31" spans="1:18">
      <c r="A31" s="6" t="s">
        <v>33</v>
      </c>
      <c r="B31" s="37">
        <f>IF( ISERROR(IND_ander_ele_kWh/1000),0,IND_ander_ele_kWh/1000)</f>
        <v>878.62658958999998</v>
      </c>
      <c r="C31" s="39">
        <f>IF(ISERROR(B31*3.6/1000000/'E Balans VL '!Z19*100),0,B31*3.6/1000000/'E Balans VL '!Z19*100)</f>
        <v>3.698338822260782E-2</v>
      </c>
      <c r="D31" s="237" t="s">
        <v>660</v>
      </c>
    </row>
    <row r="32" spans="1:18">
      <c r="A32" s="171" t="s">
        <v>41</v>
      </c>
      <c r="B32" s="37">
        <f>IF( ISERROR(IND_voed_ele_kWh/1000),0,IND_voed_ele_kWh/1000)</f>
        <v>496.87813793999999</v>
      </c>
      <c r="C32" s="39">
        <f>IF(ISERROR(B32*3.6/1000000/'E Balans VL '!Z20*100),0,B32*3.6/1000000/'E Balans VL '!Z20*100)</f>
        <v>8.3009114732359807E-2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57.263866147000002</v>
      </c>
      <c r="C35" s="39">
        <f>IF(ISERROR(B35*3.6/1000000/'E Balans VL '!Z22*100),0,B35*3.6/1000000/'E Balans VL '!Z22*100)</f>
        <v>7.2585038572502824E-3</v>
      </c>
      <c r="D35" s="237" t="s">
        <v>660</v>
      </c>
    </row>
    <row r="36" spans="1:5">
      <c r="A36" s="171" t="s">
        <v>34</v>
      </c>
      <c r="B36" s="37">
        <f>IF( ISERROR(IND_chemie_ele_kWh/1000),0,IND_chemie_ele_kWh/1000)</f>
        <v>6.9315733999000004</v>
      </c>
      <c r="C36" s="39">
        <f>IF(ISERROR(B36*3.6/1000000/'E Balans VL '!Z24*100),0,B36*3.6/1000000/'E Balans VL '!Z24*100)</f>
        <v>2.2513772755617726E-4</v>
      </c>
      <c r="D36" s="237" t="s">
        <v>660</v>
      </c>
    </row>
    <row r="37" spans="1:5">
      <c r="A37" s="171" t="s">
        <v>270</v>
      </c>
      <c r="B37" s="37">
        <f>IF( ISERROR(IND_rest_ele_kWh/1000),0,IND_rest_ele_kWh/1000)</f>
        <v>168.08593478</v>
      </c>
      <c r="C37" s="39">
        <f>IF(ISERROR(B37*3.6/1000000/'E Balans VL '!Z15*100),0,B37*3.6/1000000/'E Balans VL '!Z15*100)</f>
        <v>1.3570228373360152E-3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36.149536390999998</v>
      </c>
      <c r="C5" s="17">
        <f>'Eigen informatie GS &amp; warmtenet'!B60</f>
        <v>0</v>
      </c>
      <c r="D5" s="30">
        <f>IF(ISERROR(SUM(LB_lb_gas_kWh,LB_rest_gas_kWh)/1000),0,SUM(LB_lb_gas_kWh,LB_rest_gas_kWh)/1000)*0.902</f>
        <v>75.171969259177999</v>
      </c>
      <c r="E5" s="17">
        <f>B17*'E Balans VL '!I25/3.6*1000000/100</f>
        <v>0.93215774535126561</v>
      </c>
      <c r="F5" s="17">
        <f>B17*('E Balans VL '!L25/3.6*1000000+'E Balans VL '!N25/3.6*1000000)/100</f>
        <v>132.13343985388889</v>
      </c>
      <c r="G5" s="18"/>
      <c r="H5" s="17"/>
      <c r="I5" s="17"/>
      <c r="J5" s="17">
        <f>('E Balans VL '!D25+'E Balans VL '!E25)/3.6*1000000*landbouw!B17/100</f>
        <v>5.2042034197053972</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36.149536390999998</v>
      </c>
      <c r="C8" s="21">
        <f>C5+C6</f>
        <v>0</v>
      </c>
      <c r="D8" s="21">
        <f>MAX((D5+D6),0)</f>
        <v>75.171969259177999</v>
      </c>
      <c r="E8" s="21">
        <f>MAX((E5+E6),0)</f>
        <v>0.93215774535126561</v>
      </c>
      <c r="F8" s="21">
        <f>MAX((F5+F6),0)</f>
        <v>132.13343985388889</v>
      </c>
      <c r="G8" s="21"/>
      <c r="H8" s="21"/>
      <c r="I8" s="21"/>
      <c r="J8" s="21">
        <f>MAX((J5+J6),0)</f>
        <v>5.2042034197053972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0.21312656052330015</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7.704426355525702</v>
      </c>
      <c r="C12" s="23">
        <f ca="1">C8*C10</f>
        <v>0</v>
      </c>
      <c r="D12" s="23">
        <f>D8*D10</f>
        <v>15.184737790353957</v>
      </c>
      <c r="E12" s="23">
        <f>E8*E10</f>
        <v>0.21159980819473731</v>
      </c>
      <c r="F12" s="23">
        <f>F8*F10</f>
        <v>35.279628440988333</v>
      </c>
      <c r="G12" s="23"/>
      <c r="H12" s="23"/>
      <c r="I12" s="23"/>
      <c r="J12" s="23">
        <f>J8*J10</f>
        <v>1.8422880105757105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5.0973240802909166E-3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50.198883129390481</v>
      </c>
      <c r="C26" s="247">
        <f>B26*'GWP N2O_CH4'!B5</f>
        <v>1054.1765457172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10.025245608899358</v>
      </c>
      <c r="C27" s="247">
        <f>B27*'GWP N2O_CH4'!B5</f>
        <v>210.53015778688652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0.53013602485024236</v>
      </c>
      <c r="C28" s="247">
        <f>B28*'GWP N2O_CH4'!B4</f>
        <v>164.34216770357514</v>
      </c>
      <c r="D28" s="50"/>
    </row>
    <row r="29" spans="1:4">
      <c r="A29" s="41" t="s">
        <v>277</v>
      </c>
      <c r="B29" s="247">
        <f>B34*'ha_N2O bodem landbouw'!B4</f>
        <v>0.67699241280045042</v>
      </c>
      <c r="C29" s="247">
        <f>B29*'GWP N2O_CH4'!B4</f>
        <v>209.86764796813964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1.5236008171797796E-4</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5.6230882749299021E-5</v>
      </c>
      <c r="C5" s="463" t="s">
        <v>211</v>
      </c>
      <c r="D5" s="448">
        <f>SUM(D6:D11)</f>
        <v>1.3658871959106467E-4</v>
      </c>
      <c r="E5" s="448">
        <f>SUM(E6:E11)</f>
        <v>5.2062911204805063E-4</v>
      </c>
      <c r="F5" s="461" t="s">
        <v>211</v>
      </c>
      <c r="G5" s="448">
        <f>SUM(G6:G11)</f>
        <v>0.15375647788726346</v>
      </c>
      <c r="H5" s="448">
        <f>SUM(H6:H11)</f>
        <v>3.6520068782489888E-2</v>
      </c>
      <c r="I5" s="463" t="s">
        <v>211</v>
      </c>
      <c r="J5" s="463" t="s">
        <v>211</v>
      </c>
      <c r="K5" s="463" t="s">
        <v>211</v>
      </c>
      <c r="L5" s="463" t="s">
        <v>211</v>
      </c>
      <c r="M5" s="448">
        <f>SUM(M6:M11)</f>
        <v>5.9384962648725325E-3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3.9997925112448191E-5</v>
      </c>
      <c r="C6" s="449"/>
      <c r="D6" s="892">
        <f>vkm_2011_GW_PW*SUMIFS(TableVerdeelsleutelVkm[CNG],TableVerdeelsleutelVkm[Voertuigtype],"Lichte voertuigen")*SUMIFS(TableECFTransport[EnergieConsumptieFactor (PJ per km)],TableECFTransport[Index],CONCATENATE($A6,"_CNG_CNG"))</f>
        <v>7.947657782346816E-5</v>
      </c>
      <c r="E6" s="892">
        <f>vkm_2011_GW_PW*SUMIFS(TableVerdeelsleutelVkm[LPG],TableVerdeelsleutelVkm[Voertuigtype],"Lichte voertuigen")*SUMIFS(TableECFTransport[EnergieConsumptieFactor (PJ per km)],TableECFTransport[Index],CONCATENATE($A6,"_LPG_LPG"))</f>
        <v>3.1276882395274305E-4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7.4365694611827432E-2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2.1516700616796676E-2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2.9877839744222217E-3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2.5068174532232996E-2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8.0980911235792355E-6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7.8985982329679539E-4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1.623295763685083E-5</v>
      </c>
      <c r="C8" s="449"/>
      <c r="D8" s="451">
        <f>vkm_2011_NGW_PW*SUMIFS(TableVerdeelsleutelVkm[CNG],TableVerdeelsleutelVkm[Voertuigtype],"Lichte voertuigen")*SUMIFS(TableECFTransport[EnergieConsumptieFactor (PJ per km)],TableECFTransport[Index],CONCATENATE($A8,"_CNG_CNG"))</f>
        <v>5.7112141767596521E-5</v>
      </c>
      <c r="E8" s="451">
        <f>vkm_2011_NGW_PW*SUMIFS(TableVerdeelsleutelVkm[LPG],TableVerdeelsleutelVkm[Voertuigtype],"Lichte voertuigen")*SUMIFS(TableECFTransport[EnergieConsumptieFactor (PJ per km)],TableECFTransport[Index],CONCATENATE($A8,"_LPG_LPG"))</f>
        <v>2.078602880953076E-4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4.6150827122593142E-2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1.4992773525995139E-2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1.9033764293429456E-3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8.171781620609898E-3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2.4965485744935987E-6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2.5747603781057019E-4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15.619689652583062</v>
      </c>
      <c r="C14" s="21"/>
      <c r="D14" s="21">
        <f t="shared" ref="D14:M14" si="0">((D5)*10^9/3600)+D12</f>
        <v>37.941310997517967</v>
      </c>
      <c r="E14" s="21">
        <f t="shared" si="0"/>
        <v>144.61919779112517</v>
      </c>
      <c r="F14" s="21"/>
      <c r="G14" s="21">
        <f t="shared" si="0"/>
        <v>42710.13274646207</v>
      </c>
      <c r="H14" s="21">
        <f t="shared" si="0"/>
        <v>10144.463550691637</v>
      </c>
      <c r="I14" s="21"/>
      <c r="J14" s="21"/>
      <c r="K14" s="21"/>
      <c r="L14" s="21"/>
      <c r="M14" s="21">
        <f t="shared" si="0"/>
        <v>1649.5822957979256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0.21312656052330015</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3.3289707320964093</v>
      </c>
      <c r="C18" s="23"/>
      <c r="D18" s="23">
        <f t="shared" ref="D18:M18" si="1">D14*D16</f>
        <v>7.6641448214986294</v>
      </c>
      <c r="E18" s="23">
        <f t="shared" si="1"/>
        <v>32.828557898585416</v>
      </c>
      <c r="F18" s="23"/>
      <c r="G18" s="23">
        <f t="shared" si="1"/>
        <v>11403.605443305374</v>
      </c>
      <c r="H18" s="23">
        <f t="shared" si="1"/>
        <v>2525.9714241222173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5.7418537242865447E-3</v>
      </c>
      <c r="C50" s="321">
        <f t="shared" ref="C50:P50" si="2">SUM(C51:C52)</f>
        <v>0</v>
      </c>
      <c r="D50" s="321">
        <f t="shared" si="2"/>
        <v>0</v>
      </c>
      <c r="E50" s="321">
        <f t="shared" si="2"/>
        <v>0</v>
      </c>
      <c r="F50" s="321">
        <f t="shared" si="2"/>
        <v>0</v>
      </c>
      <c r="G50" s="321">
        <f t="shared" si="2"/>
        <v>8.7871809708273737E-3</v>
      </c>
      <c r="H50" s="321">
        <f t="shared" si="2"/>
        <v>0</v>
      </c>
      <c r="I50" s="321">
        <f t="shared" si="2"/>
        <v>0</v>
      </c>
      <c r="J50" s="321">
        <f t="shared" si="2"/>
        <v>0</v>
      </c>
      <c r="K50" s="321">
        <f t="shared" si="2"/>
        <v>0</v>
      </c>
      <c r="L50" s="321">
        <f t="shared" si="2"/>
        <v>0</v>
      </c>
      <c r="M50" s="321">
        <f t="shared" si="2"/>
        <v>2.72558695191192E-4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8.7871809708273737E-3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2.72558695191192E-4</v>
      </c>
      <c r="N51" s="323"/>
      <c r="O51" s="323"/>
      <c r="P51" s="326"/>
    </row>
    <row r="52" spans="1:18">
      <c r="A52" s="4" t="s">
        <v>330</v>
      </c>
      <c r="B52" s="893">
        <f>vkm_2011_tram*SUMIFS(TableECFTransport[EnergieConsumptieFactor (PJ per km)],TableECFTransport[Index],"Tram_gemiddeld_Electric_Electric")</f>
        <v>5.7418537242865447E-3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1594.9593678573735</v>
      </c>
      <c r="C54" s="21">
        <f t="shared" ref="C54:P54" si="3">(C50)*10^9/3600</f>
        <v>0</v>
      </c>
      <c r="D54" s="21">
        <f t="shared" si="3"/>
        <v>0</v>
      </c>
      <c r="E54" s="21">
        <f t="shared" si="3"/>
        <v>0</v>
      </c>
      <c r="F54" s="21">
        <f t="shared" si="3"/>
        <v>0</v>
      </c>
      <c r="G54" s="21">
        <f t="shared" si="3"/>
        <v>2440.8836030076041</v>
      </c>
      <c r="H54" s="21">
        <f t="shared" si="3"/>
        <v>0</v>
      </c>
      <c r="I54" s="21">
        <f t="shared" si="3"/>
        <v>0</v>
      </c>
      <c r="J54" s="21">
        <f t="shared" si="3"/>
        <v>0</v>
      </c>
      <c r="K54" s="21">
        <f t="shared" si="3"/>
        <v>0</v>
      </c>
      <c r="L54" s="21">
        <f t="shared" si="3"/>
        <v>0</v>
      </c>
      <c r="M54" s="21">
        <f t="shared" si="3"/>
        <v>75.710748664219992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0.21312656052330015</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339.92820424585904</v>
      </c>
      <c r="C58" s="23">
        <f t="shared" ref="C58:P58" ca="1" si="4">C54*C56</f>
        <v>0</v>
      </c>
      <c r="D58" s="23">
        <f t="shared" si="4"/>
        <v>0</v>
      </c>
      <c r="E58" s="23">
        <f t="shared" si="4"/>
        <v>0</v>
      </c>
      <c r="F58" s="23">
        <f t="shared" si="4"/>
        <v>0</v>
      </c>
      <c r="G58" s="23">
        <f t="shared" si="4"/>
        <v>651.7159220030303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29488.20891333</v>
      </c>
      <c r="D10" s="1012">
        <f ca="1">tertiair!C16</f>
        <v>174.10714285714286</v>
      </c>
      <c r="E10" s="1012">
        <f ca="1">tertiair!D16</f>
        <v>46515.641975538514</v>
      </c>
      <c r="F10" s="1012">
        <f>tertiair!E16</f>
        <v>554.00296132046219</v>
      </c>
      <c r="G10" s="1012">
        <f ca="1">tertiair!F16</f>
        <v>7425.9564455622549</v>
      </c>
      <c r="H10" s="1012">
        <f>tertiair!G16</f>
        <v>0</v>
      </c>
      <c r="I10" s="1012">
        <f>tertiair!H16</f>
        <v>0</v>
      </c>
      <c r="J10" s="1012">
        <f>tertiair!I16</f>
        <v>0</v>
      </c>
      <c r="K10" s="1012">
        <f>tertiair!J16</f>
        <v>0</v>
      </c>
      <c r="L10" s="1012">
        <f>tertiair!K16</f>
        <v>0</v>
      </c>
      <c r="M10" s="1012">
        <f ca="1">tertiair!L16</f>
        <v>0</v>
      </c>
      <c r="N10" s="1012">
        <f>tertiair!M16</f>
        <v>0</v>
      </c>
      <c r="O10" s="1012">
        <f ca="1">tertiair!N16</f>
        <v>1616.9867140177953</v>
      </c>
      <c r="P10" s="1012">
        <f>tertiair!O16</f>
        <v>0</v>
      </c>
      <c r="Q10" s="1013">
        <f>tertiair!P16</f>
        <v>0</v>
      </c>
      <c r="R10" s="700">
        <f ca="1">SUM(C10:Q10)</f>
        <v>85774.904152626186</v>
      </c>
      <c r="S10" s="67"/>
    </row>
    <row r="11" spans="1:19" s="473" customFormat="1">
      <c r="A11" s="809" t="s">
        <v>225</v>
      </c>
      <c r="B11" s="814"/>
      <c r="C11" s="1012">
        <f>huishoudens!B8</f>
        <v>35966.235033087796</v>
      </c>
      <c r="D11" s="1012">
        <f>huishoudens!C8</f>
        <v>0</v>
      </c>
      <c r="E11" s="1012">
        <f>huishoudens!D8</f>
        <v>124393.11959469999</v>
      </c>
      <c r="F11" s="1012">
        <f>huishoudens!E8</f>
        <v>961.12537153031803</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5629.9226183403534</v>
      </c>
      <c r="P11" s="1012">
        <f>huishoudens!O8</f>
        <v>173.53000000000003</v>
      </c>
      <c r="Q11" s="1013">
        <f>huishoudens!P8</f>
        <v>514.79999999999995</v>
      </c>
      <c r="R11" s="700">
        <f>SUM(C11:Q11)</f>
        <v>167638.73261765845</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1694.8147419308998</v>
      </c>
      <c r="D13" s="1012">
        <f>industrie!C18</f>
        <v>0</v>
      </c>
      <c r="E13" s="1012">
        <f>industrie!D18</f>
        <v>358542.34765491076</v>
      </c>
      <c r="F13" s="1012">
        <f>industrie!E18</f>
        <v>249.35321933244643</v>
      </c>
      <c r="G13" s="1012">
        <f>industrie!F18</f>
        <v>944.99991120944264</v>
      </c>
      <c r="H13" s="1012">
        <f>industrie!G18</f>
        <v>0</v>
      </c>
      <c r="I13" s="1012">
        <f>industrie!H18</f>
        <v>0</v>
      </c>
      <c r="J13" s="1012">
        <f>industrie!I18</f>
        <v>0</v>
      </c>
      <c r="K13" s="1012">
        <f>industrie!J18</f>
        <v>5.1961938549241955</v>
      </c>
      <c r="L13" s="1012">
        <f>industrie!K18</f>
        <v>0</v>
      </c>
      <c r="M13" s="1012">
        <f>industrie!L18</f>
        <v>0</v>
      </c>
      <c r="N13" s="1012">
        <f>industrie!M18</f>
        <v>0</v>
      </c>
      <c r="O13" s="1012">
        <f>industrie!N18</f>
        <v>603.70541216130323</v>
      </c>
      <c r="P13" s="1012">
        <f>industrie!O18</f>
        <v>0</v>
      </c>
      <c r="Q13" s="1013">
        <f>industrie!P18</f>
        <v>0</v>
      </c>
      <c r="R13" s="700">
        <f>SUM(C13:Q13)</f>
        <v>362040.41713339981</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67149.258688348695</v>
      </c>
      <c r="D16" s="732">
        <f t="shared" ref="D16:R16" ca="1" si="0">SUM(D9:D15)</f>
        <v>174.10714285714286</v>
      </c>
      <c r="E16" s="732">
        <f t="shared" ca="1" si="0"/>
        <v>529451.10922514927</v>
      </c>
      <c r="F16" s="732">
        <f t="shared" si="0"/>
        <v>1764.4815521832265</v>
      </c>
      <c r="G16" s="732">
        <f t="shared" ca="1" si="0"/>
        <v>8370.9563567716978</v>
      </c>
      <c r="H16" s="732">
        <f t="shared" si="0"/>
        <v>0</v>
      </c>
      <c r="I16" s="732">
        <f t="shared" si="0"/>
        <v>0</v>
      </c>
      <c r="J16" s="732">
        <f t="shared" si="0"/>
        <v>0</v>
      </c>
      <c r="K16" s="732">
        <f t="shared" si="0"/>
        <v>5.1961938549241955</v>
      </c>
      <c r="L16" s="732">
        <f t="shared" si="0"/>
        <v>0</v>
      </c>
      <c r="M16" s="732">
        <f t="shared" ca="1" si="0"/>
        <v>0</v>
      </c>
      <c r="N16" s="732">
        <f t="shared" si="0"/>
        <v>0</v>
      </c>
      <c r="O16" s="732">
        <f t="shared" ca="1" si="0"/>
        <v>7850.6147445194529</v>
      </c>
      <c r="P16" s="732">
        <f t="shared" si="0"/>
        <v>173.53000000000003</v>
      </c>
      <c r="Q16" s="732">
        <f t="shared" si="0"/>
        <v>514.79999999999995</v>
      </c>
      <c r="R16" s="732">
        <f t="shared" ca="1" si="0"/>
        <v>615454.05390368449</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1594.9593678573735</v>
      </c>
      <c r="D19" s="1012">
        <f>transport!C54</f>
        <v>0</v>
      </c>
      <c r="E19" s="1012">
        <f>transport!D54</f>
        <v>0</v>
      </c>
      <c r="F19" s="1012">
        <f>transport!E54</f>
        <v>0</v>
      </c>
      <c r="G19" s="1012">
        <f>transport!F54</f>
        <v>0</v>
      </c>
      <c r="H19" s="1012">
        <f>transport!G54</f>
        <v>2440.8836030076041</v>
      </c>
      <c r="I19" s="1012">
        <f>transport!H54</f>
        <v>0</v>
      </c>
      <c r="J19" s="1012">
        <f>transport!I54</f>
        <v>0</v>
      </c>
      <c r="K19" s="1012">
        <f>transport!J54</f>
        <v>0</v>
      </c>
      <c r="L19" s="1012">
        <f>transport!K54</f>
        <v>0</v>
      </c>
      <c r="M19" s="1012">
        <f>transport!L54</f>
        <v>0</v>
      </c>
      <c r="N19" s="1012">
        <f>transport!M54</f>
        <v>75.710748664219992</v>
      </c>
      <c r="O19" s="1012">
        <f>transport!N54</f>
        <v>0</v>
      </c>
      <c r="P19" s="1012">
        <f>transport!O54</f>
        <v>0</v>
      </c>
      <c r="Q19" s="1013">
        <f>transport!P54</f>
        <v>0</v>
      </c>
      <c r="R19" s="700">
        <f>SUM(C19:Q19)</f>
        <v>4111.5537195291972</v>
      </c>
      <c r="S19" s="67"/>
    </row>
    <row r="20" spans="1:19" s="473" customFormat="1">
      <c r="A20" s="809" t="s">
        <v>307</v>
      </c>
      <c r="B20" s="814"/>
      <c r="C20" s="1012">
        <f>transport!B14</f>
        <v>15.619689652583062</v>
      </c>
      <c r="D20" s="1012">
        <f>transport!C14</f>
        <v>0</v>
      </c>
      <c r="E20" s="1012">
        <f>transport!D14</f>
        <v>37.941310997517967</v>
      </c>
      <c r="F20" s="1012">
        <f>transport!E14</f>
        <v>144.61919779112517</v>
      </c>
      <c r="G20" s="1012">
        <f>transport!F14</f>
        <v>0</v>
      </c>
      <c r="H20" s="1012">
        <f>transport!G14</f>
        <v>42710.13274646207</v>
      </c>
      <c r="I20" s="1012">
        <f>transport!H14</f>
        <v>10144.463550691637</v>
      </c>
      <c r="J20" s="1012">
        <f>transport!I14</f>
        <v>0</v>
      </c>
      <c r="K20" s="1012">
        <f>transport!J14</f>
        <v>0</v>
      </c>
      <c r="L20" s="1012">
        <f>transport!K14</f>
        <v>0</v>
      </c>
      <c r="M20" s="1012">
        <f>transport!L14</f>
        <v>0</v>
      </c>
      <c r="N20" s="1012">
        <f>transport!M14</f>
        <v>1649.5822957979256</v>
      </c>
      <c r="O20" s="1012">
        <f>transport!N14</f>
        <v>0</v>
      </c>
      <c r="P20" s="1012">
        <f>transport!O14</f>
        <v>0</v>
      </c>
      <c r="Q20" s="1013">
        <f>transport!P14</f>
        <v>0</v>
      </c>
      <c r="R20" s="700">
        <f>SUM(C20:Q20)</f>
        <v>54702.358791392857</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1610.5790575099566</v>
      </c>
      <c r="D22" s="812">
        <f t="shared" ref="D22:R22" si="1">SUM(D18:D21)</f>
        <v>0</v>
      </c>
      <c r="E22" s="812">
        <f t="shared" si="1"/>
        <v>37.941310997517967</v>
      </c>
      <c r="F22" s="812">
        <f t="shared" si="1"/>
        <v>144.61919779112517</v>
      </c>
      <c r="G22" s="812">
        <f t="shared" si="1"/>
        <v>0</v>
      </c>
      <c r="H22" s="812">
        <f t="shared" si="1"/>
        <v>45151.016349469675</v>
      </c>
      <c r="I22" s="812">
        <f t="shared" si="1"/>
        <v>10144.463550691637</v>
      </c>
      <c r="J22" s="812">
        <f t="shared" si="1"/>
        <v>0</v>
      </c>
      <c r="K22" s="812">
        <f t="shared" si="1"/>
        <v>0</v>
      </c>
      <c r="L22" s="812">
        <f t="shared" si="1"/>
        <v>0</v>
      </c>
      <c r="M22" s="812">
        <f t="shared" si="1"/>
        <v>0</v>
      </c>
      <c r="N22" s="812">
        <f t="shared" si="1"/>
        <v>1725.2930444621456</v>
      </c>
      <c r="O22" s="812">
        <f t="shared" si="1"/>
        <v>0</v>
      </c>
      <c r="P22" s="812">
        <f t="shared" si="1"/>
        <v>0</v>
      </c>
      <c r="Q22" s="812">
        <f t="shared" si="1"/>
        <v>0</v>
      </c>
      <c r="R22" s="812">
        <f t="shared" si="1"/>
        <v>58813.912510922055</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36.149536390999998</v>
      </c>
      <c r="D24" s="1012">
        <f>+landbouw!C8</f>
        <v>0</v>
      </c>
      <c r="E24" s="1012">
        <f>+landbouw!D8</f>
        <v>75.171969259177999</v>
      </c>
      <c r="F24" s="1012">
        <f>+landbouw!E8</f>
        <v>0.93215774535126561</v>
      </c>
      <c r="G24" s="1012">
        <f>+landbouw!F8</f>
        <v>132.13343985388889</v>
      </c>
      <c r="H24" s="1012">
        <f>+landbouw!G8</f>
        <v>0</v>
      </c>
      <c r="I24" s="1012">
        <f>+landbouw!H8</f>
        <v>0</v>
      </c>
      <c r="J24" s="1012">
        <f>+landbouw!I8</f>
        <v>0</v>
      </c>
      <c r="K24" s="1012">
        <f>+landbouw!J8</f>
        <v>5.2042034197053972</v>
      </c>
      <c r="L24" s="1012">
        <f>+landbouw!K8</f>
        <v>0</v>
      </c>
      <c r="M24" s="1012">
        <f>+landbouw!L8</f>
        <v>0</v>
      </c>
      <c r="N24" s="1012">
        <f>+landbouw!M8</f>
        <v>0</v>
      </c>
      <c r="O24" s="1012">
        <f>+landbouw!N8</f>
        <v>0</v>
      </c>
      <c r="P24" s="1012">
        <f>+landbouw!O8</f>
        <v>0</v>
      </c>
      <c r="Q24" s="1013">
        <f>+landbouw!P8</f>
        <v>0</v>
      </c>
      <c r="R24" s="700">
        <f>SUM(C24:Q24)</f>
        <v>249.59130666912355</v>
      </c>
      <c r="S24" s="67"/>
    </row>
    <row r="25" spans="1:19" s="473" customFormat="1" ht="15" thickBot="1">
      <c r="A25" s="831" t="s">
        <v>848</v>
      </c>
      <c r="B25" s="1015"/>
      <c r="C25" s="1016">
        <f>IF(Onbekend_ele_kWh="---",0,Onbekend_ele_kWh)/1000+IF(REST_rest_ele_kWh="---",0,REST_rest_ele_kWh)/1000</f>
        <v>2698.1182664000003</v>
      </c>
      <c r="D25" s="1016"/>
      <c r="E25" s="1016">
        <f>IF(onbekend_gas_kWh="---",0,onbekend_gas_kWh)/1000+IF(REST_rest_gas_kWh="---",0,REST_rest_gas_kWh)/1000</f>
        <v>5601.1169392000002</v>
      </c>
      <c r="F25" s="1016"/>
      <c r="G25" s="1016"/>
      <c r="H25" s="1016"/>
      <c r="I25" s="1016"/>
      <c r="J25" s="1016"/>
      <c r="K25" s="1016"/>
      <c r="L25" s="1016"/>
      <c r="M25" s="1016"/>
      <c r="N25" s="1016"/>
      <c r="O25" s="1016"/>
      <c r="P25" s="1016"/>
      <c r="Q25" s="1017"/>
      <c r="R25" s="700">
        <f>SUM(C25:Q25)</f>
        <v>8299.2352056</v>
      </c>
      <c r="S25" s="67"/>
    </row>
    <row r="26" spans="1:19" s="473" customFormat="1" ht="15.75" thickBot="1">
      <c r="A26" s="705" t="s">
        <v>849</v>
      </c>
      <c r="B26" s="817"/>
      <c r="C26" s="812">
        <f>SUM(C24:C25)</f>
        <v>2734.2678027910001</v>
      </c>
      <c r="D26" s="812">
        <f t="shared" ref="D26:R26" si="2">SUM(D24:D25)</f>
        <v>0</v>
      </c>
      <c r="E26" s="812">
        <f t="shared" si="2"/>
        <v>5676.2889084591779</v>
      </c>
      <c r="F26" s="812">
        <f t="shared" si="2"/>
        <v>0.93215774535126561</v>
      </c>
      <c r="G26" s="812">
        <f t="shared" si="2"/>
        <v>132.13343985388889</v>
      </c>
      <c r="H26" s="812">
        <f t="shared" si="2"/>
        <v>0</v>
      </c>
      <c r="I26" s="812">
        <f t="shared" si="2"/>
        <v>0</v>
      </c>
      <c r="J26" s="812">
        <f t="shared" si="2"/>
        <v>0</v>
      </c>
      <c r="K26" s="812">
        <f t="shared" si="2"/>
        <v>5.2042034197053972</v>
      </c>
      <c r="L26" s="812">
        <f t="shared" si="2"/>
        <v>0</v>
      </c>
      <c r="M26" s="812">
        <f t="shared" si="2"/>
        <v>0</v>
      </c>
      <c r="N26" s="812">
        <f t="shared" si="2"/>
        <v>0</v>
      </c>
      <c r="O26" s="812">
        <f t="shared" si="2"/>
        <v>0</v>
      </c>
      <c r="P26" s="812">
        <f t="shared" si="2"/>
        <v>0</v>
      </c>
      <c r="Q26" s="812">
        <f t="shared" si="2"/>
        <v>0</v>
      </c>
      <c r="R26" s="812">
        <f t="shared" si="2"/>
        <v>8548.8265122691228</v>
      </c>
      <c r="S26" s="67"/>
    </row>
    <row r="27" spans="1:19" s="473" customFormat="1" ht="17.25" thickTop="1" thickBot="1">
      <c r="A27" s="706" t="s">
        <v>116</v>
      </c>
      <c r="B27" s="805"/>
      <c r="C27" s="707">
        <f ca="1">C22+C16+C26</f>
        <v>71494.105548649648</v>
      </c>
      <c r="D27" s="707">
        <f t="shared" ref="D27:R27" ca="1" si="3">D22+D16+D26</f>
        <v>174.10714285714286</v>
      </c>
      <c r="E27" s="707">
        <f t="shared" ca="1" si="3"/>
        <v>535165.33944460587</v>
      </c>
      <c r="F27" s="707">
        <f t="shared" si="3"/>
        <v>1910.032907719703</v>
      </c>
      <c r="G27" s="707">
        <f t="shared" ca="1" si="3"/>
        <v>8503.089796625587</v>
      </c>
      <c r="H27" s="707">
        <f t="shared" si="3"/>
        <v>45151.016349469675</v>
      </c>
      <c r="I27" s="707">
        <f t="shared" si="3"/>
        <v>10144.463550691637</v>
      </c>
      <c r="J27" s="707">
        <f t="shared" si="3"/>
        <v>0</v>
      </c>
      <c r="K27" s="707">
        <f t="shared" si="3"/>
        <v>10.400397274629594</v>
      </c>
      <c r="L27" s="707">
        <f t="shared" si="3"/>
        <v>0</v>
      </c>
      <c r="M27" s="707">
        <f t="shared" ca="1" si="3"/>
        <v>0</v>
      </c>
      <c r="N27" s="707">
        <f t="shared" si="3"/>
        <v>1725.2930444621456</v>
      </c>
      <c r="O27" s="707">
        <f t="shared" ca="1" si="3"/>
        <v>7850.6147445194529</v>
      </c>
      <c r="P27" s="707">
        <f t="shared" si="3"/>
        <v>173.53000000000003</v>
      </c>
      <c r="Q27" s="707">
        <f t="shared" si="3"/>
        <v>514.79999999999995</v>
      </c>
      <c r="R27" s="707">
        <f t="shared" ca="1" si="3"/>
        <v>682816.79292687564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6284.7205416905445</v>
      </c>
      <c r="D40" s="1012">
        <f ca="1">tertiair!C20</f>
        <v>41.37605042016807</v>
      </c>
      <c r="E40" s="1012">
        <f ca="1">tertiair!D20</f>
        <v>9396.159679058781</v>
      </c>
      <c r="F40" s="1012">
        <f>tertiair!E20</f>
        <v>125.75867221974492</v>
      </c>
      <c r="G40" s="1012">
        <f ca="1">tertiair!F20</f>
        <v>1982.7303709651221</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17830.745314354361</v>
      </c>
    </row>
    <row r="41" spans="1:18">
      <c r="A41" s="822" t="s">
        <v>225</v>
      </c>
      <c r="B41" s="829"/>
      <c r="C41" s="1012">
        <f ca="1">huishoudens!B12</f>
        <v>7665.3599675746245</v>
      </c>
      <c r="D41" s="1012">
        <f ca="1">huishoudens!C12</f>
        <v>0</v>
      </c>
      <c r="E41" s="1012">
        <f>huishoudens!D12</f>
        <v>25127.410158129402</v>
      </c>
      <c r="F41" s="1012">
        <f>huishoudens!E12</f>
        <v>218.17545933738219</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33010.945585041409</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361.21003667191724</v>
      </c>
      <c r="D43" s="1012">
        <f ca="1">industrie!C22</f>
        <v>0</v>
      </c>
      <c r="E43" s="1012">
        <f>industrie!D22</f>
        <v>72425.554226291977</v>
      </c>
      <c r="F43" s="1012">
        <f>industrie!E22</f>
        <v>56.603180788465345</v>
      </c>
      <c r="G43" s="1012">
        <f>industrie!F22</f>
        <v>252.31497629292119</v>
      </c>
      <c r="H43" s="1012">
        <f>industrie!G22</f>
        <v>0</v>
      </c>
      <c r="I43" s="1012">
        <f>industrie!H22</f>
        <v>0</v>
      </c>
      <c r="J43" s="1012">
        <f>industrie!I22</f>
        <v>0</v>
      </c>
      <c r="K43" s="1012">
        <f>industrie!J22</f>
        <v>1.8394526246431651</v>
      </c>
      <c r="L43" s="1012">
        <f>industrie!K22</f>
        <v>0</v>
      </c>
      <c r="M43" s="1012">
        <f>industrie!L22</f>
        <v>0</v>
      </c>
      <c r="N43" s="1012">
        <f>industrie!M22</f>
        <v>0</v>
      </c>
      <c r="O43" s="1012">
        <f>industrie!N22</f>
        <v>0</v>
      </c>
      <c r="P43" s="1012">
        <f>industrie!O22</f>
        <v>0</v>
      </c>
      <c r="Q43" s="774">
        <f>industrie!P22</f>
        <v>0</v>
      </c>
      <c r="R43" s="849">
        <f t="shared" ca="1" si="4"/>
        <v>73097.521872669939</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14311.290545937085</v>
      </c>
      <c r="D46" s="732">
        <f t="shared" ref="D46:Q46" ca="1" si="5">SUM(D39:D45)</f>
        <v>41.37605042016807</v>
      </c>
      <c r="E46" s="732">
        <f t="shared" ca="1" si="5"/>
        <v>106949.12406348015</v>
      </c>
      <c r="F46" s="732">
        <f t="shared" si="5"/>
        <v>400.53731234559245</v>
      </c>
      <c r="G46" s="732">
        <f t="shared" ca="1" si="5"/>
        <v>2235.0453472580434</v>
      </c>
      <c r="H46" s="732">
        <f t="shared" si="5"/>
        <v>0</v>
      </c>
      <c r="I46" s="732">
        <f t="shared" si="5"/>
        <v>0</v>
      </c>
      <c r="J46" s="732">
        <f t="shared" si="5"/>
        <v>0</v>
      </c>
      <c r="K46" s="732">
        <f t="shared" si="5"/>
        <v>1.8394526246431651</v>
      </c>
      <c r="L46" s="732">
        <f t="shared" si="5"/>
        <v>0</v>
      </c>
      <c r="M46" s="732">
        <f t="shared" ca="1" si="5"/>
        <v>0</v>
      </c>
      <c r="N46" s="732">
        <f t="shared" si="5"/>
        <v>0</v>
      </c>
      <c r="O46" s="732">
        <f t="shared" ca="1" si="5"/>
        <v>0</v>
      </c>
      <c r="P46" s="732">
        <f t="shared" si="5"/>
        <v>0</v>
      </c>
      <c r="Q46" s="732">
        <f t="shared" si="5"/>
        <v>0</v>
      </c>
      <c r="R46" s="732">
        <f ca="1">SUM(R39:R45)</f>
        <v>123939.21277206572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339.92820424585904</v>
      </c>
      <c r="D49" s="1012">
        <f ca="1">transport!C58</f>
        <v>0</v>
      </c>
      <c r="E49" s="1012">
        <f>transport!D58</f>
        <v>0</v>
      </c>
      <c r="F49" s="1012">
        <f>transport!E58</f>
        <v>0</v>
      </c>
      <c r="G49" s="1012">
        <f>transport!F58</f>
        <v>0</v>
      </c>
      <c r="H49" s="1012">
        <f>transport!G58</f>
        <v>651.7159220030303</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991.64412624888928</v>
      </c>
    </row>
    <row r="50" spans="1:18">
      <c r="A50" s="825" t="s">
        <v>307</v>
      </c>
      <c r="B50" s="835"/>
      <c r="C50" s="703">
        <f ca="1">transport!B18</f>
        <v>3.3289707320964093</v>
      </c>
      <c r="D50" s="703">
        <f>transport!C18</f>
        <v>0</v>
      </c>
      <c r="E50" s="703">
        <f>transport!D18</f>
        <v>7.6641448214986294</v>
      </c>
      <c r="F50" s="703">
        <f>transport!E18</f>
        <v>32.828557898585416</v>
      </c>
      <c r="G50" s="703">
        <f>transport!F18</f>
        <v>0</v>
      </c>
      <c r="H50" s="703">
        <f>transport!G18</f>
        <v>11403.605443305374</v>
      </c>
      <c r="I50" s="703">
        <f>transport!H18</f>
        <v>2525.9714241222173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13973.398540879773</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343.25717497795546</v>
      </c>
      <c r="D52" s="732">
        <f t="shared" ref="D52:Q52" ca="1" si="6">SUM(D48:D51)</f>
        <v>0</v>
      </c>
      <c r="E52" s="732">
        <f t="shared" si="6"/>
        <v>7.6641448214986294</v>
      </c>
      <c r="F52" s="732">
        <f t="shared" si="6"/>
        <v>32.828557898585416</v>
      </c>
      <c r="G52" s="732">
        <f t="shared" si="6"/>
        <v>0</v>
      </c>
      <c r="H52" s="732">
        <f t="shared" si="6"/>
        <v>12055.321365308404</v>
      </c>
      <c r="I52" s="732">
        <f t="shared" si="6"/>
        <v>2525.9714241222173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14965.042667128662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7.704426355525702</v>
      </c>
      <c r="D54" s="703">
        <f ca="1">+landbouw!C12</f>
        <v>0</v>
      </c>
      <c r="E54" s="703">
        <f>+landbouw!D12</f>
        <v>15.184737790353957</v>
      </c>
      <c r="F54" s="703">
        <f>+landbouw!E12</f>
        <v>0.21159980819473731</v>
      </c>
      <c r="G54" s="703">
        <f>+landbouw!F12</f>
        <v>35.279628440988333</v>
      </c>
      <c r="H54" s="703">
        <f>+landbouw!G12</f>
        <v>0</v>
      </c>
      <c r="I54" s="703">
        <f>+landbouw!H12</f>
        <v>0</v>
      </c>
      <c r="J54" s="703">
        <f>+landbouw!I12</f>
        <v>0</v>
      </c>
      <c r="K54" s="703">
        <f>+landbouw!J12</f>
        <v>1.8422880105757105</v>
      </c>
      <c r="L54" s="703">
        <f>+landbouw!K12</f>
        <v>0</v>
      </c>
      <c r="M54" s="703">
        <f>+landbouw!L12</f>
        <v>0</v>
      </c>
      <c r="N54" s="703">
        <f>+landbouw!M12</f>
        <v>0</v>
      </c>
      <c r="O54" s="703">
        <f>+landbouw!N12</f>
        <v>0</v>
      </c>
      <c r="P54" s="703">
        <f>+landbouw!O12</f>
        <v>0</v>
      </c>
      <c r="Q54" s="704">
        <f>+landbouw!P12</f>
        <v>0</v>
      </c>
      <c r="R54" s="731">
        <f ca="1">SUM(C54:Q54)</f>
        <v>60.222680405638435</v>
      </c>
    </row>
    <row r="55" spans="1:18" ht="15" thickBot="1">
      <c r="A55" s="825" t="s">
        <v>848</v>
      </c>
      <c r="B55" s="835"/>
      <c r="C55" s="703">
        <f ca="1">C25*'EF ele_warmte'!B12</f>
        <v>575.04066600292128</v>
      </c>
      <c r="D55" s="703"/>
      <c r="E55" s="703">
        <f>E25*EF_CO2_aardgas</f>
        <v>1131.4256217184002</v>
      </c>
      <c r="F55" s="703"/>
      <c r="G55" s="703"/>
      <c r="H55" s="703"/>
      <c r="I55" s="703"/>
      <c r="J55" s="703"/>
      <c r="K55" s="703"/>
      <c r="L55" s="703"/>
      <c r="M55" s="703"/>
      <c r="N55" s="703"/>
      <c r="O55" s="703"/>
      <c r="P55" s="703"/>
      <c r="Q55" s="704"/>
      <c r="R55" s="731">
        <f ca="1">SUM(C55:Q55)</f>
        <v>1706.4662877213214</v>
      </c>
    </row>
    <row r="56" spans="1:18" ht="15.75" thickBot="1">
      <c r="A56" s="823" t="s">
        <v>849</v>
      </c>
      <c r="B56" s="836"/>
      <c r="C56" s="732">
        <f ca="1">SUM(C54:C55)</f>
        <v>582.74509235844698</v>
      </c>
      <c r="D56" s="732">
        <f t="shared" ref="D56:Q56" ca="1" si="7">SUM(D54:D55)</f>
        <v>0</v>
      </c>
      <c r="E56" s="732">
        <f t="shared" si="7"/>
        <v>1146.6103595087541</v>
      </c>
      <c r="F56" s="732">
        <f t="shared" si="7"/>
        <v>0.21159980819473731</v>
      </c>
      <c r="G56" s="732">
        <f t="shared" si="7"/>
        <v>35.279628440988333</v>
      </c>
      <c r="H56" s="732">
        <f t="shared" si="7"/>
        <v>0</v>
      </c>
      <c r="I56" s="732">
        <f t="shared" si="7"/>
        <v>0</v>
      </c>
      <c r="J56" s="732">
        <f t="shared" si="7"/>
        <v>0</v>
      </c>
      <c r="K56" s="732">
        <f t="shared" si="7"/>
        <v>1.8422880105757105</v>
      </c>
      <c r="L56" s="732">
        <f t="shared" si="7"/>
        <v>0</v>
      </c>
      <c r="M56" s="732">
        <f t="shared" si="7"/>
        <v>0</v>
      </c>
      <c r="N56" s="732">
        <f t="shared" si="7"/>
        <v>0</v>
      </c>
      <c r="O56" s="732">
        <f t="shared" si="7"/>
        <v>0</v>
      </c>
      <c r="P56" s="732">
        <f t="shared" si="7"/>
        <v>0</v>
      </c>
      <c r="Q56" s="733">
        <f t="shared" si="7"/>
        <v>0</v>
      </c>
      <c r="R56" s="734">
        <f ca="1">SUM(R54:R55)</f>
        <v>1766.6889681269597</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15237.292813273489</v>
      </c>
      <c r="D61" s="740">
        <f t="shared" ref="D61:Q61" ca="1" si="8">D46+D52+D56</f>
        <v>41.37605042016807</v>
      </c>
      <c r="E61" s="740">
        <f t="shared" ca="1" si="8"/>
        <v>108103.39856781039</v>
      </c>
      <c r="F61" s="740">
        <f t="shared" si="8"/>
        <v>433.57747005237263</v>
      </c>
      <c r="G61" s="740">
        <f t="shared" ca="1" si="8"/>
        <v>2270.3249756990317</v>
      </c>
      <c r="H61" s="740">
        <f t="shared" si="8"/>
        <v>12055.321365308404</v>
      </c>
      <c r="I61" s="740">
        <f t="shared" si="8"/>
        <v>2525.9714241222173</v>
      </c>
      <c r="J61" s="740">
        <f t="shared" si="8"/>
        <v>0</v>
      </c>
      <c r="K61" s="740">
        <f t="shared" si="8"/>
        <v>3.6817406352188753</v>
      </c>
      <c r="L61" s="740">
        <f t="shared" si="8"/>
        <v>0</v>
      </c>
      <c r="M61" s="740">
        <f t="shared" ca="1" si="8"/>
        <v>0</v>
      </c>
      <c r="N61" s="740">
        <f t="shared" si="8"/>
        <v>0</v>
      </c>
      <c r="O61" s="740">
        <f t="shared" ca="1" si="8"/>
        <v>0</v>
      </c>
      <c r="P61" s="740">
        <f t="shared" si="8"/>
        <v>0</v>
      </c>
      <c r="Q61" s="740">
        <f t="shared" si="8"/>
        <v>0</v>
      </c>
      <c r="R61" s="740">
        <f ca="1">R46+R52+R56</f>
        <v>140670.94440732134</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0.21312656052330015</v>
      </c>
      <c r="D63" s="781">
        <f t="shared" ca="1" si="9"/>
        <v>0.23764705882352943</v>
      </c>
      <c r="E63" s="1023">
        <f t="shared" ca="1" si="9"/>
        <v>0.20200000000000001</v>
      </c>
      <c r="F63" s="781">
        <f t="shared" si="9"/>
        <v>0.22700000000000004</v>
      </c>
      <c r="G63" s="781">
        <f t="shared" ca="1" si="9"/>
        <v>0.26700000000000002</v>
      </c>
      <c r="H63" s="781">
        <f t="shared" si="9"/>
        <v>0.26700000000000002</v>
      </c>
      <c r="I63" s="781">
        <f t="shared" si="9"/>
        <v>0.24899999999999997</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2556.2596075665242</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121.875</v>
      </c>
      <c r="D76" s="1033">
        <f>'lokale energieproductie'!C8</f>
        <v>143.38235294117646</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28.963235294117649</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2556.2596075665242</v>
      </c>
      <c r="C78" s="755">
        <f>SUM(C72:C77)</f>
        <v>121.875</v>
      </c>
      <c r="D78" s="756">
        <f t="shared" ref="D78:H78" si="10">SUM(D76:D77)</f>
        <v>143.38235294117646</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28.963235294117649</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174.10714285714286</v>
      </c>
      <c r="D87" s="777">
        <f>'lokale energieproductie'!C17</f>
        <v>204.83193277310923</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41.37605042016807</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174.10714285714286</v>
      </c>
      <c r="D90" s="755">
        <f t="shared" ref="D90:H90" si="12">SUM(D87:D89)</f>
        <v>204.83193277310923</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41.37605042016807</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2556.2596075665242</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121.875</v>
      </c>
      <c r="C8" s="570">
        <f>B101</f>
        <v>143.38235294117646</v>
      </c>
      <c r="D8" s="1043"/>
      <c r="E8" s="1043">
        <f>E101</f>
        <v>0</v>
      </c>
      <c r="F8" s="1044"/>
      <c r="G8" s="571"/>
      <c r="H8" s="1043">
        <f>I101</f>
        <v>0</v>
      </c>
      <c r="I8" s="1043">
        <f>G101+F101</f>
        <v>0</v>
      </c>
      <c r="J8" s="1043">
        <f>H101+D101+C101</f>
        <v>0</v>
      </c>
      <c r="K8" s="1043"/>
      <c r="L8" s="1043"/>
      <c r="M8" s="1043"/>
      <c r="N8" s="572"/>
      <c r="O8" s="573">
        <f>C8*$C$12+D8*$D$12+E8*$E$12+F8*$F$12+G8*$G$12+H8*$H$12+I8*$I$12+J8*$J$12</f>
        <v>28.963235294117649</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2678.1346075665242</v>
      </c>
      <c r="C10" s="583">
        <f t="shared" ref="C10:L10" si="0">SUM(C8:C9)</f>
        <v>143.38235294117646</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28.963235294117649</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174.10714285714286</v>
      </c>
      <c r="C17" s="595">
        <f>B102</f>
        <v>204.83193277310923</v>
      </c>
      <c r="D17" s="596"/>
      <c r="E17" s="596">
        <f>E102</f>
        <v>0</v>
      </c>
      <c r="F17" s="1049"/>
      <c r="G17" s="597"/>
      <c r="H17" s="595">
        <f>I102</f>
        <v>0</v>
      </c>
      <c r="I17" s="596">
        <f>G102+F102</f>
        <v>0</v>
      </c>
      <c r="J17" s="596">
        <f>H102+D102+C102</f>
        <v>0</v>
      </c>
      <c r="K17" s="596"/>
      <c r="L17" s="596"/>
      <c r="M17" s="596"/>
      <c r="N17" s="1050"/>
      <c r="O17" s="598">
        <f>C17*$C$22+E17*$E$22+H17*$H$22+I17*$I$22+J17*$J$22+D17*$D$22+F17*$F$22+G17*$G$22+K17*$K$22+L17*$L$22</f>
        <v>41.37605042016807</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174.10714285714286</v>
      </c>
      <c r="C20" s="582">
        <f>SUM(C17:C19)</f>
        <v>204.83193277310923</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41.37605042016807</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51">
      <c r="A28" s="605"/>
      <c r="B28" s="796">
        <v>11029</v>
      </c>
      <c r="C28" s="796">
        <v>2640</v>
      </c>
      <c r="D28" s="653" t="s">
        <v>890</v>
      </c>
      <c r="E28" s="652" t="s">
        <v>891</v>
      </c>
      <c r="F28" s="652" t="s">
        <v>892</v>
      </c>
      <c r="G28" s="652" t="s">
        <v>893</v>
      </c>
      <c r="H28" s="652" t="s">
        <v>894</v>
      </c>
      <c r="I28" s="652" t="s">
        <v>891</v>
      </c>
      <c r="J28" s="795">
        <v>41579</v>
      </c>
      <c r="K28" s="795">
        <v>42205</v>
      </c>
      <c r="L28" s="652" t="s">
        <v>895</v>
      </c>
      <c r="M28" s="652">
        <v>65</v>
      </c>
      <c r="N28" s="652">
        <v>121.875</v>
      </c>
      <c r="O28" s="652">
        <v>174.10714285714286</v>
      </c>
      <c r="P28" s="652">
        <v>348.21428571428572</v>
      </c>
      <c r="Q28" s="652">
        <v>0</v>
      </c>
      <c r="R28" s="652">
        <v>0</v>
      </c>
      <c r="S28" s="652">
        <v>0</v>
      </c>
      <c r="T28" s="652">
        <v>0</v>
      </c>
      <c r="U28" s="652">
        <v>0</v>
      </c>
      <c r="V28" s="652">
        <v>0</v>
      </c>
      <c r="W28" s="652">
        <v>0</v>
      </c>
      <c r="X28" s="652">
        <v>1500</v>
      </c>
      <c r="Y28" s="652" t="s">
        <v>51</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65</v>
      </c>
      <c r="N58" s="610">
        <f>SUM(N28:N57)</f>
        <v>121.875</v>
      </c>
      <c r="O58" s="610">
        <f t="shared" ref="O58:W58" si="2">SUM(O28:O57)</f>
        <v>174.10714285714286</v>
      </c>
      <c r="P58" s="610">
        <f t="shared" si="2"/>
        <v>348.21428571428572</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65</v>
      </c>
      <c r="N60" s="610">
        <f ca="1">SUMIF($Z$28:AD57,"tertiair",N28:N57)</f>
        <v>121.875</v>
      </c>
      <c r="O60" s="610">
        <f ca="1">SUMIF($Z$28:AE57,"tertiair",O28:O57)</f>
        <v>174.10714285714286</v>
      </c>
      <c r="P60" s="610">
        <f ca="1">SUMIF($Z$28:AF57,"tertiair",P28:P57)</f>
        <v>348.21428571428572</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0.58823529411764697</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143.38235294117646</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204.83193277310923</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35966.235033087796</v>
      </c>
      <c r="C4" s="477">
        <f>huishoudens!C8</f>
        <v>0</v>
      </c>
      <c r="D4" s="477">
        <f>huishoudens!D8</f>
        <v>124393.11959469999</v>
      </c>
      <c r="E4" s="477">
        <f>huishoudens!E8</f>
        <v>961.12537153031803</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5629.9226183403534</v>
      </c>
      <c r="O4" s="477">
        <f>huishoudens!O8</f>
        <v>173.53000000000003</v>
      </c>
      <c r="P4" s="478">
        <f>huishoudens!P8</f>
        <v>514.79999999999995</v>
      </c>
      <c r="Q4" s="479">
        <f>SUM(B4:P4)</f>
        <v>167638.73261765845</v>
      </c>
    </row>
    <row r="5" spans="1:17">
      <c r="A5" s="476" t="s">
        <v>156</v>
      </c>
      <c r="B5" s="477">
        <f ca="1">tertiair!B16</f>
        <v>28395.930913330001</v>
      </c>
      <c r="C5" s="477">
        <f ca="1">tertiair!C16</f>
        <v>174.10714285714286</v>
      </c>
      <c r="D5" s="477">
        <f ca="1">tertiair!D16</f>
        <v>46515.641975538514</v>
      </c>
      <c r="E5" s="477">
        <f>tertiair!E16</f>
        <v>554.00296132046219</v>
      </c>
      <c r="F5" s="477">
        <f ca="1">tertiair!F16</f>
        <v>7425.9564455622549</v>
      </c>
      <c r="G5" s="477">
        <f>tertiair!G16</f>
        <v>0</v>
      </c>
      <c r="H5" s="477">
        <f>tertiair!H16</f>
        <v>0</v>
      </c>
      <c r="I5" s="477">
        <f>tertiair!I16</f>
        <v>0</v>
      </c>
      <c r="J5" s="477">
        <f>tertiair!J16</f>
        <v>0</v>
      </c>
      <c r="K5" s="477">
        <f>tertiair!K16</f>
        <v>0</v>
      </c>
      <c r="L5" s="477">
        <f ca="1">tertiair!L16</f>
        <v>0</v>
      </c>
      <c r="M5" s="477">
        <f>tertiair!M16</f>
        <v>0</v>
      </c>
      <c r="N5" s="477">
        <f ca="1">tertiair!N16</f>
        <v>1616.9867140177953</v>
      </c>
      <c r="O5" s="477">
        <f>tertiair!O16</f>
        <v>0</v>
      </c>
      <c r="P5" s="478">
        <f>tertiair!P16</f>
        <v>0</v>
      </c>
      <c r="Q5" s="476">
        <f t="shared" ref="Q5:Q14" ca="1" si="0">SUM(B5:P5)</f>
        <v>84682.626152626181</v>
      </c>
    </row>
    <row r="6" spans="1:17">
      <c r="A6" s="476" t="s">
        <v>194</v>
      </c>
      <c r="B6" s="477">
        <f>'openbare verlichting'!B8</f>
        <v>1092.278</v>
      </c>
      <c r="C6" s="477"/>
      <c r="D6" s="477"/>
      <c r="E6" s="477"/>
      <c r="F6" s="477"/>
      <c r="G6" s="477"/>
      <c r="H6" s="477"/>
      <c r="I6" s="477"/>
      <c r="J6" s="477"/>
      <c r="K6" s="477"/>
      <c r="L6" s="477"/>
      <c r="M6" s="477"/>
      <c r="N6" s="477"/>
      <c r="O6" s="477"/>
      <c r="P6" s="478"/>
      <c r="Q6" s="476">
        <f t="shared" si="0"/>
        <v>1092.278</v>
      </c>
    </row>
    <row r="7" spans="1:17">
      <c r="A7" s="476" t="s">
        <v>112</v>
      </c>
      <c r="B7" s="477">
        <f>landbouw!B8</f>
        <v>36.149536390999998</v>
      </c>
      <c r="C7" s="477">
        <f>landbouw!C8</f>
        <v>0</v>
      </c>
      <c r="D7" s="477">
        <f>landbouw!D8</f>
        <v>75.171969259177999</v>
      </c>
      <c r="E7" s="477">
        <f>landbouw!E8</f>
        <v>0.93215774535126561</v>
      </c>
      <c r="F7" s="477">
        <f>landbouw!F8</f>
        <v>132.13343985388889</v>
      </c>
      <c r="G7" s="477">
        <f>landbouw!G8</f>
        <v>0</v>
      </c>
      <c r="H7" s="477">
        <f>landbouw!H8</f>
        <v>0</v>
      </c>
      <c r="I7" s="477">
        <f>landbouw!I8</f>
        <v>0</v>
      </c>
      <c r="J7" s="477">
        <f>landbouw!J8</f>
        <v>5.2042034197053972</v>
      </c>
      <c r="K7" s="477">
        <f>landbouw!K8</f>
        <v>0</v>
      </c>
      <c r="L7" s="477">
        <f>landbouw!L8</f>
        <v>0</v>
      </c>
      <c r="M7" s="477">
        <f>landbouw!M8</f>
        <v>0</v>
      </c>
      <c r="N7" s="477">
        <f>landbouw!N8</f>
        <v>0</v>
      </c>
      <c r="O7" s="477">
        <f>landbouw!O8</f>
        <v>0</v>
      </c>
      <c r="P7" s="478">
        <f>landbouw!P8</f>
        <v>0</v>
      </c>
      <c r="Q7" s="476">
        <f t="shared" si="0"/>
        <v>249.59130666912355</v>
      </c>
    </row>
    <row r="8" spans="1:17">
      <c r="A8" s="476" t="s">
        <v>638</v>
      </c>
      <c r="B8" s="477">
        <f>industrie!B18</f>
        <v>1694.8147419308998</v>
      </c>
      <c r="C8" s="477">
        <f>industrie!C18</f>
        <v>0</v>
      </c>
      <c r="D8" s="477">
        <f>industrie!D18</f>
        <v>358542.34765491076</v>
      </c>
      <c r="E8" s="477">
        <f>industrie!E18</f>
        <v>249.35321933244643</v>
      </c>
      <c r="F8" s="477">
        <f>industrie!F18</f>
        <v>944.99991120944264</v>
      </c>
      <c r="G8" s="477">
        <f>industrie!G18</f>
        <v>0</v>
      </c>
      <c r="H8" s="477">
        <f>industrie!H18</f>
        <v>0</v>
      </c>
      <c r="I8" s="477">
        <f>industrie!I18</f>
        <v>0</v>
      </c>
      <c r="J8" s="477">
        <f>industrie!J18</f>
        <v>5.1961938549241955</v>
      </c>
      <c r="K8" s="477">
        <f>industrie!K18</f>
        <v>0</v>
      </c>
      <c r="L8" s="477">
        <f>industrie!L18</f>
        <v>0</v>
      </c>
      <c r="M8" s="477">
        <f>industrie!M18</f>
        <v>0</v>
      </c>
      <c r="N8" s="477">
        <f>industrie!N18</f>
        <v>603.70541216130323</v>
      </c>
      <c r="O8" s="477">
        <f>industrie!O18</f>
        <v>0</v>
      </c>
      <c r="P8" s="478">
        <f>industrie!P18</f>
        <v>0</v>
      </c>
      <c r="Q8" s="476">
        <f t="shared" si="0"/>
        <v>362040.41713339981</v>
      </c>
    </row>
    <row r="9" spans="1:17" s="482" customFormat="1">
      <c r="A9" s="480" t="s">
        <v>564</v>
      </c>
      <c r="B9" s="481">
        <f>transport!B14</f>
        <v>15.619689652583062</v>
      </c>
      <c r="C9" s="481">
        <f>transport!C14</f>
        <v>0</v>
      </c>
      <c r="D9" s="481">
        <f>transport!D14</f>
        <v>37.941310997517967</v>
      </c>
      <c r="E9" s="481">
        <f>transport!E14</f>
        <v>144.61919779112517</v>
      </c>
      <c r="F9" s="481">
        <f>transport!F14</f>
        <v>0</v>
      </c>
      <c r="G9" s="481">
        <f>transport!G14</f>
        <v>42710.13274646207</v>
      </c>
      <c r="H9" s="481">
        <f>transport!H14</f>
        <v>10144.463550691637</v>
      </c>
      <c r="I9" s="481">
        <f>transport!I14</f>
        <v>0</v>
      </c>
      <c r="J9" s="481">
        <f>transport!J14</f>
        <v>0</v>
      </c>
      <c r="K9" s="481">
        <f>transport!K14</f>
        <v>0</v>
      </c>
      <c r="L9" s="481">
        <f>transport!L14</f>
        <v>0</v>
      </c>
      <c r="M9" s="481">
        <f>transport!M14</f>
        <v>1649.5822957979256</v>
      </c>
      <c r="N9" s="481">
        <f>transport!N14</f>
        <v>0</v>
      </c>
      <c r="O9" s="481">
        <f>transport!O14</f>
        <v>0</v>
      </c>
      <c r="P9" s="481">
        <f>transport!P14</f>
        <v>0</v>
      </c>
      <c r="Q9" s="480">
        <f>SUM(B9:P9)</f>
        <v>54702.358791392857</v>
      </c>
    </row>
    <row r="10" spans="1:17">
      <c r="A10" s="476" t="s">
        <v>554</v>
      </c>
      <c r="B10" s="477">
        <f>transport!B54</f>
        <v>1594.9593678573735</v>
      </c>
      <c r="C10" s="477">
        <f>transport!C54</f>
        <v>0</v>
      </c>
      <c r="D10" s="477">
        <f>transport!D54</f>
        <v>0</v>
      </c>
      <c r="E10" s="477">
        <f>transport!E54</f>
        <v>0</v>
      </c>
      <c r="F10" s="477">
        <f>transport!F54</f>
        <v>0</v>
      </c>
      <c r="G10" s="477">
        <f>transport!G54</f>
        <v>2440.8836030076041</v>
      </c>
      <c r="H10" s="477">
        <f>transport!H54</f>
        <v>0</v>
      </c>
      <c r="I10" s="477">
        <f>transport!I54</f>
        <v>0</v>
      </c>
      <c r="J10" s="477">
        <f>transport!J54</f>
        <v>0</v>
      </c>
      <c r="K10" s="477">
        <f>transport!K54</f>
        <v>0</v>
      </c>
      <c r="L10" s="477">
        <f>transport!L54</f>
        <v>0</v>
      </c>
      <c r="M10" s="477">
        <f>transport!M54</f>
        <v>75.710748664219992</v>
      </c>
      <c r="N10" s="477">
        <f>transport!N54</f>
        <v>0</v>
      </c>
      <c r="O10" s="477">
        <f>transport!O54</f>
        <v>0</v>
      </c>
      <c r="P10" s="478">
        <f>transport!P54</f>
        <v>0</v>
      </c>
      <c r="Q10" s="476">
        <f t="shared" si="0"/>
        <v>4111.5537195291972</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2698.1182664000003</v>
      </c>
      <c r="C14" s="484"/>
      <c r="D14" s="484">
        <f>'SEAP template'!E25</f>
        <v>5601.1169392000002</v>
      </c>
      <c r="E14" s="484"/>
      <c r="F14" s="484"/>
      <c r="G14" s="484"/>
      <c r="H14" s="484"/>
      <c r="I14" s="484"/>
      <c r="J14" s="484"/>
      <c r="K14" s="484"/>
      <c r="L14" s="484"/>
      <c r="M14" s="484"/>
      <c r="N14" s="484"/>
      <c r="O14" s="484"/>
      <c r="P14" s="485"/>
      <c r="Q14" s="476">
        <f t="shared" si="0"/>
        <v>8299.2352056</v>
      </c>
    </row>
    <row r="15" spans="1:17" s="486" customFormat="1">
      <c r="A15" s="1038" t="s">
        <v>558</v>
      </c>
      <c r="B15" s="978">
        <f ca="1">SUM(B4:B14)</f>
        <v>71494.105548649633</v>
      </c>
      <c r="C15" s="978">
        <f t="shared" ref="C15:Q15" ca="1" si="1">SUM(C4:C14)</f>
        <v>174.10714285714286</v>
      </c>
      <c r="D15" s="978">
        <f t="shared" ca="1" si="1"/>
        <v>535165.33944460587</v>
      </c>
      <c r="E15" s="978">
        <f t="shared" si="1"/>
        <v>1910.0329077197032</v>
      </c>
      <c r="F15" s="978">
        <f t="shared" ca="1" si="1"/>
        <v>8503.089796625587</v>
      </c>
      <c r="G15" s="978">
        <f t="shared" si="1"/>
        <v>45151.016349469675</v>
      </c>
      <c r="H15" s="978">
        <f t="shared" si="1"/>
        <v>10144.463550691637</v>
      </c>
      <c r="I15" s="978">
        <f t="shared" si="1"/>
        <v>0</v>
      </c>
      <c r="J15" s="978">
        <f t="shared" si="1"/>
        <v>10.400397274629594</v>
      </c>
      <c r="K15" s="978">
        <f t="shared" si="1"/>
        <v>0</v>
      </c>
      <c r="L15" s="978">
        <f t="shared" ca="1" si="1"/>
        <v>0</v>
      </c>
      <c r="M15" s="978">
        <f t="shared" si="1"/>
        <v>1725.2930444621456</v>
      </c>
      <c r="N15" s="978">
        <f t="shared" ca="1" si="1"/>
        <v>7850.6147445194529</v>
      </c>
      <c r="O15" s="978">
        <f t="shared" si="1"/>
        <v>173.53000000000003</v>
      </c>
      <c r="P15" s="978">
        <f t="shared" si="1"/>
        <v>514.79999999999995</v>
      </c>
      <c r="Q15" s="978">
        <f t="shared" ca="1" si="1"/>
        <v>682816.79292687564</v>
      </c>
    </row>
    <row r="17" spans="1:17">
      <c r="A17" s="487" t="s">
        <v>559</v>
      </c>
      <c r="B17" s="786">
        <f ca="1">huishoudens!B10</f>
        <v>0.21312656052330015</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7665.3599675746245</v>
      </c>
      <c r="C22" s="477">
        <f t="shared" ref="C22:C32" ca="1" si="3">C4*$C$17</f>
        <v>0</v>
      </c>
      <c r="D22" s="477">
        <f t="shared" ref="D22:D32" si="4">D4*$D$17</f>
        <v>25127.410158129402</v>
      </c>
      <c r="E22" s="477">
        <f t="shared" ref="E22:E32" si="5">E4*$E$17</f>
        <v>218.17545933738219</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33010.945585041409</v>
      </c>
    </row>
    <row r="23" spans="1:17">
      <c r="A23" s="476" t="s">
        <v>156</v>
      </c>
      <c r="B23" s="477">
        <f t="shared" ca="1" si="2"/>
        <v>6051.9270884152756</v>
      </c>
      <c r="C23" s="477">
        <f t="shared" ca="1" si="3"/>
        <v>41.37605042016807</v>
      </c>
      <c r="D23" s="477">
        <f t="shared" ca="1" si="4"/>
        <v>9396.159679058781</v>
      </c>
      <c r="E23" s="477">
        <f t="shared" si="5"/>
        <v>125.75867221974492</v>
      </c>
      <c r="F23" s="477">
        <f t="shared" ca="1" si="6"/>
        <v>1982.7303709651221</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17597.951861079091</v>
      </c>
    </row>
    <row r="24" spans="1:17">
      <c r="A24" s="476" t="s">
        <v>194</v>
      </c>
      <c r="B24" s="477">
        <f t="shared" ca="1" si="2"/>
        <v>232.79345327526923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232.79345327526923</v>
      </c>
    </row>
    <row r="25" spans="1:17">
      <c r="A25" s="476" t="s">
        <v>112</v>
      </c>
      <c r="B25" s="477">
        <f t="shared" ca="1" si="2"/>
        <v>7.704426355525702</v>
      </c>
      <c r="C25" s="477">
        <f t="shared" ca="1" si="3"/>
        <v>0</v>
      </c>
      <c r="D25" s="477">
        <f t="shared" si="4"/>
        <v>15.184737790353957</v>
      </c>
      <c r="E25" s="477">
        <f t="shared" si="5"/>
        <v>0.21159980819473731</v>
      </c>
      <c r="F25" s="477">
        <f t="shared" si="6"/>
        <v>35.279628440988333</v>
      </c>
      <c r="G25" s="477">
        <f t="shared" si="7"/>
        <v>0</v>
      </c>
      <c r="H25" s="477">
        <f t="shared" si="8"/>
        <v>0</v>
      </c>
      <c r="I25" s="477">
        <f t="shared" si="9"/>
        <v>0</v>
      </c>
      <c r="J25" s="477">
        <f t="shared" si="10"/>
        <v>1.8422880105757105</v>
      </c>
      <c r="K25" s="477">
        <f t="shared" si="11"/>
        <v>0</v>
      </c>
      <c r="L25" s="477">
        <f t="shared" si="12"/>
        <v>0</v>
      </c>
      <c r="M25" s="477">
        <f t="shared" si="13"/>
        <v>0</v>
      </c>
      <c r="N25" s="477">
        <f t="shared" si="14"/>
        <v>0</v>
      </c>
      <c r="O25" s="477">
        <f t="shared" si="15"/>
        <v>0</v>
      </c>
      <c r="P25" s="478">
        <f t="shared" si="16"/>
        <v>0</v>
      </c>
      <c r="Q25" s="476">
        <f t="shared" ca="1" si="17"/>
        <v>60.222680405638435</v>
      </c>
    </row>
    <row r="26" spans="1:17">
      <c r="A26" s="476" t="s">
        <v>638</v>
      </c>
      <c r="B26" s="477">
        <f t="shared" ca="1" si="2"/>
        <v>361.21003667191724</v>
      </c>
      <c r="C26" s="477">
        <f t="shared" ca="1" si="3"/>
        <v>0</v>
      </c>
      <c r="D26" s="477">
        <f t="shared" si="4"/>
        <v>72425.554226291977</v>
      </c>
      <c r="E26" s="477">
        <f t="shared" si="5"/>
        <v>56.603180788465345</v>
      </c>
      <c r="F26" s="477">
        <f t="shared" si="6"/>
        <v>252.31497629292119</v>
      </c>
      <c r="G26" s="477">
        <f t="shared" si="7"/>
        <v>0</v>
      </c>
      <c r="H26" s="477">
        <f t="shared" si="8"/>
        <v>0</v>
      </c>
      <c r="I26" s="477">
        <f t="shared" si="9"/>
        <v>0</v>
      </c>
      <c r="J26" s="477">
        <f t="shared" si="10"/>
        <v>1.8394526246431651</v>
      </c>
      <c r="K26" s="477">
        <f t="shared" si="11"/>
        <v>0</v>
      </c>
      <c r="L26" s="477">
        <f t="shared" si="12"/>
        <v>0</v>
      </c>
      <c r="M26" s="477">
        <f t="shared" si="13"/>
        <v>0</v>
      </c>
      <c r="N26" s="477">
        <f t="shared" si="14"/>
        <v>0</v>
      </c>
      <c r="O26" s="477">
        <f t="shared" si="15"/>
        <v>0</v>
      </c>
      <c r="P26" s="478">
        <f t="shared" si="16"/>
        <v>0</v>
      </c>
      <c r="Q26" s="476">
        <f t="shared" ca="1" si="17"/>
        <v>73097.521872669939</v>
      </c>
    </row>
    <row r="27" spans="1:17" s="482" customFormat="1">
      <c r="A27" s="480" t="s">
        <v>564</v>
      </c>
      <c r="B27" s="780">
        <f t="shared" ca="1" si="2"/>
        <v>3.3289707320964093</v>
      </c>
      <c r="C27" s="481">
        <f t="shared" ca="1" si="3"/>
        <v>0</v>
      </c>
      <c r="D27" s="481">
        <f t="shared" si="4"/>
        <v>7.6641448214986294</v>
      </c>
      <c r="E27" s="481">
        <f t="shared" si="5"/>
        <v>32.828557898585416</v>
      </c>
      <c r="F27" s="481">
        <f t="shared" si="6"/>
        <v>0</v>
      </c>
      <c r="G27" s="481">
        <f t="shared" si="7"/>
        <v>11403.605443305374</v>
      </c>
      <c r="H27" s="481">
        <f t="shared" si="8"/>
        <v>2525.9714241222173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13973.398540879773</v>
      </c>
    </row>
    <row r="28" spans="1:17">
      <c r="A28" s="476" t="s">
        <v>554</v>
      </c>
      <c r="B28" s="477">
        <f t="shared" ca="1" si="2"/>
        <v>339.92820424585904</v>
      </c>
      <c r="C28" s="477">
        <f t="shared" ca="1" si="3"/>
        <v>0</v>
      </c>
      <c r="D28" s="477">
        <f t="shared" si="4"/>
        <v>0</v>
      </c>
      <c r="E28" s="477">
        <f t="shared" si="5"/>
        <v>0</v>
      </c>
      <c r="F28" s="477">
        <f t="shared" si="6"/>
        <v>0</v>
      </c>
      <c r="G28" s="477">
        <f t="shared" si="7"/>
        <v>651.7159220030303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991.64412624888928</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575.04066600292128</v>
      </c>
      <c r="C32" s="477">
        <f t="shared" ca="1" si="3"/>
        <v>0</v>
      </c>
      <c r="D32" s="477">
        <f t="shared" si="4"/>
        <v>1131.4256217184002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1706.4662877213214</v>
      </c>
    </row>
    <row r="33" spans="1:17" s="486" customFormat="1">
      <c r="A33" s="1038" t="s">
        <v>558</v>
      </c>
      <c r="B33" s="978">
        <f ca="1">SUM(B22:B32)</f>
        <v>15237.292813273491</v>
      </c>
      <c r="C33" s="978">
        <f t="shared" ref="C33:Q33" ca="1" si="18">SUM(C22:C32)</f>
        <v>41.37605042016807</v>
      </c>
      <c r="D33" s="978">
        <f t="shared" ca="1" si="18"/>
        <v>108103.39856781041</v>
      </c>
      <c r="E33" s="978">
        <f t="shared" si="18"/>
        <v>433.57747005237263</v>
      </c>
      <c r="F33" s="978">
        <f t="shared" ca="1" si="18"/>
        <v>2270.3249756990317</v>
      </c>
      <c r="G33" s="978">
        <f t="shared" si="18"/>
        <v>12055.321365308404</v>
      </c>
      <c r="H33" s="978">
        <f t="shared" si="18"/>
        <v>2525.9714241222173</v>
      </c>
      <c r="I33" s="978">
        <f t="shared" si="18"/>
        <v>0</v>
      </c>
      <c r="J33" s="978">
        <f t="shared" si="18"/>
        <v>3.6817406352188753</v>
      </c>
      <c r="K33" s="978">
        <f t="shared" si="18"/>
        <v>0</v>
      </c>
      <c r="L33" s="978">
        <f t="shared" ca="1" si="18"/>
        <v>0</v>
      </c>
      <c r="M33" s="978">
        <f t="shared" si="18"/>
        <v>0</v>
      </c>
      <c r="N33" s="978">
        <f t="shared" ca="1" si="18"/>
        <v>0</v>
      </c>
      <c r="O33" s="978">
        <f t="shared" si="18"/>
        <v>0</v>
      </c>
      <c r="P33" s="978">
        <f t="shared" si="18"/>
        <v>0</v>
      </c>
      <c r="Q33" s="978">
        <f t="shared" ca="1" si="18"/>
        <v>140670.94440732134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2556.2596075665242</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121.875</v>
      </c>
      <c r="D8" s="1055">
        <f>'SEAP template'!D76</f>
        <v>143.38235294117646</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28.963235294117649</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2556.2596075665242</v>
      </c>
      <c r="C10" s="1059">
        <f>SUM(C4:C9)</f>
        <v>121.875</v>
      </c>
      <c r="D10" s="1059">
        <f t="shared" ref="D10:H10" si="0">SUM(D8:D9)</f>
        <v>143.38235294117646</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28.963235294117649</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0.21312656052330015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174.10714285714286</v>
      </c>
      <c r="D17" s="1056">
        <f>'SEAP template'!D87</f>
        <v>204.83193277310923</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41.37605042016807</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174.10714285714286</v>
      </c>
      <c r="D20" s="1059">
        <f t="shared" ref="D20:H20" si="2">SUM(D17:D19)</f>
        <v>204.83193277310923</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41.37605042016807</v>
      </c>
    </row>
    <row r="22" spans="1:16">
      <c r="A22" s="487" t="s">
        <v>871</v>
      </c>
      <c r="B22" s="786" t="s">
        <v>865</v>
      </c>
      <c r="C22" s="786">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0.21312656052330015</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2</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3.1266666666666669</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2019-08-12T08:22:17Z</dcterms:modified>
</cp:coreProperties>
</file>