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<sst xmlns="http://schemas.openxmlformats.org/spreadsheetml/2006/main" count="2419" uniqueCount="904">
  <si>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</si>
  <si>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</si>
  <si>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</si>
  <si>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</si>
  <si>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</si>
  <si>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</si>
  <si>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</si>
  <si>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</si>
  <si>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</si>
  <si>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</si>
  <si>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</si>
  <si>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</si>
  <si>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</si>
  <si>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</si>
  <si>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</si>
  <si>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</si>
  <si>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</si>
  <si>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</si>
  <si>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</si>
  <si>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</si>
  <si>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</si>
  <si>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</si>
  <si>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</si>
  <si>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</si>
  <si>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</si>
  <si>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</si>
  <si>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</si>
  <si>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</si>
  <si>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</si>
  <si>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</si>
  <si>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</si>
  <si>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</si>
  <si>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</si>
  <si>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</si>
  <si>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</si>
  <si>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</si>
  <si>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</si>
  <si>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</si>
  <si>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</si>
  <si>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</si>
  <si>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</si>
  <si>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</si>
  <si>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</si>
  <si>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</si>
  <si>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</si>
  <si>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</si>
  <si>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</si>
  <si>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</si>
  <si>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</si>
  <si>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</si>
  <si>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</si>
  <si>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</si>
  <si>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</si>
  <si>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</si>
  <si>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</si>
  <si>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</si>
  <si>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</si>
  <si>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</si>
  <si>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</si>
  <si>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</si>
  <si>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</si>
  <si>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</si>
  <si>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</si>
  <si>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</si>
  <si>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</si>
  <si>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</si>
  <si>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</si>
  <si>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</si>
  <si>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</si>
  <si>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</si>
  <si>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</si>
  <si>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</si>
  <si>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</si>
  <si>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</si>
  <si>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</si>
  <si>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</si>
  <si>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</si>
  <si>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</si>
  <si>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</si>
  <si>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</si>
  <si>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</si>
  <si>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</si>
  <si>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</si>
  <si>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</si>
  <si>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</si>
  <si>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</si>
  <si>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</si>
  <si>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</si>
  <si>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</si>
  <si>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</si>
  <si>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</si>
  <si>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</si>
  <si>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</si>
  <si>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</si>
  <si>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</si>
  <si>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</si>
  <si>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</si>
  <si>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</si>
  <si>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</si>
  <si>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</si>
  <si>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</si>
  <si>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</si>
  <si>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</si>
  <si>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</si>
  <si>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</si>
  <si>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</si>
  <si>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</si>
  <si>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</si>
  <si>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</si>
  <si>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</si>
  <si>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</si>
  <si>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</si>
  <si>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</si>
  <si>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</si>
  <si>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</si>
  <si>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</si>
  <si>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</si>
  <si>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</si>
  <si>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</si>
  <si>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</si>
  <si>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</si>
  <si>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</si>
  <si>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</si>
  <si>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</si>
  <si>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</si>
  <si>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</si>
  <si>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</si>
  <si>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</si>
  <si>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</si>
  <si>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</si>
  <si>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</si>
  <si>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</si>
  <si>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</si>
  <si>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</si>
  <si>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</si>
  <si>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</si>
  <si>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</si>
  <si>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</si>
  <si>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</si>
  <si>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</si>
  <si>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</si>
  <si>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</si>
  <si>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</si>
  <si>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</si>
  <si>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</si>
  <si>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</si>
  <si>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</si>
  <si>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</si>
  <si>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</si>
  <si>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</si>
  <si>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</si>
  <si>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</si>
  <si>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</si>
  <si>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</si>
  <si>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</si>
  <si>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</si>
  <si>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</si>
  <si>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</si>
  <si>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</si>
  <si>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</si>
  <si>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</si>
  <si>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</si>
  <si>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</si>
  <si>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</si>
  <si>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</si>
  <si>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</si>
  <si>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</si>
  <si>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</si>
  <si>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</si>
  <si>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</si>
  <si>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</si>
  <si>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</si>
  <si>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</si>
  <si>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</si>
  <si>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</si>
  <si>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</si>
  <si>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</si>
  <si>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</si>
  <si>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</si>
  <si>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</si>
  <si>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</si>
  <si>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</si>
  <si>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</si>
  <si>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</si>
  <si>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</si>
  <si>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</si>
  <si>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</si>
  <si>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</si>
  <si>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</si>
  <si>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</si>
  <si>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</si>
  <si>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</si>
  <si>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</si>
  <si>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</si>
  <si>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</si>
  <si>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</si>
  <si>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</si>
  <si>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</si>
  <si>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</si>
  <si>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</si>
  <si>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</si>
  <si>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</si>
  <si>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</si>
  <si>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</si>
  <si>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</si>
  <si>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</si>
  <si>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</si>
  <si>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</si>
  <si>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</si>
  <si>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</si>
  <si>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</si>
  <si>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</si>
  <si>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</si>
  <si>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</si>
  <si>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</si>
  <si>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</si>
  <si>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</si>
  <si>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</si>
  <si>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</si>
  <si>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</si>
  <si>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</si>
  <si>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</si>
  <si>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</si>
  <si>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</si>
  <si>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</si>
  <si>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</si>
  <si>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</si>
  <si>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</si>
  <si>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</si>
  <si>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</si>
  <si>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</si>
  <si>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</si>
  <si>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</si>
  <si>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</si>
  <si>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</si>
  <si>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</si>
  <si>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</si>
  <si>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</si>
  <si>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</si>
  <si>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</si>
  <si>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</si>
  <si>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</si>
  <si>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</si>
  <si>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</si>
  <si>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</si>
  <si>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</si>
  <si>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</si>
  <si>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</si>
  <si>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</si>
  <si>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</si>
  <si>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</si>
  <si>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</si>
  <si>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</si>
  <si>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</si>
  <si>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</si>
  <si>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</si>
  <si>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</si>
  <si>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</si>
  <si>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</si>
  <si>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</si>
  <si>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</si>
  <si>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</si>
  <si>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</si>
  <si>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</si>
  <si>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</si>
  <si>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</si>
  <si>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</si>
  <si>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</si>
  <si>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</si>
  <si>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</si>
  <si>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</si>
  <si>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</si>
  <si>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</si>
  <si>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</si>
  <si>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</si>
  <si>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</si>
  <si>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</si>
  <si>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</si>
  <si>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</si>
  <si>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</si>
  <si>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</si>
  <si>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</si>
  <si>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</si>
  <si>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</si>
  <si>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</si>
  <si>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</si>
  <si>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</si>
  <si>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</si>
  <si>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</si>
  <si>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</si>
  <si>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</si>
  <si>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</si>
  <si>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</si>
  <si>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</si>
  <si>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</si>
  <si>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</si>
  <si>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</si>
  <si>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</si>
  <si>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</si>
  <si>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</si>
  <si>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</si>
  <si>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</si>
  <si>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</si>
  <si>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</si>
  <si>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</si>
  <si>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</si>
  <si>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</si>
  <si>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</si>
  <si>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</si>
  <si>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</si>
  <si>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</si>
  <si>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</si>
  <si>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</si>
  <si>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</si>
  <si>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</si>
  <si>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</si>
  <si>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</si>
  <si>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</si>
  <si>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</si>
  <si>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</si>
  <si>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</si>
  <si>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</si>
  <si>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</si>
  <si>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</si>
  <si>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</si>
  <si>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</si>
  <si>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</si>
  <si>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</si>
  <si>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</si>
  <si>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</si>
  <si>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</si>
  <si>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</si>
  <si>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</si>
  <si>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</si>
  <si>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</si>
  <si>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</si>
  <si>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</si>
  <si>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</si>
  <si>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</si>
  <si>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</si>
  <si>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</si>
  <si>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</si>
  <si>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</si>
  <si>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</si>
  <si>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</si>
  <si>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</si>
  <si>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</si>
  <si>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</si>
  <si>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</si>
  <si>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</si>
  <si>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</si>
  <si>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</si>
  <si>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</si>
  <si>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</si>
  <si>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</si>
  <si>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</si>
  <si>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</si>
  <si>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</si>
  <si>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</si>
  <si>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</si>
  <si>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</si>
  <si>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</si>
  <si>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</si>
  <si>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</si>
  <si>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</si>
  <si>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</si>
  <si>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</si>
  <si>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</si>
  <si>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</si>
  <si>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</si>
  <si>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</si>
  <si>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</si>
  <si>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</si>
  <si>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</si>
  <si>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</si>
  <si>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</si>
  <si>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</si>
  <si>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</si>
  <si>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</si>
  <si>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</si>
  <si>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</si>
  <si>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</si>
  <si>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</si>
  <si>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</si>
  <si>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</si>
  <si>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</si>
  <si>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</si>
  <si>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</si>
  <si>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</si>
  <si>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</si>
  <si>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</si>
  <si>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</si>
  <si>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</si>
  <si>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</si>
  <si>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</si>
  <si>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</si>
  <si>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</si>
  <si>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</si>
  <si>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</si>
  <si>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</si>
  <si>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</si>
  <si>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</si>
  <si>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</si>
  <si>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</si>
  <si>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</si>
  <si>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</si>
  <si>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</si>
  <si>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</si>
  <si>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</si>
  <si>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</si>
  <si>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</si>
  <si>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</si>
  <si>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</si>
  <si>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</si>
  <si>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</si>
  <si>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</si>
  <si>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</si>
  <si>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</si>
  <si>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</si>
  <si>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</si>
  <si>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</si>
  <si>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</si>
  <si>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</si>
  <si>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</si>
  <si>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</si>
  <si>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</si>
  <si>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</si>
  <si>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</si>
  <si>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</si>
  <si>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</si>
  <si>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</si>
  <si>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</si>
  <si>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</si>
  <si>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</si>
  <si>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</si>
  <si>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</si>
  <si>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</si>
  <si>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</si>
  <si>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</si>
  <si>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</si>
  <si>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</si>
  <si>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</si>
  <si>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</si>
  <si>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</si>
  <si>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</si>
  <si>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</si>
  <si>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</si>
  <si>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</si>
  <si>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</si>
  <si>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</si>
  <si>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</si>
  <si>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</si>
  <si>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</si>
  <si>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</si>
  <si>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</si>
  <si>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</si>
  <si>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</si>
  <si>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</si>
  <si>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</si>
  <si>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</si>
  <si>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</si>
  <si>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</si>
  <si>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</si>
  <si>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</si>
  <si>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</si>
  <si>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</si>
  <si>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</si>
  <si>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</si>
  <si>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</si>
  <si>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</si>
  <si>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</si>
  <si>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</si>
  <si>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</si>
  <si>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</si>
  <si>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</si>
  <si>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</si>
  <si>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</si>
  <si>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</si>
  <si>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</si>
  <si>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</si>
  <si>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</si>
  <si>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</si>
  <si>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</si>
  <si>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</si>
  <si>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</si>
  <si>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</si>
  <si>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</si>
  <si>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</si>
  <si>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</si>
  <si>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</si>
  <si>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</si>
  <si>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</si>
  <si>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</si>
  <si>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</si>
  <si>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</si>
  <si>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</si>
  <si>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</si>
  <si>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</si>
  <si>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</si>
  <si>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</si>
  <si>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</si>
  <si>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</si>
  <si>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</si>
  <si>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</si>
  <si>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</si>
  <si>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</si>
  <si>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</si>
  <si>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</si>
  <si>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</si>
  <si>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</si>
  <si>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</si>
  <si>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</si>
  <si>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</si>
  <si>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</si>
  <si>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</si>
  <si>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</si>
  <si>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</si>
  <si>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</si>
  <si>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</si>
  <si>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</si>
  <si>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</si>
  <si>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</si>
  <si>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</si>
  <si>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</si>
  <si>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</si>
  <si>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</si>
  <si>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</si>
  <si>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</si>
  <si>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</si>
  <si>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</si>
  <si>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</si>
  <si>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</si>
  <si>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</si>
  <si>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</si>
  <si>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</si>
  <si>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</si>
  <si>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</si>
  <si>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</si>
  <si>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</si>
  <si>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</si>
  <si>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</si>
  <si>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</si>
  <si>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</si>
  <si>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</si>
  <si>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</si>
  <si>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</si>
  <si>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</si>
  <si>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</si>
  <si>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</si>
  <si>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</si>
  <si>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</si>
  <si>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</si>
  <si>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</si>
  <si>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</si>
  <si>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</si>
  <si>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</si>
  <si>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</si>
  <si>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</si>
  <si>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</si>
  <si>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</si>
  <si>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</si>
  <si>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</si>
  <si>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</si>
  <si>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</si>
  <si>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</si>
  <si>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</si>
  <si>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</si>
  <si>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</si>
  <si>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</si>
  <si>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</si>
  <si>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</si>
  <si>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</si>
  <si>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</si>
  <si>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</si>
  <si>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</si>
  <si>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</si>
  <si>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</si>
  <si>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</si>
  <si>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</si>
  <si>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</si>
  <si>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</si>
  <si>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</si>
  <si>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</si>
  <si>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</si>
  <si>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</si>
  <si>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</si>
  <si>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</si>
  <si>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</si>
  <si>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</si>
  <si>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</si>
  <si>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</si>
  <si>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</si>
  <si>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</si>
  <si>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</si>
  <si>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</si>
  <si>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</si>
  <si>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</si>
  <si>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</si>
  <si>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</si>
  <si>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</si>
  <si>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</si>
  <si>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</si>
  <si>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</si>
  <si>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</si>
  <si>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</si>
  <si>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</si>
  <si>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</si>
  <si>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</si>
  <si>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</si>
  <si>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</si>
  <si>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</si>
  <si>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</si>
  <si>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</si>
  <si>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</si>
  <si>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</si>
  <si>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</si>
  <si>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</si>
  <si>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</si>
  <si>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</si>
  <si>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</si>
  <si>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</si>
  <si>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</si>
  <si>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</si>
  <si>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</si>
  <si>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</si>
  <si>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</si>
  <si>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</si>
  <si>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</si>
  <si>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</si>
  <si>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</si>
  <si>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</si>
  <si>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</si>
  <si>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</si>
  <si>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</si>
  <si>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</si>
  <si>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</si>
  <si>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</si>
  <si>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</si>
  <si>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</si>
  <si>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</si>
  <si>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</si>
  <si>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</si>
  <si>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</si>
  <si>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</si>
  <si>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</si>
  <si>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</si>
  <si>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</si>
  <si>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</si>
  <si>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</si>
  <si>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</si>
  <si>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</si>
  <si>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</si>
  <si>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</si>
  <si>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</si>
  <si>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</si>
  <si>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</si>
  <si>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</si>
  <si>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</si>
  <si>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</si>
  <si>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</si>
  <si>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</si>
  <si>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</si>
  <si>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</si>
  <si>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</si>
  <si>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</si>
  <si>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</si>
  <si>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</si>
  <si>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</si>
  <si>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</si>
  <si>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</si>
  <si>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</si>
  <si>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</si>
  <si>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</si>
  <si>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</si>
  <si>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</si>
  <si>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</si>
  <si>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</si>
  <si>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</si>
  <si>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</si>
  <si>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</si>
  <si>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</si>
  <si>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</si>
  <si>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</si>
  <si>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</si>
  <si>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</si>
  <si>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</si>
  <si>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</si>
  <si>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</si>
  <si>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</si>
  <si>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</si>
  <si>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</si>
  <si>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</si>
  <si>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</si>
  <si>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</si>
  <si>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</si>
  <si>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</si>
  <si>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</si>
  <si>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</si>
  <si>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</si>
  <si>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</si>
  <si>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</si>
  <si>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</si>
  <si>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</si>
  <si>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</si>
  <si>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</si>
  <si>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</si>
  <si>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</si>
  <si>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</si>
  <si>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</si>
  <si>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</si>
  <si>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</si>
  <si>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</si>
  <si>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</si>
  <si>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</si>
  <si>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</si>
  <si>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</si>
  <si>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</si>
  <si>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</si>
  <si>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</si>
  <si>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</si>
  <si>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</si>
  <si>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</si>
  <si>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</si>
  <si>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</si>
  <si>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</si>
  <si>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</si>
  <si>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</si>
  <si>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</si>
  <si>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</si>
  <si>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</si>
  <si>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</si>
  <si>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</si>
  <si>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</si>
  <si>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</si>
  <si>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</si>
  <si>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</si>
  <si>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</si>
  <si>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</si>
  <si>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</si>
  <si>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</si>
  <si>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</si>
  <si>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</si>
  <si>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</si>
  <si>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</si>
  <si>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</si>
  <si>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</si>
  <si>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</si>
  <si>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</si>
  <si>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</si>
  <si>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</si>
  <si>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</si>
  <si>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</si>
  <si>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</si>
  <si>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</si>
  <si>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</si>
  <si>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</si>
  <si>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</si>
  <si>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</si>
  <si>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</si>
  <si>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</si>
  <si>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</si>
  <si>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</si>
  <si>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</si>
  <si>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</si>
  <si>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</si>
  <si>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</si>
  <si>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</si>
  <si>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</si>
  <si>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</si>
  <si>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</si>
  <si>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</si>
  <si>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</si>
  <si>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</si>
  <si>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</si>
  <si>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</si>
  <si>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</si>
  <si>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</si>
  <si>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</si>
  <si>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</si>
  <si>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</si>
  <si>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</si>
  <si>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</si>
  <si>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</si>
  <si>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</si>
  <si>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</si>
  <si>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</si>
  <si>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</si>
  <si>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</si>
  <si>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</si>
  <si>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</si>
  <si>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</si>
  <si>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</si>
  <si>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</si>
  <si>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</si>
  <si>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</si>
  <si>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</si>
  <si>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</si>
  <si>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</si>
  <si>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</si>
  <si>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</si>
  <si>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</si>
  <si>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</si>
  <si>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</si>
  <si>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</si>
  <si>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</si>
  <si>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</si>
  <si>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</si>
  <si>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</si>
  <si>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</si>
  <si>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</si>
  <si>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</si>
  <si>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</si>
  <si>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</si>
  <si>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</si>
  <si>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</si>
  <si>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</si>
  <si>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</si>
  <si>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</si>
  <si>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</si>
  <si>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</si>
  <si>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</si>
  <si>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</si>
  <si>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</si>
  <si>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</si>
  <si>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</si>
  <si>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</si>
  <si>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</si>
  <si>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</si>
  <si>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</si>
  <si>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</si>
  <si>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</si>
  <si>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</si>
  <si>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</si>
  <si>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</si>
  <si>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</si>
  <si>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</si>
  <si>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</si>
  <si>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</si>
  <si>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</si>
  <si>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</si>
  <si>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</si>
  <si>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</si>
  <si>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</si>
  <si>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</si>
  <si>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</si>
  <si>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</si>
  <si>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</si>
  <si>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</si>
  <si>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</si>
  <si>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</si>
  <si>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</si>
  <si>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</si>
  <si>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</si>
  <si>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</si>
  <si>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</si>
  <si>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</si>
  <si>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</si>
  <si>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</si>
  <si>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</si>
  <si>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</si>
  <si>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</si>
  <si>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</si>
  <si>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</si>
  <si>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</si>
  <si>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</si>
  <si>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</si>
  <si>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</si>
  <si>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</si>
  <si>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</si>
  <si>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</si>
  <si>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</si>
  <si>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</si>
  <si>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</si>
  <si>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</si>
  <si>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</si>
  <si>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</si>
  <si>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</si>
  <si>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</si>
  <si>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</si>
  <si>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</si>
  <si>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</si>
  <si>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</si>
  <si>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11022</t>
  </si>
  <si>
    <t>KALMTHOUT</t>
  </si>
  <si>
    <t>Paarden&amp;pony's 200 - 600 kg</t>
  </si>
  <si>
    <t>Paarden&amp;pony's &lt; 200 kg</t>
  </si>
  <si>
    <t>referentietaak LNE (2017); Jaarverslag De Lijn (2015)</t>
  </si>
  <si>
    <t>op basis van VEA (maart 2018) en Inventaris Hernieuwbare Energiebronnen (juni 2018)</t>
  </si>
  <si>
    <t>VEA (januari 2017)</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</si>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</sst>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152335.31887099103</c:v>
                </c:pt>
                <c:pt idx="1">
                  <c:v>50175.325779457402</c:v>
                </c:pt>
                <c:pt idx="2">
                  <c:v>1082.2449999999999</c:v>
                </c:pt>
                <c:pt idx="3">
                  <c:v>37464.808214928242</c:v>
                </c:pt>
                <c:pt idx="4">
                  <c:v>40442.928226640557</c:v>
                </c:pt>
                <c:pt idx="5">
                  <c:v>75597.333842181324</c:v>
                </c:pt>
                <c:pt idx="6">
                  <c:v>968.3023186590766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152335.31887099103</c:v>
                </c:pt>
                <c:pt idx="1">
                  <c:v>50175.325779457402</c:v>
                </c:pt>
                <c:pt idx="2">
                  <c:v>1082.2449999999999</c:v>
                </c:pt>
                <c:pt idx="3">
                  <c:v>37464.808214928242</c:v>
                </c:pt>
                <c:pt idx="4">
                  <c:v>40442.928226640557</c:v>
                </c:pt>
                <c:pt idx="5">
                  <c:v>75597.333842181324</c:v>
                </c:pt>
                <c:pt idx="6">
                  <c:v>968.3023186590766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26396.129908484447</c:v>
                </c:pt>
                <c:pt idx="2">
                  <c:v>9620.8901102179607</c:v>
                </c:pt>
                <c:pt idx="3">
                  <c:v>189.88189012190048</c:v>
                </c:pt>
                <c:pt idx="4">
                  <c:v>8781.7172913192171</c:v>
                </c:pt>
                <c:pt idx="5">
                  <c:v>7096.2531233660447</c:v>
                </c:pt>
                <c:pt idx="6">
                  <c:v>19325.91813764321</c:v>
                </c:pt>
                <c:pt idx="7">
                  <c:v>250.75874384099595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84800"/>
        <c:axId val="183988992"/>
      </c:barChart>
      <c:catAx>
        <c:axId val="18388480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84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26396.129908484447</c:v>
                </c:pt>
                <c:pt idx="2">
                  <c:v>9620.8901102179607</c:v>
                </c:pt>
                <c:pt idx="3">
                  <c:v>189.88189012190048</c:v>
                </c:pt>
                <c:pt idx="4">
                  <c:v>8781.7172913192171</c:v>
                </c:pt>
                <c:pt idx="5">
                  <c:v>7096.2531233660447</c:v>
                </c:pt>
                <c:pt idx="6">
                  <c:v>19325.91813764321</c:v>
                </c:pt>
                <c:pt idx="7">
                  <c:v>250.75874384099595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11022</v>
      </c>
      <c r="B6" s="415"/>
      <c r="C6" s="416"/>
    </row>
    <row r="7" spans="1:7" s="413" customFormat="1" ht="15.75" customHeight="1">
      <c r="A7" s="417" t="str">
        <f>txtMunicipality</f>
        <v>KALMTHOUT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0.17545185251204717</v>
      </c>
      <c r="C17" s="524">
        <f ca="1">'EF ele_warmte'!B22</f>
        <v>0.23649325928269987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0.17545185251204717</v>
      </c>
      <c r="C29" s="525">
        <f ca="1">'EF ele_warmte'!B22</f>
        <v>0.23649325928269987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7258</v>
      </c>
      <c r="C9" s="342">
        <v>7223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2977.51</v>
      </c>
    </row>
    <row r="15" spans="1:6">
      <c r="A15" s="348" t="s">
        <v>184</v>
      </c>
      <c r="B15" s="334">
        <v>358</v>
      </c>
    </row>
    <row r="16" spans="1:6">
      <c r="A16" s="348" t="s">
        <v>6</v>
      </c>
      <c r="B16" s="334">
        <v>3842</v>
      </c>
    </row>
    <row r="17" spans="1:6">
      <c r="A17" s="348" t="s">
        <v>7</v>
      </c>
      <c r="B17" s="334">
        <v>153</v>
      </c>
    </row>
    <row r="18" spans="1:6">
      <c r="A18" s="348" t="s">
        <v>8</v>
      </c>
      <c r="B18" s="334">
        <v>1881</v>
      </c>
    </row>
    <row r="19" spans="1:6">
      <c r="A19" s="348" t="s">
        <v>9</v>
      </c>
      <c r="B19" s="334">
        <v>1607</v>
      </c>
    </row>
    <row r="20" spans="1:6">
      <c r="A20" s="348" t="s">
        <v>10</v>
      </c>
      <c r="B20" s="334">
        <v>702</v>
      </c>
    </row>
    <row r="21" spans="1:6">
      <c r="A21" s="348" t="s">
        <v>11</v>
      </c>
      <c r="B21" s="334">
        <v>7738</v>
      </c>
    </row>
    <row r="22" spans="1:6">
      <c r="A22" s="348" t="s">
        <v>12</v>
      </c>
      <c r="B22" s="334">
        <v>22800</v>
      </c>
    </row>
    <row r="23" spans="1:6">
      <c r="A23" s="348" t="s">
        <v>13</v>
      </c>
      <c r="B23" s="334">
        <v>358</v>
      </c>
    </row>
    <row r="24" spans="1:6">
      <c r="A24" s="348" t="s">
        <v>14</v>
      </c>
      <c r="B24" s="334">
        <v>20</v>
      </c>
    </row>
    <row r="25" spans="1:6">
      <c r="A25" s="348" t="s">
        <v>15</v>
      </c>
      <c r="B25" s="334">
        <v>1490</v>
      </c>
    </row>
    <row r="26" spans="1:6">
      <c r="A26" s="348" t="s">
        <v>16</v>
      </c>
      <c r="B26" s="334">
        <v>55</v>
      </c>
    </row>
    <row r="27" spans="1:6">
      <c r="A27" s="348" t="s">
        <v>17</v>
      </c>
      <c r="B27" s="334">
        <v>445</v>
      </c>
    </row>
    <row r="28" spans="1:6" s="356" customFormat="1">
      <c r="A28" s="355" t="s">
        <v>18</v>
      </c>
      <c r="B28" s="355">
        <v>180865</v>
      </c>
    </row>
    <row r="29" spans="1:6">
      <c r="A29" s="355" t="s">
        <v>884</v>
      </c>
      <c r="B29" s="355">
        <v>250</v>
      </c>
      <c r="C29" s="356"/>
      <c r="D29" s="356"/>
      <c r="E29" s="356"/>
      <c r="F29" s="356"/>
    </row>
    <row r="30" spans="1:6">
      <c r="A30" s="355" t="s">
        <v>885</v>
      </c>
      <c r="B30" s="341">
        <v>69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253109.56190999999</v>
      </c>
      <c r="E38" s="334">
        <v>7</v>
      </c>
      <c r="F38" s="334">
        <v>128730.01281</v>
      </c>
    </row>
    <row r="39" spans="1:6">
      <c r="A39" s="348" t="s">
        <v>30</v>
      </c>
      <c r="B39" s="348" t="s">
        <v>31</v>
      </c>
      <c r="C39" s="334">
        <v>5424</v>
      </c>
      <c r="D39" s="334">
        <v>107650179.98999999</v>
      </c>
      <c r="E39" s="334">
        <v>7026</v>
      </c>
      <c r="F39" s="334">
        <v>31310316.673999999</v>
      </c>
    </row>
    <row r="40" spans="1:6">
      <c r="A40" s="348" t="s">
        <v>30</v>
      </c>
      <c r="B40" s="348" t="s">
        <v>29</v>
      </c>
      <c r="C40" s="334">
        <v>0</v>
      </c>
      <c r="D40" s="334">
        <v>0</v>
      </c>
      <c r="E40" s="334">
        <v>0</v>
      </c>
      <c r="F40" s="334">
        <v>0</v>
      </c>
    </row>
    <row r="41" spans="1:6">
      <c r="A41" s="348" t="s">
        <v>32</v>
      </c>
      <c r="B41" s="348" t="s">
        <v>33</v>
      </c>
      <c r="C41" s="334">
        <v>81</v>
      </c>
      <c r="D41" s="334">
        <v>2141455.6124999998</v>
      </c>
      <c r="E41" s="334">
        <v>169</v>
      </c>
      <c r="F41" s="334">
        <v>1791760.4428000001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232970.36371000001</v>
      </c>
      <c r="E44" s="334">
        <v>14</v>
      </c>
      <c r="F44" s="334">
        <v>778413.25372000004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113468.02219</v>
      </c>
    </row>
    <row r="48" spans="1:6">
      <c r="A48" s="348" t="s">
        <v>32</v>
      </c>
      <c r="B48" s="348" t="s">
        <v>29</v>
      </c>
      <c r="C48" s="334">
        <v>27</v>
      </c>
      <c r="D48" s="334">
        <v>10736542.845000001</v>
      </c>
      <c r="E48" s="334">
        <v>32</v>
      </c>
      <c r="F48" s="334">
        <v>5094918.3859999999</v>
      </c>
    </row>
    <row r="49" spans="1:6">
      <c r="A49" s="348" t="s">
        <v>32</v>
      </c>
      <c r="B49" s="348" t="s">
        <v>40</v>
      </c>
      <c r="C49" s="334">
        <v>0</v>
      </c>
      <c r="D49" s="334">
        <v>0</v>
      </c>
      <c r="E49" s="334">
        <v>0</v>
      </c>
      <c r="F49" s="334">
        <v>0</v>
      </c>
    </row>
    <row r="50" spans="1:6">
      <c r="A50" s="348" t="s">
        <v>32</v>
      </c>
      <c r="B50" s="348" t="s">
        <v>41</v>
      </c>
      <c r="C50" s="334">
        <v>11</v>
      </c>
      <c r="D50" s="334">
        <v>1962343.8121</v>
      </c>
      <c r="E50" s="334">
        <v>17</v>
      </c>
      <c r="F50" s="334">
        <v>8255484.8723999998</v>
      </c>
    </row>
    <row r="51" spans="1:6">
      <c r="A51" s="348" t="s">
        <v>42</v>
      </c>
      <c r="B51" s="348" t="s">
        <v>43</v>
      </c>
      <c r="C51" s="334">
        <v>25</v>
      </c>
      <c r="D51" s="334">
        <v>606964.59378999996</v>
      </c>
      <c r="E51" s="334">
        <v>116</v>
      </c>
      <c r="F51" s="334">
        <v>3167462.5495000002</v>
      </c>
    </row>
    <row r="52" spans="1:6">
      <c r="A52" s="348" t="s">
        <v>42</v>
      </c>
      <c r="B52" s="348" t="s">
        <v>29</v>
      </c>
      <c r="C52" s="334">
        <v>6</v>
      </c>
      <c r="D52" s="334">
        <v>37717002.502999999</v>
      </c>
      <c r="E52" s="334">
        <v>8</v>
      </c>
      <c r="F52" s="334">
        <v>104884.09415</v>
      </c>
    </row>
    <row r="53" spans="1:6">
      <c r="A53" s="348" t="s">
        <v>44</v>
      </c>
      <c r="B53" s="348" t="s">
        <v>45</v>
      </c>
      <c r="C53" s="334">
        <v>118</v>
      </c>
      <c r="D53" s="334">
        <v>2253840.3086999999</v>
      </c>
      <c r="E53" s="334">
        <v>296</v>
      </c>
      <c r="F53" s="334">
        <v>2258612.1099</v>
      </c>
    </row>
    <row r="54" spans="1:6">
      <c r="A54" s="348" t="s">
        <v>46</v>
      </c>
      <c r="B54" s="348" t="s">
        <v>47</v>
      </c>
      <c r="C54" s="334">
        <v>0</v>
      </c>
      <c r="D54" s="334">
        <v>0</v>
      </c>
      <c r="E54" s="334">
        <v>1</v>
      </c>
      <c r="F54" s="334">
        <v>1082245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1975150.4308</v>
      </c>
      <c r="E57" s="334">
        <v>78</v>
      </c>
      <c r="F57" s="334">
        <v>1861592.699</v>
      </c>
    </row>
    <row r="58" spans="1:6">
      <c r="A58" s="348" t="s">
        <v>49</v>
      </c>
      <c r="B58" s="348" t="s">
        <v>51</v>
      </c>
      <c r="C58" s="334">
        <v>28</v>
      </c>
      <c r="D58" s="334">
        <v>710523.70392999996</v>
      </c>
      <c r="E58" s="334">
        <v>37</v>
      </c>
      <c r="F58" s="334">
        <v>306245.98888999998</v>
      </c>
    </row>
    <row r="59" spans="1:6">
      <c r="A59" s="348" t="s">
        <v>49</v>
      </c>
      <c r="B59" s="348" t="s">
        <v>52</v>
      </c>
      <c r="C59" s="334">
        <v>117</v>
      </c>
      <c r="D59" s="334">
        <v>4361619.2675000001</v>
      </c>
      <c r="E59" s="334">
        <v>198</v>
      </c>
      <c r="F59" s="334">
        <v>6410634.9242000002</v>
      </c>
    </row>
    <row r="60" spans="1:6">
      <c r="A60" s="348" t="s">
        <v>49</v>
      </c>
      <c r="B60" s="348" t="s">
        <v>53</v>
      </c>
      <c r="C60" s="334">
        <v>63</v>
      </c>
      <c r="D60" s="334">
        <v>2723895.7357999999</v>
      </c>
      <c r="E60" s="334">
        <v>75</v>
      </c>
      <c r="F60" s="334">
        <v>1698734.656</v>
      </c>
    </row>
    <row r="61" spans="1:6">
      <c r="A61" s="348" t="s">
        <v>49</v>
      </c>
      <c r="B61" s="348" t="s">
        <v>54</v>
      </c>
      <c r="C61" s="334">
        <v>219</v>
      </c>
      <c r="D61" s="334">
        <v>11685744.262</v>
      </c>
      <c r="E61" s="334">
        <v>331</v>
      </c>
      <c r="F61" s="334">
        <v>3077761.3213999998</v>
      </c>
    </row>
    <row r="62" spans="1:6">
      <c r="A62" s="348" t="s">
        <v>49</v>
      </c>
      <c r="B62" s="348" t="s">
        <v>55</v>
      </c>
      <c r="C62" s="334">
        <v>18</v>
      </c>
      <c r="D62" s="334">
        <v>3725334.8054999998</v>
      </c>
      <c r="E62" s="334">
        <v>18</v>
      </c>
      <c r="F62" s="334">
        <v>658619.47481000004</v>
      </c>
    </row>
    <row r="63" spans="1:6">
      <c r="A63" s="348" t="s">
        <v>49</v>
      </c>
      <c r="B63" s="348" t="s">
        <v>29</v>
      </c>
      <c r="C63" s="334">
        <v>109</v>
      </c>
      <c r="D63" s="334">
        <v>5240905.1248000003</v>
      </c>
      <c r="E63" s="334">
        <v>105</v>
      </c>
      <c r="F63" s="334">
        <v>2425100.5266999998</v>
      </c>
    </row>
    <row r="64" spans="1:6">
      <c r="A64" s="348" t="s">
        <v>56</v>
      </c>
      <c r="B64" s="348" t="s">
        <v>57</v>
      </c>
      <c r="C64" s="334">
        <v>0</v>
      </c>
      <c r="D64" s="334">
        <v>0</v>
      </c>
      <c r="E64" s="334">
        <v>0</v>
      </c>
      <c r="F64" s="334">
        <v>0</v>
      </c>
    </row>
    <row r="65" spans="1:6">
      <c r="A65" s="348" t="s">
        <v>56</v>
      </c>
      <c r="B65" s="348" t="s">
        <v>29</v>
      </c>
      <c r="C65" s="334">
        <v>6</v>
      </c>
      <c r="D65" s="334">
        <v>180392.34711</v>
      </c>
      <c r="E65" s="334">
        <v>3</v>
      </c>
      <c r="F65" s="334">
        <v>12441.970673</v>
      </c>
    </row>
    <row r="66" spans="1:6">
      <c r="A66" s="348" t="s">
        <v>56</v>
      </c>
      <c r="B66" s="348" t="s">
        <v>58</v>
      </c>
      <c r="C66" s="334">
        <v>0</v>
      </c>
      <c r="D66" s="334">
        <v>0</v>
      </c>
      <c r="E66" s="334">
        <v>15</v>
      </c>
      <c r="F66" s="334">
        <v>93628</v>
      </c>
    </row>
    <row r="67" spans="1:6">
      <c r="A67" s="355" t="s">
        <v>56</v>
      </c>
      <c r="B67" s="355" t="s">
        <v>59</v>
      </c>
      <c r="C67" s="334">
        <v>0</v>
      </c>
      <c r="D67" s="334">
        <v>0</v>
      </c>
      <c r="E67" s="334">
        <v>0</v>
      </c>
      <c r="F67" s="334">
        <v>0</v>
      </c>
    </row>
    <row r="68" spans="1:6">
      <c r="A68" s="341" t="s">
        <v>56</v>
      </c>
      <c r="B68" s="341" t="s">
        <v>60</v>
      </c>
      <c r="C68" s="334">
        <v>3</v>
      </c>
      <c r="D68" s="334">
        <v>99124.478023000003</v>
      </c>
      <c r="E68" s="334">
        <v>8</v>
      </c>
      <c r="F68" s="334">
        <v>142643.42418999999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75511814</v>
      </c>
      <c r="E73" s="475">
        <v>77604211.091920674</v>
      </c>
    </row>
    <row r="74" spans="1:6">
      <c r="A74" s="348" t="s">
        <v>64</v>
      </c>
      <c r="B74" s="348" t="s">
        <v>667</v>
      </c>
      <c r="C74" s="1294" t="s">
        <v>669</v>
      </c>
      <c r="D74" s="475">
        <v>5102518.5990794096</v>
      </c>
      <c r="E74" s="475">
        <v>5236336.1568123801</v>
      </c>
    </row>
    <row r="75" spans="1:6">
      <c r="A75" s="348" t="s">
        <v>65</v>
      </c>
      <c r="B75" s="348" t="s">
        <v>666</v>
      </c>
      <c r="C75" s="1294" t="s">
        <v>670</v>
      </c>
      <c r="D75" s="475">
        <v>16760343</v>
      </c>
      <c r="E75" s="475">
        <v>17211145.04554322</v>
      </c>
    </row>
    <row r="76" spans="1:6">
      <c r="A76" s="348" t="s">
        <v>65</v>
      </c>
      <c r="B76" s="348" t="s">
        <v>667</v>
      </c>
      <c r="C76" s="1294" t="s">
        <v>671</v>
      </c>
      <c r="D76" s="475">
        <v>664664.59907940961</v>
      </c>
      <c r="E76" s="475">
        <v>684521.36145321722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260072.80184118077</v>
      </c>
      <c r="C83" s="475">
        <v>260072.80184118077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10847.685464387283</v>
      </c>
    </row>
    <row r="91" spans="1:6">
      <c r="A91" s="348" t="s">
        <v>68</v>
      </c>
      <c r="B91" s="334">
        <v>3417.4994963506288</v>
      </c>
    </row>
    <row r="92" spans="1:6">
      <c r="A92" s="341" t="s">
        <v>69</v>
      </c>
      <c r="B92" s="342">
        <v>1591.0415359266842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3771</v>
      </c>
    </row>
    <row r="98" spans="1:6">
      <c r="A98" s="348" t="s">
        <v>72</v>
      </c>
      <c r="B98" s="334">
        <v>6</v>
      </c>
    </row>
    <row r="99" spans="1:6">
      <c r="A99" s="348" t="s">
        <v>73</v>
      </c>
      <c r="B99" s="334">
        <v>60</v>
      </c>
    </row>
    <row r="100" spans="1:6">
      <c r="A100" s="348" t="s">
        <v>74</v>
      </c>
      <c r="B100" s="334">
        <v>624</v>
      </c>
    </row>
    <row r="101" spans="1:6">
      <c r="A101" s="348" t="s">
        <v>75</v>
      </c>
      <c r="B101" s="334">
        <v>113</v>
      </c>
    </row>
    <row r="102" spans="1:6">
      <c r="A102" s="348" t="s">
        <v>76</v>
      </c>
      <c r="B102" s="334">
        <v>88</v>
      </c>
    </row>
    <row r="103" spans="1:6">
      <c r="A103" s="348" t="s">
        <v>77</v>
      </c>
      <c r="B103" s="334">
        <v>105</v>
      </c>
    </row>
    <row r="104" spans="1:6">
      <c r="A104" s="348" t="s">
        <v>78</v>
      </c>
      <c r="B104" s="334">
        <v>1450</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25</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0</v>
      </c>
    </row>
    <row r="131" spans="1:6">
      <c r="A131" s="348" t="s">
        <v>296</v>
      </c>
      <c r="B131" s="334">
        <v>4</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73835.377110316345</v>
      </c>
      <c r="C3" s="43" t="s">
        <v>170</v>
      </c>
      <c r="D3" s="43"/>
      <c r="E3" s="154"/>
      <c r="F3" s="43"/>
      <c r="G3" s="43"/>
      <c r="H3" s="43"/>
      <c r="I3" s="43"/>
      <c r="J3" s="43"/>
      <c r="K3" s="96"/>
    </row>
    <row r="4" spans="1:11">
      <c r="A4" s="383" t="s">
        <v>171</v>
      </c>
      <c r="B4" s="49">
        <f>IF(ISERROR('SEAP template'!B78+'SEAP template'!C78),0,'SEAP template'!B78+'SEAP template'!C78)</f>
        <v>24967.37649666459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2154.7255593135701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0.17545185251204717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3081.9801549721442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13031.999999999998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0.23649325928269987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1082.2449999999999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1082.2449999999999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0.17545185251204717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189.88189012190048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31310.316673999998</v>
      </c>
      <c r="C5" s="17">
        <f>IF(ISERROR('Eigen informatie GS &amp; warmtenet'!B57),0,'Eigen informatie GS &amp; warmtenet'!B57)</f>
        <v>0</v>
      </c>
      <c r="D5" s="30">
        <f>(SUM(HH_hh_gas_kWh,HH_rest_gas_kWh)/1000)*0.902</f>
        <v>97100.46235098</v>
      </c>
      <c r="E5" s="17">
        <f>B46*B57</f>
        <v>3034.2591753332072</v>
      </c>
      <c r="F5" s="17">
        <f>B51*B62</f>
        <v>0</v>
      </c>
      <c r="G5" s="18"/>
      <c r="H5" s="17"/>
      <c r="I5" s="17"/>
      <c r="J5" s="17">
        <f>B50*B61+C50*C61</f>
        <v>0</v>
      </c>
      <c r="K5" s="17"/>
      <c r="L5" s="17"/>
      <c r="M5" s="17"/>
      <c r="N5" s="17">
        <f>B48*B59+C48*C59</f>
        <v>16229.617840993877</v>
      </c>
      <c r="O5" s="17">
        <f>B69*B70*B71</f>
        <v>251.69666666666669</v>
      </c>
      <c r="P5" s="17">
        <f>B77*B78*B79/1000-B77*B78*B79/1000/B80</f>
        <v>991.4666666666667</v>
      </c>
    </row>
    <row r="6" spans="1:16">
      <c r="A6" s="16" t="s">
        <v>624</v>
      </c>
      <c r="B6" s="788">
        <f>kWh_PV_kleiner_dan_10kW</f>
        <v>3417.4994963506288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34727.816170350627</v>
      </c>
      <c r="C8" s="21">
        <f>C5</f>
        <v>0</v>
      </c>
      <c r="D8" s="21">
        <f>D5</f>
        <v>97100.46235098</v>
      </c>
      <c r="E8" s="21">
        <f>E5</f>
        <v>3034.2591753332072</v>
      </c>
      <c r="F8" s="21">
        <f>F5</f>
        <v>0</v>
      </c>
      <c r="G8" s="21"/>
      <c r="H8" s="21"/>
      <c r="I8" s="21"/>
      <c r="J8" s="21">
        <f>J5</f>
        <v>0</v>
      </c>
      <c r="K8" s="21"/>
      <c r="L8" s="21">
        <f>L5</f>
        <v>0</v>
      </c>
      <c r="M8" s="21">
        <f>M5</f>
        <v>0</v>
      </c>
      <c r="N8" s="21">
        <f>N5</f>
        <v>16229.617840993877</v>
      </c>
      <c r="O8" s="21">
        <f>O5</f>
        <v>251.69666666666669</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0.17545185251204717</v>
      </c>
      <c r="C10" s="25">
        <f ca="1">'EF ele_warmte'!B22</f>
        <v>0.23649325928269987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6093.0596807858446</v>
      </c>
      <c r="C12" s="23">
        <f ca="1">C10*C8</f>
        <v>0</v>
      </c>
      <c r="D12" s="23">
        <f>D8*D10</f>
        <v>19614.293394897963</v>
      </c>
      <c r="E12" s="23">
        <f>E10*E8</f>
        <v>688.77683280063809</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3771</v>
      </c>
      <c r="C18" s="166" t="s">
        <v>111</v>
      </c>
      <c r="D18" s="228"/>
      <c r="E18" s="15"/>
    </row>
    <row r="19" spans="1:7">
      <c r="A19" s="171" t="s">
        <v>72</v>
      </c>
      <c r="B19" s="37">
        <f>aantalw2001_ander</f>
        <v>6</v>
      </c>
      <c r="C19" s="166" t="s">
        <v>111</v>
      </c>
      <c r="D19" s="229"/>
      <c r="E19" s="15"/>
    </row>
    <row r="20" spans="1:7">
      <c r="A20" s="171" t="s">
        <v>73</v>
      </c>
      <c r="B20" s="37">
        <f>aantalw2001_propaan</f>
        <v>60</v>
      </c>
      <c r="C20" s="167">
        <f>IF(ISERROR(B20/SUM($B$20,$B$21,$B$22)*100),0,B20/SUM($B$20,$B$21,$B$22)*100)</f>
        <v>7.5282308657465489</v>
      </c>
      <c r="D20" s="229"/>
      <c r="E20" s="15"/>
    </row>
    <row r="21" spans="1:7">
      <c r="A21" s="171" t="s">
        <v>74</v>
      </c>
      <c r="B21" s="37">
        <f>aantalw2001_elektriciteit</f>
        <v>624</v>
      </c>
      <c r="C21" s="167">
        <f>IF(ISERROR(B21/SUM($B$20,$B$21,$B$22)*100),0,B21/SUM($B$20,$B$21,$B$22)*100)</f>
        <v>78.29360100376411</v>
      </c>
      <c r="D21" s="229"/>
      <c r="E21" s="15"/>
    </row>
    <row r="22" spans="1:7">
      <c r="A22" s="171" t="s">
        <v>75</v>
      </c>
      <c r="B22" s="37">
        <f>aantalw2001_hout</f>
        <v>113</v>
      </c>
      <c r="C22" s="167">
        <f>IF(ISERROR(B22/SUM($B$20,$B$21,$B$22)*100),0,B22/SUM($B$20,$B$21,$B$22)*100)</f>
        <v>14.178168130489336</v>
      </c>
      <c r="D22" s="229"/>
      <c r="E22" s="15"/>
    </row>
    <row r="23" spans="1:7">
      <c r="A23" s="171" t="s">
        <v>76</v>
      </c>
      <c r="B23" s="37">
        <f>aantalw2001_niet_gespec</f>
        <v>88</v>
      </c>
      <c r="C23" s="166" t="s">
        <v>111</v>
      </c>
      <c r="D23" s="228"/>
      <c r="E23" s="15"/>
    </row>
    <row r="24" spans="1:7">
      <c r="A24" s="171" t="s">
        <v>77</v>
      </c>
      <c r="B24" s="37">
        <f>aantalw2001_steenkool</f>
        <v>105</v>
      </c>
      <c r="C24" s="166" t="s">
        <v>111</v>
      </c>
      <c r="D24" s="229"/>
      <c r="E24" s="15"/>
    </row>
    <row r="25" spans="1:7">
      <c r="A25" s="171" t="s">
        <v>78</v>
      </c>
      <c r="B25" s="37">
        <f>aantalw2001_stookolie</f>
        <v>1450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7258</v>
      </c>
      <c r="C28" s="36"/>
      <c r="D28" s="228"/>
    </row>
    <row r="29" spans="1:7" s="15" customFormat="1">
      <c r="A29" s="230" t="s">
        <v>699</v>
      </c>
      <c r="B29" s="37">
        <f>SUM(HH_hh_gas_aantal,HH_rest_gas_aantal)</f>
        <v>5424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5424</v>
      </c>
      <c r="C32" s="167">
        <f>IF(ISERROR(B32/SUM($B$32,$B$34,$B$35,$B$36,$B$38,$B$39)*100),0,B32/SUM($B$32,$B$34,$B$35,$B$36,$B$38,$B$39)*100)</f>
        <v>75.270607826810988</v>
      </c>
      <c r="D32" s="233"/>
      <c r="G32" s="15"/>
    </row>
    <row r="33" spans="1:7">
      <c r="A33" s="171" t="s">
        <v>72</v>
      </c>
      <c r="B33" s="34" t="s">
        <v>111</v>
      </c>
      <c r="C33" s="167"/>
      <c r="D33" s="233"/>
      <c r="G33" s="15"/>
    </row>
    <row r="34" spans="1:7">
      <c r="A34" s="171" t="s">
        <v>73</v>
      </c>
      <c r="B34" s="33">
        <f>IF((($B$28-$B$32-$B$39-$B$77-$B$38)*C20/100)&lt;0,0,($B$28-$B$32-$B$39-$B$77-$B$38)*C20/100)</f>
        <v>134.15307402760351</v>
      </c>
      <c r="C34" s="167">
        <f>IF(ISERROR(B34/SUM($B$32,$B$34,$B$35,$B$36,$B$38,$B$39)*100),0,B34/SUM($B$32,$B$34,$B$35,$B$36,$B$38,$B$39)*100)</f>
        <v>1.8616857344935265</v>
      </c>
      <c r="D34" s="233"/>
      <c r="G34" s="15"/>
    </row>
    <row r="35" spans="1:7">
      <c r="A35" s="171" t="s">
        <v>74</v>
      </c>
      <c r="B35" s="33">
        <f>IF((($B$28-$B$32-$B$39-$B$77-$B$38)*C21/100)&lt;0,0,($B$28-$B$32-$B$39-$B$77-$B$38)*C21/100)</f>
        <v>1395.1919698870763</v>
      </c>
      <c r="C35" s="167">
        <f>IF(ISERROR(B35/SUM($B$32,$B$34,$B$35,$B$36,$B$38,$B$39)*100),0,B35/SUM($B$32,$B$34,$B$35,$B$36,$B$38,$B$39)*100)</f>
        <v>19.361531638732671</v>
      </c>
      <c r="D35" s="233"/>
      <c r="G35" s="15"/>
    </row>
    <row r="36" spans="1:7">
      <c r="A36" s="171" t="s">
        <v>75</v>
      </c>
      <c r="B36" s="33">
        <f>IF((($B$28-$B$32-$B$39-$B$77-$B$38)*C22/100)&lt;0,0,($B$28-$B$32-$B$39-$B$77-$B$38)*C22/100)</f>
        <v>252.65495608531998</v>
      </c>
      <c r="C36" s="167">
        <f>IF(ISERROR(B36/SUM($B$32,$B$34,$B$35,$B$36,$B$38,$B$39)*100),0,B36/SUM($B$32,$B$34,$B$35,$B$36,$B$38,$B$39)*100)</f>
        <v>3.5061747999628086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5424</v>
      </c>
      <c r="C44" s="34" t="s">
        <v>111</v>
      </c>
      <c r="D44" s="174"/>
    </row>
    <row r="45" spans="1:7">
      <c r="A45" s="171" t="s">
        <v>72</v>
      </c>
      <c r="B45" s="33" t="str">
        <f t="shared" si="0"/>
        <v>-</v>
      </c>
      <c r="C45" s="34" t="s">
        <v>111</v>
      </c>
      <c r="D45" s="174"/>
    </row>
    <row r="46" spans="1:7">
      <c r="A46" s="171" t="s">
        <v>73</v>
      </c>
      <c r="B46" s="33">
        <f t="shared" si="0"/>
        <v>134.15307402760351</v>
      </c>
      <c r="C46" s="34" t="s">
        <v>111</v>
      </c>
      <c r="D46" s="174"/>
    </row>
    <row r="47" spans="1:7">
      <c r="A47" s="171" t="s">
        <v>74</v>
      </c>
      <c r="B47" s="33">
        <f t="shared" si="0"/>
        <v>1395.1919698870763</v>
      </c>
      <c r="C47" s="34" t="s">
        <v>111</v>
      </c>
      <c r="D47" s="174"/>
    </row>
    <row r="48" spans="1:7">
      <c r="A48" s="171" t="s">
        <v>75</v>
      </c>
      <c r="B48" s="33">
        <f t="shared" si="0"/>
        <v>252.65495608531998</v>
      </c>
      <c r="C48" s="33">
        <f>B48*10</f>
        <v>2526.5495608531996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16438.689591000002</v>
      </c>
      <c r="C5" s="17">
        <f>IF(ISERROR('Eigen informatie GS &amp; warmtenet'!B58),0,'Eigen informatie GS &amp; warmtenet'!B58)</f>
        <v>0</v>
      </c>
      <c r="D5" s="30">
        <f>SUM(D6:D12)</f>
        <v>27441.702343957662</v>
      </c>
      <c r="E5" s="17">
        <f>SUM(E6:E12)</f>
        <v>345.53495511634412</v>
      </c>
      <c r="F5" s="17">
        <f>SUM(F6:F12)</f>
        <v>4176.1470423806877</v>
      </c>
      <c r="G5" s="18"/>
      <c r="H5" s="17"/>
      <c r="I5" s="17"/>
      <c r="J5" s="17">
        <f>SUM(J6:J12)</f>
        <v>0</v>
      </c>
      <c r="K5" s="17"/>
      <c r="L5" s="17"/>
      <c r="M5" s="17"/>
      <c r="N5" s="17">
        <f>SUM(N6:N12)</f>
        <v>1696.985180336038</v>
      </c>
      <c r="O5" s="17">
        <f>B38*B39*B40</f>
        <v>0</v>
      </c>
      <c r="P5" s="17">
        <f>B46*B47*B48/1000-B46*B47*B48/1000/B49</f>
        <v>76.266666666666666</v>
      </c>
      <c r="R5" s="32"/>
    </row>
    <row r="6" spans="1:18">
      <c r="A6" s="32" t="s">
        <v>54</v>
      </c>
      <c r="B6" s="37">
        <f>B26</f>
        <v>3077.7613213999998</v>
      </c>
      <c r="C6" s="33"/>
      <c r="D6" s="37">
        <f>IF(ISERROR(TER_kantoor_gas_kWh/1000),0,TER_kantoor_gas_kWh/1000)*0.902</f>
        <v>10540.541324324</v>
      </c>
      <c r="E6" s="33">
        <f>$C$26*'E Balans VL '!I12/100/3.6*1000000</f>
        <v>40.291686949327143</v>
      </c>
      <c r="F6" s="33">
        <f>$C$26*('E Balans VL '!L12+'E Balans VL '!N12)/100/3.6*1000000</f>
        <v>784.79733255955477</v>
      </c>
      <c r="G6" s="34"/>
      <c r="H6" s="33"/>
      <c r="I6" s="33"/>
      <c r="J6" s="33">
        <f>$C$26*('E Balans VL '!D12+'E Balans VL '!E12)/100/3.6*1000000</f>
        <v>0</v>
      </c>
      <c r="K6" s="33"/>
      <c r="L6" s="33"/>
      <c r="M6" s="33"/>
      <c r="N6" s="33">
        <f>$C$26*'E Balans VL '!Y12/100/3.6*1000000</f>
        <v>3.0881255177962719</v>
      </c>
      <c r="O6" s="33"/>
      <c r="P6" s="33"/>
      <c r="R6" s="32"/>
    </row>
    <row r="7" spans="1:18">
      <c r="A7" s="32" t="s">
        <v>53</v>
      </c>
      <c r="B7" s="37">
        <f t="shared" ref="B7:B12" si="0">B27</f>
        <v>1698.7346559999999</v>
      </c>
      <c r="C7" s="33"/>
      <c r="D7" s="37">
        <f>IF(ISERROR(TER_horeca_gas_kWh/1000),0,TER_horeca_gas_kWh/1000)*0.902</f>
        <v>2456.9539536916</v>
      </c>
      <c r="E7" s="33">
        <f>$C$27*'E Balans VL '!I9/100/3.6*1000000</f>
        <v>56.217784057319641</v>
      </c>
      <c r="F7" s="33">
        <f>$C$27*('E Balans VL '!L9+'E Balans VL '!N9)/100/3.6*1000000</f>
        <v>730.44939174021192</v>
      </c>
      <c r="G7" s="34"/>
      <c r="H7" s="33"/>
      <c r="I7" s="33"/>
      <c r="J7" s="33">
        <f>$C$27*('E Balans VL '!D9+'E Balans VL '!E9)/100/3.6*1000000</f>
        <v>0</v>
      </c>
      <c r="K7" s="33"/>
      <c r="L7" s="33"/>
      <c r="M7" s="33"/>
      <c r="N7" s="33">
        <f>$C$27*'E Balans VL '!Y9/100/3.6*1000000</f>
        <v>0.40891010003352984</v>
      </c>
      <c r="O7" s="33"/>
      <c r="P7" s="33"/>
      <c r="R7" s="32"/>
    </row>
    <row r="8" spans="1:18">
      <c r="A8" s="6" t="s">
        <v>52</v>
      </c>
      <c r="B8" s="37">
        <f t="shared" si="0"/>
        <v>6410.6349242000006</v>
      </c>
      <c r="C8" s="33"/>
      <c r="D8" s="37">
        <f>IF(ISERROR(TER_handel_gas_kWh/1000),0,TER_handel_gas_kWh/1000)*0.902</f>
        <v>3934.1805792850005</v>
      </c>
      <c r="E8" s="33">
        <f>$C$28*'E Balans VL '!I13/100/3.6*1000000</f>
        <v>202.32943336634776</v>
      </c>
      <c r="F8" s="33">
        <f>$C$28*('E Balans VL '!L13+'E Balans VL '!N13)/100/3.6*1000000</f>
        <v>1257.2383929081582</v>
      </c>
      <c r="G8" s="34"/>
      <c r="H8" s="33"/>
      <c r="I8" s="33"/>
      <c r="J8" s="33">
        <f>$C$28*('E Balans VL '!D13+'E Balans VL '!E13)/100/3.6*1000000</f>
        <v>0</v>
      </c>
      <c r="K8" s="33"/>
      <c r="L8" s="33"/>
      <c r="M8" s="33"/>
      <c r="N8" s="33">
        <f>$C$28*'E Balans VL '!Y13/100/3.6*1000000</f>
        <v>7.608179045534273</v>
      </c>
      <c r="O8" s="33"/>
      <c r="P8" s="33"/>
      <c r="R8" s="32"/>
    </row>
    <row r="9" spans="1:18">
      <c r="A9" s="32" t="s">
        <v>51</v>
      </c>
      <c r="B9" s="37">
        <f t="shared" si="0"/>
        <v>306.24598888999998</v>
      </c>
      <c r="C9" s="33"/>
      <c r="D9" s="37">
        <f>IF(ISERROR(TER_gezond_gas_kWh/1000),0,TER_gezond_gas_kWh/1000)*0.902</f>
        <v>640.89238094486007</v>
      </c>
      <c r="E9" s="33">
        <f>$C$29*'E Balans VL '!I10/100/3.6*1000000</f>
        <v>3.9208445605540952E-2</v>
      </c>
      <c r="F9" s="33">
        <f>$C$29*('E Balans VL '!L10+'E Balans VL '!N10)/100/3.6*1000000</f>
        <v>63.803875431510868</v>
      </c>
      <c r="G9" s="34"/>
      <c r="H9" s="33"/>
      <c r="I9" s="33"/>
      <c r="J9" s="33">
        <f>$C$29*('E Balans VL '!D10+'E Balans VL '!E10)/100/3.6*1000000</f>
        <v>0</v>
      </c>
      <c r="K9" s="33"/>
      <c r="L9" s="33"/>
      <c r="M9" s="33"/>
      <c r="N9" s="33">
        <f>$C$29*'E Balans VL '!Y10/100/3.6*1000000</f>
        <v>3.5970038903971941</v>
      </c>
      <c r="O9" s="33"/>
      <c r="P9" s="33"/>
      <c r="R9" s="32"/>
    </row>
    <row r="10" spans="1:18">
      <c r="A10" s="32" t="s">
        <v>50</v>
      </c>
      <c r="B10" s="37">
        <f t="shared" si="0"/>
        <v>1861.592699</v>
      </c>
      <c r="C10" s="33"/>
      <c r="D10" s="37">
        <f>IF(ISERROR(TER_ander_gas_kWh/1000),0,TER_ander_gas_kWh/1000)*0.902</f>
        <v>1781.5856885815999</v>
      </c>
      <c r="E10" s="33">
        <f>$C$30*'E Balans VL '!I14/100/3.6*1000000</f>
        <v>2.7993976367544704</v>
      </c>
      <c r="F10" s="33">
        <f>$C$30*('E Balans VL '!L14+'E Balans VL '!N14)/100/3.6*1000000</f>
        <v>410.9796602487927</v>
      </c>
      <c r="G10" s="34"/>
      <c r="H10" s="33"/>
      <c r="I10" s="33"/>
      <c r="J10" s="33">
        <f>$C$30*('E Balans VL '!D14+'E Balans VL '!E14)/100/3.6*1000000</f>
        <v>0</v>
      </c>
      <c r="K10" s="33"/>
      <c r="L10" s="33"/>
      <c r="M10" s="33"/>
      <c r="N10" s="33">
        <f>$C$30*'E Balans VL '!Y14/100/3.6*1000000</f>
        <v>1467.0603272770986</v>
      </c>
      <c r="O10" s="33"/>
      <c r="P10" s="33"/>
      <c r="R10" s="32"/>
    </row>
    <row r="11" spans="1:18">
      <c r="A11" s="32" t="s">
        <v>55</v>
      </c>
      <c r="B11" s="37">
        <f t="shared" si="0"/>
        <v>658.61947481000004</v>
      </c>
      <c r="C11" s="33"/>
      <c r="D11" s="37">
        <f>IF(ISERROR(TER_onderwijs_gas_kWh/1000),0,TER_onderwijs_gas_kWh/1000)*0.902</f>
        <v>3360.2519945609997</v>
      </c>
      <c r="E11" s="33">
        <f>$C$31*'E Balans VL '!I11/100/3.6*1000000</f>
        <v>1.1598840872616198</v>
      </c>
      <c r="F11" s="33">
        <f>$C$31*('E Balans VL '!L11+'E Balans VL '!N11)/100/3.6*1000000</f>
        <v>304.0965292194627</v>
      </c>
      <c r="G11" s="34"/>
      <c r="H11" s="33"/>
      <c r="I11" s="33"/>
      <c r="J11" s="33">
        <f>$C$31*('E Balans VL '!D11+'E Balans VL '!E11)/100/3.6*1000000</f>
        <v>0</v>
      </c>
      <c r="K11" s="33"/>
      <c r="L11" s="33"/>
      <c r="M11" s="33"/>
      <c r="N11" s="33">
        <f>$C$31*'E Balans VL '!Y11/100/3.6*1000000</f>
        <v>1.2270171894740018</v>
      </c>
      <c r="O11" s="33"/>
      <c r="P11" s="33"/>
      <c r="R11" s="32"/>
    </row>
    <row r="12" spans="1:18">
      <c r="A12" s="32" t="s">
        <v>260</v>
      </c>
      <c r="B12" s="37">
        <f t="shared" si="0"/>
        <v>2425.1005266999996</v>
      </c>
      <c r="C12" s="33"/>
      <c r="D12" s="37">
        <f>IF(ISERROR(TER_rest_gas_kWh/1000),0,TER_rest_gas_kWh/1000)*0.902</f>
        <v>4727.2964225696005</v>
      </c>
      <c r="E12" s="33">
        <f>$C$32*'E Balans VL '!I8/100/3.6*1000000</f>
        <v>42.697560573727962</v>
      </c>
      <c r="F12" s="33">
        <f>$C$32*('E Balans VL '!L8+'E Balans VL '!N8)/100/3.6*1000000</f>
        <v>624.78186027299648</v>
      </c>
      <c r="G12" s="34"/>
      <c r="H12" s="33"/>
      <c r="I12" s="33"/>
      <c r="J12" s="33">
        <f>$C$32*('E Balans VL '!D8+'E Balans VL '!E8)/100/3.6*1000000</f>
        <v>0</v>
      </c>
      <c r="K12" s="33"/>
      <c r="L12" s="33"/>
      <c r="M12" s="33"/>
      <c r="N12" s="33">
        <f>$C$32*'E Balans VL '!Y8/100/3.6*1000000</f>
        <v>213.99561731570418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16438.689591000002</v>
      </c>
      <c r="C16" s="21">
        <f t="shared" ca="1" si="1"/>
        <v>0</v>
      </c>
      <c r="D16" s="21">
        <f t="shared" ca="1" si="1"/>
        <v>27441.702343957662</v>
      </c>
      <c r="E16" s="21">
        <f t="shared" si="1"/>
        <v>345.53495511634412</v>
      </c>
      <c r="F16" s="21">
        <f t="shared" ca="1" si="1"/>
        <v>4176.1470423806877</v>
      </c>
      <c r="G16" s="21">
        <f t="shared" si="1"/>
        <v>0</v>
      </c>
      <c r="H16" s="21">
        <f t="shared" si="1"/>
        <v>0</v>
      </c>
      <c r="I16" s="21">
        <f t="shared" si="1"/>
        <v>0</v>
      </c>
      <c r="J16" s="21">
        <f t="shared" si="1"/>
        <v>0</v>
      </c>
      <c r="K16" s="21">
        <f t="shared" si="1"/>
        <v>0</v>
      </c>
      <c r="L16" s="21">
        <f t="shared" ca="1" si="1"/>
        <v>0</v>
      </c>
      <c r="M16" s="21">
        <f t="shared" si="1"/>
        <v>0</v>
      </c>
      <c r="N16" s="21">
        <f t="shared" ca="1" si="1"/>
        <v>1696.985180336038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0.17545185251204717</v>
      </c>
      <c r="C18" s="25">
        <f ca="1">'EF ele_warmte'!B22</f>
        <v>0.23649325928269987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2884.1985416114576</v>
      </c>
      <c r="C20" s="23">
        <f t="shared" ref="C20:P20" ca="1" si="2">C16*C18</f>
        <v>0</v>
      </c>
      <c r="D20" s="23">
        <f t="shared" ca="1" si="2"/>
        <v>5543.2238734794482</v>
      </c>
      <c r="E20" s="23">
        <f t="shared" si="2"/>
        <v>78.436434811410123</v>
      </c>
      <c r="F20" s="23">
        <f t="shared" ca="1" si="2"/>
        <v>1115.0312603156437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3077.7613213999998</v>
      </c>
      <c r="C26" s="39">
        <f>IF(ISERROR(B26*3.6/1000000/'E Balans VL '!Z12*100),0,B26*3.6/1000000/'E Balans VL '!Z12*100)</f>
        <v>6.592803852405342E-2</v>
      </c>
      <c r="D26" s="237" t="s">
        <v>660</v>
      </c>
      <c r="F26" s="6"/>
    </row>
    <row r="27" spans="1:18">
      <c r="A27" s="231" t="s">
        <v>53</v>
      </c>
      <c r="B27" s="33">
        <f>IF(ISERROR(TER_horeca_ele_kWh/1000),0,TER_horeca_ele_kWh/1000)</f>
        <v>1698.7346559999999</v>
      </c>
      <c r="C27" s="39">
        <f>IF(ISERROR(B27*3.6/1000000/'E Balans VL '!Z9*100),0,B27*3.6/1000000/'E Balans VL '!Z9*100)</f>
        <v>0.1363175514026064</v>
      </c>
      <c r="D27" s="237" t="s">
        <v>660</v>
      </c>
      <c r="F27" s="6"/>
    </row>
    <row r="28" spans="1:18">
      <c r="A28" s="171" t="s">
        <v>52</v>
      </c>
      <c r="B28" s="33">
        <f>IF(ISERROR(TER_handel_ele_kWh/1000),0,TER_handel_ele_kWh/1000)</f>
        <v>6410.6349242000006</v>
      </c>
      <c r="C28" s="39">
        <f>IF(ISERROR(B28*3.6/1000000/'E Balans VL '!Z13*100),0,B28*3.6/1000000/'E Balans VL '!Z13*100)</f>
        <v>0.18907696032860838</v>
      </c>
      <c r="D28" s="237" t="s">
        <v>660</v>
      </c>
      <c r="F28" s="6"/>
    </row>
    <row r="29" spans="1:18">
      <c r="A29" s="231" t="s">
        <v>51</v>
      </c>
      <c r="B29" s="33">
        <f>IF(ISERROR(TER_gezond_ele_kWh/1000),0,TER_gezond_ele_kWh/1000)</f>
        <v>306.24598888999998</v>
      </c>
      <c r="C29" s="39">
        <f>IF(ISERROR(B29*3.6/1000000/'E Balans VL '!Z10*100),0,B29*3.6/1000000/'E Balans VL '!Z10*100)</f>
        <v>3.269886085058879E-2</v>
      </c>
      <c r="D29" s="237" t="s">
        <v>660</v>
      </c>
      <c r="F29" s="6"/>
    </row>
    <row r="30" spans="1:18">
      <c r="A30" s="231" t="s">
        <v>50</v>
      </c>
      <c r="B30" s="33">
        <f>IF(ISERROR(TER_ander_ele_kWh/1000),0,TER_ander_ele_kWh/1000)</f>
        <v>1861.592699</v>
      </c>
      <c r="C30" s="39">
        <f>IF(ISERROR(B30*3.6/1000000/'E Balans VL '!Z14*100),0,B30*3.6/1000000/'E Balans VL '!Z14*100)</f>
        <v>0.14061340673513062</v>
      </c>
      <c r="D30" s="237" t="s">
        <v>660</v>
      </c>
      <c r="F30" s="6"/>
    </row>
    <row r="31" spans="1:18">
      <c r="A31" s="231" t="s">
        <v>55</v>
      </c>
      <c r="B31" s="33">
        <f>IF(ISERROR(TER_onderwijs_ele_kWh/1000),0,TER_onderwijs_ele_kWh/1000)</f>
        <v>658.61947481000004</v>
      </c>
      <c r="C31" s="39">
        <f>IF(ISERROR(B31*3.6/1000000/'E Balans VL '!Z11*100),0,B31*3.6/1000000/'E Balans VL '!Z11*100)</f>
        <v>0.13299725838075144</v>
      </c>
      <c r="D31" s="237" t="s">
        <v>660</v>
      </c>
    </row>
    <row r="32" spans="1:18">
      <c r="A32" s="231" t="s">
        <v>260</v>
      </c>
      <c r="B32" s="33">
        <f>IF(ISERROR(TER_rest_ele_kWh/1000),0,TER_rest_ele_kWh/1000)</f>
        <v>2425.1005266999996</v>
      </c>
      <c r="C32" s="39">
        <f>IF(ISERROR(B32*3.6/1000000/'E Balans VL '!Z8*100),0,B32*3.6/1000000/'E Balans VL '!Z8*100)</f>
        <v>2.0107460294464863E-2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16034.044977109999</v>
      </c>
      <c r="C5" s="17">
        <f>IF(ISERROR('Eigen informatie GS &amp; warmtenet'!B59),0,'Eigen informatie GS &amp; warmtenet'!B59)</f>
        <v>0</v>
      </c>
      <c r="D5" s="30">
        <f>SUM(D6:D15)</f>
        <v>13596.127995245621</v>
      </c>
      <c r="E5" s="17">
        <f>SUM(E6:E15)</f>
        <v>972.09472645709661</v>
      </c>
      <c r="F5" s="17">
        <f>SUM(F6:F15)</f>
        <v>4863.87963473333</v>
      </c>
      <c r="G5" s="18"/>
      <c r="H5" s="17"/>
      <c r="I5" s="17"/>
      <c r="J5" s="17">
        <f>SUM(J6:J15)</f>
        <v>48.901153817611728</v>
      </c>
      <c r="K5" s="17"/>
      <c r="L5" s="17"/>
      <c r="M5" s="17"/>
      <c r="N5" s="17">
        <f>SUM(N6:N15)</f>
        <v>4927.8797392768965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778.41325372000006</v>
      </c>
      <c r="C8" s="33"/>
      <c r="D8" s="37">
        <f>IF( ISERROR(IND_metaal_Gas_kWH/1000),0,IND_metaal_Gas_kWH/1000)*0.902</f>
        <v>210.13926806642002</v>
      </c>
      <c r="E8" s="33">
        <f>C30*'E Balans VL '!I18/100/3.6*1000000</f>
        <v>28.009663728569347</v>
      </c>
      <c r="F8" s="33">
        <f>C30*'E Balans VL '!L18/100/3.6*1000000+C30*'E Balans VL '!N18/100/3.6*1000000</f>
        <v>339.90783445670121</v>
      </c>
      <c r="G8" s="34"/>
      <c r="H8" s="33"/>
      <c r="I8" s="33"/>
      <c r="J8" s="40">
        <f>C30*'E Balans VL '!D18/100/3.6*1000000+C30*'E Balans VL '!E18/100/3.6*1000000</f>
        <v>0</v>
      </c>
      <c r="K8" s="33"/>
      <c r="L8" s="33"/>
      <c r="M8" s="33"/>
      <c r="N8" s="33">
        <f>C30*'E Balans VL '!Y18/100/3.6*1000000</f>
        <v>39.013543288589148</v>
      </c>
      <c r="O8" s="33"/>
      <c r="P8" s="33"/>
      <c r="R8" s="32"/>
    </row>
    <row r="9" spans="1:18">
      <c r="A9" s="6" t="s">
        <v>33</v>
      </c>
      <c r="B9" s="37">
        <f t="shared" si="0"/>
        <v>1791.7604428</v>
      </c>
      <c r="C9" s="33"/>
      <c r="D9" s="37">
        <f>IF( ISERROR(IND_andere_gas_kWh/1000),0,IND_andere_gas_kWh/1000)*0.902</f>
        <v>1931.5929624749999</v>
      </c>
      <c r="E9" s="33">
        <f>C31*'E Balans VL '!I19/100/3.6*1000000</f>
        <v>457.21672528706637</v>
      </c>
      <c r="F9" s="33">
        <f>C31*'E Balans VL '!L19/100/3.6*1000000+C31*'E Balans VL '!N19/100/3.6*1000000</f>
        <v>1542.5710673002459</v>
      </c>
      <c r="G9" s="34"/>
      <c r="H9" s="33"/>
      <c r="I9" s="33"/>
      <c r="J9" s="40">
        <f>C31*'E Balans VL '!D19/100/3.6*1000000+C31*'E Balans VL '!E19/100/3.6*1000000</f>
        <v>0</v>
      </c>
      <c r="K9" s="33"/>
      <c r="L9" s="33"/>
      <c r="M9" s="33"/>
      <c r="N9" s="33">
        <f>C31*'E Balans VL '!Y19/100/3.6*1000000</f>
        <v>560.34485185021765</v>
      </c>
      <c r="O9" s="33"/>
      <c r="P9" s="33"/>
      <c r="R9" s="32"/>
    </row>
    <row r="10" spans="1:18">
      <c r="A10" s="6" t="s">
        <v>41</v>
      </c>
      <c r="B10" s="37">
        <f t="shared" si="0"/>
        <v>8255.4848724000003</v>
      </c>
      <c r="C10" s="33"/>
      <c r="D10" s="37">
        <f>IF( ISERROR(IND_voed_gas_kWh/1000),0,IND_voed_gas_kWh/1000)*0.902</f>
        <v>1770.0341185141999</v>
      </c>
      <c r="E10" s="33">
        <f>C32*'E Balans VL '!I20/100/3.6*1000000</f>
        <v>209.86576116608006</v>
      </c>
      <c r="F10" s="33">
        <f>C32*'E Balans VL '!L20/100/3.6*1000000+C32*'E Balans VL '!N20/100/3.6*1000000</f>
        <v>1868.0923011088421</v>
      </c>
      <c r="G10" s="34"/>
      <c r="H10" s="33"/>
      <c r="I10" s="33"/>
      <c r="J10" s="40">
        <f>C32*'E Balans VL '!D20/100/3.6*1000000+C32*'E Balans VL '!E20/100/3.6*1000000</f>
        <v>0</v>
      </c>
      <c r="K10" s="33"/>
      <c r="L10" s="33"/>
      <c r="M10" s="33"/>
      <c r="N10" s="33">
        <f>C32*'E Balans VL '!Y20/100/3.6*1000000</f>
        <v>3096.0306008693055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113.46802219</v>
      </c>
      <c r="C13" s="33"/>
      <c r="D13" s="37">
        <f>IF( ISERROR(IND_papier_gas_kWh/1000),0,IND_papier_gas_kWh/1000)*0.902</f>
        <v>0</v>
      </c>
      <c r="E13" s="33">
        <f>C35*'E Balans VL '!I23/100/3.6*1000000</f>
        <v>0.48663133730738822</v>
      </c>
      <c r="F13" s="33">
        <f>C35*'E Balans VL '!L23/100/3.6*1000000+C35*'E Balans VL '!N23/100/3.6*1000000</f>
        <v>2.8518035799556358</v>
      </c>
      <c r="G13" s="34"/>
      <c r="H13" s="33"/>
      <c r="I13" s="33"/>
      <c r="J13" s="40">
        <f>C35*'E Balans VL '!D23/100/3.6*1000000+C35*'E Balans VL '!E23/100/3.6*1000000</f>
        <v>7.596061739119607</v>
      </c>
      <c r="K13" s="33"/>
      <c r="L13" s="33"/>
      <c r="M13" s="33"/>
      <c r="N13" s="33">
        <f>C35*'E Balans VL '!Y23/100/3.6*1000000</f>
        <v>206.53878411096983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5094.9183860000003</v>
      </c>
      <c r="C15" s="33"/>
      <c r="D15" s="37">
        <f>IF( ISERROR(IND_rest_gas_kWh/1000),0,IND_rest_gas_kWh/1000)*0.902</f>
        <v>9684.3616461900001</v>
      </c>
      <c r="E15" s="33">
        <f>C37*'E Balans VL '!I15/100/3.6*1000000</f>
        <v>276.51594493807346</v>
      </c>
      <c r="F15" s="33">
        <f>C37*'E Balans VL '!L15/100/3.6*1000000+C37*'E Balans VL '!N15/100/3.6*1000000</f>
        <v>1110.4566282875855</v>
      </c>
      <c r="G15" s="34"/>
      <c r="H15" s="33"/>
      <c r="I15" s="33"/>
      <c r="J15" s="40">
        <f>C37*'E Balans VL '!D15/100/3.6*1000000+C37*'E Balans VL '!E15/100/3.6*1000000</f>
        <v>41.305092078492123</v>
      </c>
      <c r="K15" s="33"/>
      <c r="L15" s="33"/>
      <c r="M15" s="33"/>
      <c r="N15" s="33">
        <f>C37*'E Balans VL '!Y15/100/3.6*1000000</f>
        <v>1025.9519591578141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16034.044977109999</v>
      </c>
      <c r="C18" s="21">
        <f>C5+C16</f>
        <v>0</v>
      </c>
      <c r="D18" s="21">
        <f>MAX((D5+D16),0)</f>
        <v>13596.127995245621</v>
      </c>
      <c r="E18" s="21">
        <f>MAX((E5+E16),0)</f>
        <v>972.09472645709661</v>
      </c>
      <c r="F18" s="21">
        <f>MAX((F5+F16),0)</f>
        <v>4863.87963473333</v>
      </c>
      <c r="G18" s="21"/>
      <c r="H18" s="21"/>
      <c r="I18" s="21"/>
      <c r="J18" s="21">
        <f>MAX((J5+J16),0)</f>
        <v>48.901153817611728</v>
      </c>
      <c r="K18" s="21"/>
      <c r="L18" s="21">
        <f>MAX((L5+L16),0)</f>
        <v>0</v>
      </c>
      <c r="M18" s="21"/>
      <c r="N18" s="21">
        <f>MAX((N5+N16),0)</f>
        <v>4927.8797392768965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0.17545185251204717</v>
      </c>
      <c r="C20" s="25">
        <f ca="1">'EF ele_warmte'!B22</f>
        <v>0.23649325928269987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2813.2028944954345</v>
      </c>
      <c r="C22" s="23">
        <f ca="1">C18*C20</f>
        <v>0</v>
      </c>
      <c r="D22" s="23">
        <f>D18*D20</f>
        <v>2746.4178550396155</v>
      </c>
      <c r="E22" s="23">
        <f>E18*E20</f>
        <v>220.66550290576095</v>
      </c>
      <c r="F22" s="23">
        <f>F18*F20</f>
        <v>1298.6558624737993</v>
      </c>
      <c r="G22" s="23"/>
      <c r="H22" s="23"/>
      <c r="I22" s="23"/>
      <c r="J22" s="23">
        <f>J18*J20</f>
        <v>17.311008451434549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778.41325372000006</v>
      </c>
      <c r="C30" s="39">
        <f>IF(ISERROR(B30*3.6/1000000/'E Balans VL '!Z18*100),0,B30*3.6/1000000/'E Balans VL '!Z18*100)</f>
        <v>0.16492907972294904</v>
      </c>
      <c r="D30" s="237" t="s">
        <v>660</v>
      </c>
    </row>
    <row r="31" spans="1:18">
      <c r="A31" s="6" t="s">
        <v>33</v>
      </c>
      <c r="B31" s="37">
        <f>IF( ISERROR(IND_ander_ele_kWh/1000),0,IND_ander_ele_kWh/1000)</f>
        <v>1791.7604428</v>
      </c>
      <c r="C31" s="39">
        <f>IF(ISERROR(B31*3.6/1000000/'E Balans VL '!Z19*100),0,B31*3.6/1000000/'E Balans VL '!Z19*100)</f>
        <v>7.5419265525421886E-2</v>
      </c>
      <c r="D31" s="237" t="s">
        <v>660</v>
      </c>
    </row>
    <row r="32" spans="1:18">
      <c r="A32" s="171" t="s">
        <v>41</v>
      </c>
      <c r="B32" s="37">
        <f>IF( ISERROR(IND_voed_ele_kWh/1000),0,IND_voed_ele_kWh/1000)</f>
        <v>8255.4848724000003</v>
      </c>
      <c r="C32" s="39">
        <f>IF(ISERROR(B32*3.6/1000000/'E Balans VL '!Z20*100),0,B32*3.6/1000000/'E Balans VL '!Z20*100)</f>
        <v>1.3791721523217082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113.46802219</v>
      </c>
      <c r="C35" s="39">
        <f>IF(ISERROR(B35*3.6/1000000/'E Balans VL '!Z22*100),0,B35*3.6/1000000/'E Balans VL '!Z22*100)</f>
        <v>1.4382683743818854E-2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5094.9183860000003</v>
      </c>
      <c r="C37" s="39">
        <f>IF(ISERROR(B37*3.6/1000000/'E Balans VL '!Z15*100),0,B37*3.6/1000000/'E Balans VL '!Z15*100)</f>
        <v>4.1133248972999838E-2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3272.3466436499998</v>
      </c>
      <c r="C5" s="17">
        <f>'Eigen informatie GS &amp; warmtenet'!B60</f>
        <v>0</v>
      </c>
      <c r="D5" s="30">
        <f>IF(ISERROR(SUM(LB_lb_gas_kWh,LB_rest_gas_kWh)/1000),0,SUM(LB_lb_gas_kWh,LB_rest_gas_kWh)/1000)*0.902</f>
        <v>34568.218321304579</v>
      </c>
      <c r="E5" s="17">
        <f>B17*'E Balans VL '!I25/3.6*1000000/100</f>
        <v>84.381255581247132</v>
      </c>
      <c r="F5" s="17">
        <f>B17*('E Balans VL '!L25/3.6*1000000+'E Balans VL '!N25/3.6*1000000)/100</f>
        <v>11961.050170686334</v>
      </c>
      <c r="G5" s="18"/>
      <c r="H5" s="17"/>
      <c r="I5" s="17"/>
      <c r="J5" s="17">
        <f>('E Balans VL '!D25+'E Balans VL '!E25)/3.6*1000000*landbouw!B17/100</f>
        <v>471.09753799179242</v>
      </c>
      <c r="K5" s="17"/>
      <c r="L5" s="17">
        <f>L6*(-1)</f>
        <v>0</v>
      </c>
      <c r="M5" s="17"/>
      <c r="N5" s="17">
        <f>N6*(-1)</f>
        <v>124.71428571428569</v>
      </c>
      <c r="O5" s="17"/>
      <c r="P5" s="17"/>
      <c r="R5" s="32"/>
    </row>
    <row r="6" spans="1:18">
      <c r="A6" s="16" t="s">
        <v>491</v>
      </c>
      <c r="B6" s="17" t="s">
        <v>211</v>
      </c>
      <c r="C6" s="17">
        <f>'lokale energieproductie'!O92+'lokale energieproductie'!O61</f>
        <v>13031.999999999998</v>
      </c>
      <c r="D6" s="310">
        <f>('lokale energieproductie'!P61+'lokale energieproductie'!P92)*(-1)</f>
        <v>-25924.28571428571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3272.3466436499998</v>
      </c>
      <c r="C8" s="21">
        <f>C5+C6</f>
        <v>13031.999999999998</v>
      </c>
      <c r="D8" s="21">
        <f>MAX((D5+D6),0)</f>
        <v>8643.932607018869</v>
      </c>
      <c r="E8" s="21">
        <f>MAX((E5+E6),0)</f>
        <v>84.381255581247132</v>
      </c>
      <c r="F8" s="21">
        <f>MAX((F5+F6),0)</f>
        <v>11961.050170686334</v>
      </c>
      <c r="G8" s="21"/>
      <c r="H8" s="21"/>
      <c r="I8" s="21"/>
      <c r="J8" s="21">
        <f>MAX((J5+J6),0)</f>
        <v>471.09753799179242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0.17545185251204717</v>
      </c>
      <c r="C10" s="31">
        <f ca="1">'EF ele_warmte'!B22</f>
        <v>0.23649325928269987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574.13928068997234</v>
      </c>
      <c r="C12" s="23">
        <f ca="1">C8*C10</f>
        <v>3081.9801549721442</v>
      </c>
      <c r="D12" s="23">
        <f>D8*D10</f>
        <v>1746.0743866178116</v>
      </c>
      <c r="E12" s="23">
        <f>E8*E10</f>
        <v>19.1545450169431</v>
      </c>
      <c r="F12" s="23">
        <f>F8*F10</f>
        <v>3193.6003955732513</v>
      </c>
      <c r="G12" s="23"/>
      <c r="H12" s="23"/>
      <c r="I12" s="23"/>
      <c r="J12" s="23">
        <f>J8*J10</f>
        <v>166.7685284490945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0.46142255229278967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815.18134067607559</v>
      </c>
      <c r="C26" s="247">
        <f>B26*'GWP N2O_CH4'!B5</f>
        <v>17118.808154197588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305.13092342367901</v>
      </c>
      <c r="C27" s="247">
        <f>B27*'GWP N2O_CH4'!B5</f>
        <v>6407.7493918972596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8.9957668924248058</v>
      </c>
      <c r="C28" s="247">
        <f>B28*'GWP N2O_CH4'!B4</f>
        <v>2788.6877366516896</v>
      </c>
      <c r="D28" s="50"/>
    </row>
    <row r="29" spans="1:4">
      <c r="A29" s="41" t="s">
        <v>277</v>
      </c>
      <c r="B29" s="247">
        <f>B34*'ha_N2O bodem landbouw'!B4</f>
        <v>19.642873504555343</v>
      </c>
      <c r="C29" s="247">
        <f>B29*'GWP N2O_CH4'!B4</f>
        <v>6089.2907864121562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4.4207139633219315E-3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7.7841425900552485E-5</v>
      </c>
      <c r="C5" s="463" t="s">
        <v>211</v>
      </c>
      <c r="D5" s="448">
        <f>SUM(D6:D11)</f>
        <v>1.7632305718697546E-4</v>
      </c>
      <c r="E5" s="448">
        <f>SUM(E6:E11)</f>
        <v>6.7917737385523431E-4</v>
      </c>
      <c r="F5" s="461" t="s">
        <v>211</v>
      </c>
      <c r="G5" s="448">
        <f>SUM(G6:G11)</f>
        <v>0.21565848172273772</v>
      </c>
      <c r="H5" s="448">
        <f>SUM(H6:H11)</f>
        <v>4.7345553139563207E-2</v>
      </c>
      <c r="I5" s="463" t="s">
        <v>211</v>
      </c>
      <c r="J5" s="463" t="s">
        <v>211</v>
      </c>
      <c r="K5" s="463" t="s">
        <v>211</v>
      </c>
      <c r="L5" s="463" t="s">
        <v>211</v>
      </c>
      <c r="M5" s="448">
        <f>SUM(M6:M11)</f>
        <v>8.2130251126090858E-3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6.3702285339415027E-5</v>
      </c>
      <c r="C6" s="449"/>
      <c r="D6" s="892">
        <f>vkm_2011_GW_PW*SUMIFS(TableVerdeelsleutelVkm[CNG],TableVerdeelsleutelVkm[Voertuigtype],"Lichte voertuigen")*SUMIFS(TableECFTransport[EnergieConsumptieFactor (PJ per km)],TableECFTransport[Index],CONCATENATE($A6,"_CNG_CNG"))</f>
        <v>1.2657755681269407E-4</v>
      </c>
      <c r="E6" s="892">
        <f>vkm_2011_GW_PW*SUMIFS(TableVerdeelsleutelVkm[LPG],TableVerdeelsleutelVkm[Voertuigtype],"Lichte voertuigen")*SUMIFS(TableECFTransport[EnergieConsumptieFactor (PJ per km)],TableECFTransport[Index],CONCATENATE($A6,"_LPG_LPG"))</f>
        <v>4.9812806071058199E-4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0.11843776106656327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3.4268352630806104E-2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4.7584635136971552E-3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4.8893341905801121E-2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1.5794637841713774E-5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1.5405543929195636E-3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1.4139140561137458E-5</v>
      </c>
      <c r="C8" s="449"/>
      <c r="D8" s="451">
        <f>vkm_2011_NGW_PW*SUMIFS(TableVerdeelsleutelVkm[CNG],TableVerdeelsleutelVkm[Voertuigtype],"Lichte voertuigen")*SUMIFS(TableECFTransport[EnergieConsumptieFactor (PJ per km)],TableECFTransport[Index],CONCATENATE($A8,"_CNG_CNG"))</f>
        <v>4.9745500374281383E-5</v>
      </c>
      <c r="E8" s="451">
        <f>vkm_2011_NGW_PW*SUMIFS(TableVerdeelsleutelVkm[LPG],TableVerdeelsleutelVkm[Voertuigtype],"Lichte voertuigen")*SUMIFS(TableECFTransport[EnergieConsumptieFactor (PJ per km)],TableECFTransport[Index],CONCATENATE($A8,"_LPG_LPG"))</f>
        <v>1.8104931314465232E-4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4.0198036999601873E-2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1.3058922288080985E-2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1.6578683612246978E-3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8.1293417507714693E-3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2.4835828344058313E-6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2.5613884476766803E-4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21.622618305709022</v>
      </c>
      <c r="C14" s="21"/>
      <c r="D14" s="21">
        <f t="shared" ref="D14:M14" si="0">((D5)*10^9/3600)+D12</f>
        <v>48.978626996382076</v>
      </c>
      <c r="E14" s="21">
        <f t="shared" si="0"/>
        <v>188.66038162645398</v>
      </c>
      <c r="F14" s="21"/>
      <c r="G14" s="21">
        <f t="shared" si="0"/>
        <v>59905.133811871594</v>
      </c>
      <c r="H14" s="21">
        <f t="shared" si="0"/>
        <v>13151.542538767559</v>
      </c>
      <c r="I14" s="21"/>
      <c r="J14" s="21"/>
      <c r="K14" s="21"/>
      <c r="L14" s="21"/>
      <c r="M14" s="21">
        <f t="shared" si="0"/>
        <v>2281.3958646136348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0.17545185251204717</v>
      </c>
      <c r="C16" s="56">
        <f ca="1">'EF ele_warmte'!B22</f>
        <v>0.23649325928269987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3.7937284378975504</v>
      </c>
      <c r="C18" s="23"/>
      <c r="D18" s="23">
        <f t="shared" ref="D18:M18" si="1">D14*D16</f>
        <v>9.8936826532691793</v>
      </c>
      <c r="E18" s="23">
        <f t="shared" si="1"/>
        <v>42.825906629205058</v>
      </c>
      <c r="F18" s="23"/>
      <c r="G18" s="23">
        <f t="shared" si="1"/>
        <v>15994.670727769717</v>
      </c>
      <c r="H18" s="23">
        <f t="shared" si="1"/>
        <v>3274.7340921531222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3.3810167708898326E-3</v>
      </c>
      <c r="H50" s="321">
        <f t="shared" si="2"/>
        <v>0</v>
      </c>
      <c r="I50" s="321">
        <f t="shared" si="2"/>
        <v>0</v>
      </c>
      <c r="J50" s="321">
        <f t="shared" si="2"/>
        <v>0</v>
      </c>
      <c r="K50" s="321">
        <f t="shared" si="2"/>
        <v>0</v>
      </c>
      <c r="L50" s="321">
        <f t="shared" si="2"/>
        <v>0</v>
      </c>
      <c r="M50" s="321">
        <f t="shared" si="2"/>
        <v>1.0487157628284311E-4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3.3810167708898326E-3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1.0487157628284311E-4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939.17132524717579</v>
      </c>
      <c r="H54" s="21">
        <f t="shared" si="3"/>
        <v>0</v>
      </c>
      <c r="I54" s="21">
        <f t="shared" si="3"/>
        <v>0</v>
      </c>
      <c r="J54" s="21">
        <f t="shared" si="3"/>
        <v>0</v>
      </c>
      <c r="K54" s="21">
        <f t="shared" si="3"/>
        <v>0</v>
      </c>
      <c r="L54" s="21">
        <f t="shared" si="3"/>
        <v>0</v>
      </c>
      <c r="M54" s="21">
        <f t="shared" si="3"/>
        <v>29.130993411900864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0.17545185251204717</v>
      </c>
      <c r="C56" s="56">
        <f ca="1">'EF ele_warmte'!B22</f>
        <v>0.23649325928269987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250.75874384099595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17520.934591000001</v>
      </c>
      <c r="D10" s="1012">
        <f ca="1">tertiair!C16</f>
        <v>0</v>
      </c>
      <c r="E10" s="1012">
        <f ca="1">tertiair!D16</f>
        <v>27441.702343957662</v>
      </c>
      <c r="F10" s="1012">
        <f>tertiair!E16</f>
        <v>345.53495511634412</v>
      </c>
      <c r="G10" s="1012">
        <f ca="1">tertiair!F16</f>
        <v>4176.1470423806877</v>
      </c>
      <c r="H10" s="1012">
        <f>tertiair!G16</f>
        <v>0</v>
      </c>
      <c r="I10" s="1012">
        <f>tertiair!H16</f>
        <v>0</v>
      </c>
      <c r="J10" s="1012">
        <f>tertiair!I16</f>
        <v>0</v>
      </c>
      <c r="K10" s="1012">
        <f>tertiair!J16</f>
        <v>0</v>
      </c>
      <c r="L10" s="1012">
        <f>tertiair!K16</f>
        <v>0</v>
      </c>
      <c r="M10" s="1012">
        <f ca="1">tertiair!L16</f>
        <v>0</v>
      </c>
      <c r="N10" s="1012">
        <f>tertiair!M16</f>
        <v>0</v>
      </c>
      <c r="O10" s="1012">
        <f ca="1">tertiair!N16</f>
        <v>1696.985180336038</v>
      </c>
      <c r="P10" s="1012">
        <f>tertiair!O16</f>
        <v>0</v>
      </c>
      <c r="Q10" s="1013">
        <f>tertiair!P16</f>
        <v>76.266666666666666</v>
      </c>
      <c r="R10" s="700">
        <f ca="1">SUM(C10:Q10)</f>
        <v>51257.570779457405</v>
      </c>
      <c r="S10" s="67"/>
    </row>
    <row r="11" spans="1:19" s="473" customFormat="1">
      <c r="A11" s="809" t="s">
        <v>225</v>
      </c>
      <c r="B11" s="814"/>
      <c r="C11" s="1012">
        <f>huishoudens!B8</f>
        <v>34727.816170350627</v>
      </c>
      <c r="D11" s="1012">
        <f>huishoudens!C8</f>
        <v>0</v>
      </c>
      <c r="E11" s="1012">
        <f>huishoudens!D8</f>
        <v>97100.46235098</v>
      </c>
      <c r="F11" s="1012">
        <f>huishoudens!E8</f>
        <v>3034.2591753332072</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16229.617840993877</v>
      </c>
      <c r="P11" s="1012">
        <f>huishoudens!O8</f>
        <v>251.69666666666669</v>
      </c>
      <c r="Q11" s="1013">
        <f>huishoudens!P8</f>
        <v>991.4666666666667</v>
      </c>
      <c r="R11" s="700">
        <f>SUM(C11:Q11)</f>
        <v>152335.31887099103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16034.044977109999</v>
      </c>
      <c r="D13" s="1012">
        <f>industrie!C18</f>
        <v>0</v>
      </c>
      <c r="E13" s="1012">
        <f>industrie!D18</f>
        <v>13596.127995245621</v>
      </c>
      <c r="F13" s="1012">
        <f>industrie!E18</f>
        <v>972.09472645709661</v>
      </c>
      <c r="G13" s="1012">
        <f>industrie!F18</f>
        <v>4863.87963473333</v>
      </c>
      <c r="H13" s="1012">
        <f>industrie!G18</f>
        <v>0</v>
      </c>
      <c r="I13" s="1012">
        <f>industrie!H18</f>
        <v>0</v>
      </c>
      <c r="J13" s="1012">
        <f>industrie!I18</f>
        <v>0</v>
      </c>
      <c r="K13" s="1012">
        <f>industrie!J18</f>
        <v>48.901153817611728</v>
      </c>
      <c r="L13" s="1012">
        <f>industrie!K18</f>
        <v>0</v>
      </c>
      <c r="M13" s="1012">
        <f>industrie!L18</f>
        <v>0</v>
      </c>
      <c r="N13" s="1012">
        <f>industrie!M18</f>
        <v>0</v>
      </c>
      <c r="O13" s="1012">
        <f>industrie!N18</f>
        <v>4927.8797392768965</v>
      </c>
      <c r="P13" s="1012">
        <f>industrie!O18</f>
        <v>0</v>
      </c>
      <c r="Q13" s="1013">
        <f>industrie!P18</f>
        <v>0</v>
      </c>
      <c r="R13" s="700">
        <f>SUM(C13:Q13)</f>
        <v>40442.928226640557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68282.795738460627</v>
      </c>
      <c r="D16" s="732">
        <f t="shared" ref="D16:R16" ca="1" si="0">SUM(D9:D15)</f>
        <v>0</v>
      </c>
      <c r="E16" s="732">
        <f t="shared" ca="1" si="0"/>
        <v>138138.29269018327</v>
      </c>
      <c r="F16" s="732">
        <f t="shared" si="0"/>
        <v>4351.8888569066476</v>
      </c>
      <c r="G16" s="732">
        <f t="shared" ca="1" si="0"/>
        <v>9040.0266771140177</v>
      </c>
      <c r="H16" s="732">
        <f t="shared" si="0"/>
        <v>0</v>
      </c>
      <c r="I16" s="732">
        <f t="shared" si="0"/>
        <v>0</v>
      </c>
      <c r="J16" s="732">
        <f t="shared" si="0"/>
        <v>0</v>
      </c>
      <c r="K16" s="732">
        <f t="shared" si="0"/>
        <v>48.901153817611728</v>
      </c>
      <c r="L16" s="732">
        <f t="shared" si="0"/>
        <v>0</v>
      </c>
      <c r="M16" s="732">
        <f t="shared" ca="1" si="0"/>
        <v>0</v>
      </c>
      <c r="N16" s="732">
        <f t="shared" si="0"/>
        <v>0</v>
      </c>
      <c r="O16" s="732">
        <f t="shared" ca="1" si="0"/>
        <v>22854.482760606814</v>
      </c>
      <c r="P16" s="732">
        <f t="shared" si="0"/>
        <v>251.69666666666669</v>
      </c>
      <c r="Q16" s="732">
        <f t="shared" si="0"/>
        <v>1067.7333333333333</v>
      </c>
      <c r="R16" s="732">
        <f t="shared" ca="1" si="0"/>
        <v>244035.81787708899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939.17132524717579</v>
      </c>
      <c r="I19" s="1012">
        <f>transport!H54</f>
        <v>0</v>
      </c>
      <c r="J19" s="1012">
        <f>transport!I54</f>
        <v>0</v>
      </c>
      <c r="K19" s="1012">
        <f>transport!J54</f>
        <v>0</v>
      </c>
      <c r="L19" s="1012">
        <f>transport!K54</f>
        <v>0</v>
      </c>
      <c r="M19" s="1012">
        <f>transport!L54</f>
        <v>0</v>
      </c>
      <c r="N19" s="1012">
        <f>transport!M54</f>
        <v>29.130993411900864</v>
      </c>
      <c r="O19" s="1012">
        <f>transport!N54</f>
        <v>0</v>
      </c>
      <c r="P19" s="1012">
        <f>transport!O54</f>
        <v>0</v>
      </c>
      <c r="Q19" s="1013">
        <f>transport!P54</f>
        <v>0</v>
      </c>
      <c r="R19" s="700">
        <f>SUM(C19:Q19)</f>
        <v>968.3023186590766</v>
      </c>
      <c r="S19" s="67"/>
    </row>
    <row r="20" spans="1:19" s="473" customFormat="1">
      <c r="A20" s="809" t="s">
        <v>307</v>
      </c>
      <c r="B20" s="814"/>
      <c r="C20" s="1012">
        <f>transport!B14</f>
        <v>21.622618305709022</v>
      </c>
      <c r="D20" s="1012">
        <f>transport!C14</f>
        <v>0</v>
      </c>
      <c r="E20" s="1012">
        <f>transport!D14</f>
        <v>48.978626996382076</v>
      </c>
      <c r="F20" s="1012">
        <f>transport!E14</f>
        <v>188.66038162645398</v>
      </c>
      <c r="G20" s="1012">
        <f>transport!F14</f>
        <v>0</v>
      </c>
      <c r="H20" s="1012">
        <f>transport!G14</f>
        <v>59905.133811871594</v>
      </c>
      <c r="I20" s="1012">
        <f>transport!H14</f>
        <v>13151.542538767559</v>
      </c>
      <c r="J20" s="1012">
        <f>transport!I14</f>
        <v>0</v>
      </c>
      <c r="K20" s="1012">
        <f>transport!J14</f>
        <v>0</v>
      </c>
      <c r="L20" s="1012">
        <f>transport!K14</f>
        <v>0</v>
      </c>
      <c r="M20" s="1012">
        <f>transport!L14</f>
        <v>0</v>
      </c>
      <c r="N20" s="1012">
        <f>transport!M14</f>
        <v>2281.3958646136348</v>
      </c>
      <c r="O20" s="1012">
        <f>transport!N14</f>
        <v>0</v>
      </c>
      <c r="P20" s="1012">
        <f>transport!O14</f>
        <v>0</v>
      </c>
      <c r="Q20" s="1013">
        <f>transport!P14</f>
        <v>0</v>
      </c>
      <c r="R20" s="700">
        <f>SUM(C20:Q20)</f>
        <v>75597.333842181324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21.622618305709022</v>
      </c>
      <c r="D22" s="812">
        <f t="shared" ref="D22:R22" si="1">SUM(D18:D21)</f>
        <v>0</v>
      </c>
      <c r="E22" s="812">
        <f t="shared" si="1"/>
        <v>48.978626996382076</v>
      </c>
      <c r="F22" s="812">
        <f t="shared" si="1"/>
        <v>188.66038162645398</v>
      </c>
      <c r="G22" s="812">
        <f t="shared" si="1"/>
        <v>0</v>
      </c>
      <c r="H22" s="812">
        <f t="shared" si="1"/>
        <v>60844.305137118768</v>
      </c>
      <c r="I22" s="812">
        <f t="shared" si="1"/>
        <v>13151.542538767559</v>
      </c>
      <c r="J22" s="812">
        <f t="shared" si="1"/>
        <v>0</v>
      </c>
      <c r="K22" s="812">
        <f t="shared" si="1"/>
        <v>0</v>
      </c>
      <c r="L22" s="812">
        <f t="shared" si="1"/>
        <v>0</v>
      </c>
      <c r="M22" s="812">
        <f t="shared" si="1"/>
        <v>0</v>
      </c>
      <c r="N22" s="812">
        <f t="shared" si="1"/>
        <v>2310.5268580255356</v>
      </c>
      <c r="O22" s="812">
        <f t="shared" si="1"/>
        <v>0</v>
      </c>
      <c r="P22" s="812">
        <f t="shared" si="1"/>
        <v>0</v>
      </c>
      <c r="Q22" s="812">
        <f t="shared" si="1"/>
        <v>0</v>
      </c>
      <c r="R22" s="812">
        <f t="shared" si="1"/>
        <v>76565.636160840397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3272.3466436499998</v>
      </c>
      <c r="D24" s="1012">
        <f>+landbouw!C8</f>
        <v>13031.999999999998</v>
      </c>
      <c r="E24" s="1012">
        <f>+landbouw!D8</f>
        <v>8643.932607018869</v>
      </c>
      <c r="F24" s="1012">
        <f>+landbouw!E8</f>
        <v>84.381255581247132</v>
      </c>
      <c r="G24" s="1012">
        <f>+landbouw!F8</f>
        <v>11961.050170686334</v>
      </c>
      <c r="H24" s="1012">
        <f>+landbouw!G8</f>
        <v>0</v>
      </c>
      <c r="I24" s="1012">
        <f>+landbouw!H8</f>
        <v>0</v>
      </c>
      <c r="J24" s="1012">
        <f>+landbouw!I8</f>
        <v>0</v>
      </c>
      <c r="K24" s="1012">
        <f>+landbouw!J8</f>
        <v>471.09753799179242</v>
      </c>
      <c r="L24" s="1012">
        <f>+landbouw!K8</f>
        <v>0</v>
      </c>
      <c r="M24" s="1012">
        <f>+landbouw!L8</f>
        <v>0</v>
      </c>
      <c r="N24" s="1012">
        <f>+landbouw!M8</f>
        <v>0</v>
      </c>
      <c r="O24" s="1012">
        <f>+landbouw!N8</f>
        <v>0</v>
      </c>
      <c r="P24" s="1012">
        <f>+landbouw!O8</f>
        <v>0</v>
      </c>
      <c r="Q24" s="1013">
        <f>+landbouw!P8</f>
        <v>0</v>
      </c>
      <c r="R24" s="700">
        <f>SUM(C24:Q24)</f>
        <v>37464.808214928242</v>
      </c>
      <c r="S24" s="67"/>
    </row>
    <row r="25" spans="1:19" s="473" customFormat="1" ht="15" thickBot="1">
      <c r="A25" s="831" t="s">
        <v>848</v>
      </c>
      <c r="B25" s="1015"/>
      <c r="C25" s="1016">
        <f>IF(Onbekend_ele_kWh="---",0,Onbekend_ele_kWh)/1000+IF(REST_rest_ele_kWh="---",0,REST_rest_ele_kWh)/1000</f>
        <v>2258.6121099000002</v>
      </c>
      <c r="D25" s="1016"/>
      <c r="E25" s="1016">
        <f>IF(onbekend_gas_kWh="---",0,onbekend_gas_kWh)/1000+IF(REST_rest_gas_kWh="---",0,REST_rest_gas_kWh)/1000</f>
        <v>2253.8403087000002</v>
      </c>
      <c r="F25" s="1016"/>
      <c r="G25" s="1016"/>
      <c r="H25" s="1016"/>
      <c r="I25" s="1016"/>
      <c r="J25" s="1016"/>
      <c r="K25" s="1016"/>
      <c r="L25" s="1016"/>
      <c r="M25" s="1016"/>
      <c r="N25" s="1016"/>
      <c r="O25" s="1016"/>
      <c r="P25" s="1016"/>
      <c r="Q25" s="1017"/>
      <c r="R25" s="700">
        <f>SUM(C25:Q25)</f>
        <v>4512.4524185999999</v>
      </c>
      <c r="S25" s="67"/>
    </row>
    <row r="26" spans="1:19" s="473" customFormat="1" ht="15.75" thickBot="1">
      <c r="A26" s="705" t="s">
        <v>849</v>
      </c>
      <c r="B26" s="817"/>
      <c r="C26" s="812">
        <f>SUM(C24:C25)</f>
        <v>5530.9587535499995</v>
      </c>
      <c r="D26" s="812">
        <f t="shared" ref="D26:R26" si="2">SUM(D24:D25)</f>
        <v>13031.999999999998</v>
      </c>
      <c r="E26" s="812">
        <f t="shared" si="2"/>
        <v>10897.77291571887</v>
      </c>
      <c r="F26" s="812">
        <f t="shared" si="2"/>
        <v>84.381255581247132</v>
      </c>
      <c r="G26" s="812">
        <f t="shared" si="2"/>
        <v>11961.050170686334</v>
      </c>
      <c r="H26" s="812">
        <f t="shared" si="2"/>
        <v>0</v>
      </c>
      <c r="I26" s="812">
        <f t="shared" si="2"/>
        <v>0</v>
      </c>
      <c r="J26" s="812">
        <f t="shared" si="2"/>
        <v>0</v>
      </c>
      <c r="K26" s="812">
        <f t="shared" si="2"/>
        <v>471.09753799179242</v>
      </c>
      <c r="L26" s="812">
        <f t="shared" si="2"/>
        <v>0</v>
      </c>
      <c r="M26" s="812">
        <f t="shared" si="2"/>
        <v>0</v>
      </c>
      <c r="N26" s="812">
        <f t="shared" si="2"/>
        <v>0</v>
      </c>
      <c r="O26" s="812">
        <f t="shared" si="2"/>
        <v>0</v>
      </c>
      <c r="P26" s="812">
        <f t="shared" si="2"/>
        <v>0</v>
      </c>
      <c r="Q26" s="812">
        <f t="shared" si="2"/>
        <v>0</v>
      </c>
      <c r="R26" s="812">
        <f t="shared" si="2"/>
        <v>41977.26063352824</v>
      </c>
      <c r="S26" s="67"/>
    </row>
    <row r="27" spans="1:19" s="473" customFormat="1" ht="17.25" thickTop="1" thickBot="1">
      <c r="A27" s="706" t="s">
        <v>116</v>
      </c>
      <c r="B27" s="805"/>
      <c r="C27" s="707">
        <f ca="1">C22+C16+C26</f>
        <v>73835.377110316345</v>
      </c>
      <c r="D27" s="707">
        <f t="shared" ref="D27:R27" ca="1" si="3">D22+D16+D26</f>
        <v>13031.999999999998</v>
      </c>
      <c r="E27" s="707">
        <f t="shared" ca="1" si="3"/>
        <v>149085.04423289854</v>
      </c>
      <c r="F27" s="707">
        <f t="shared" si="3"/>
        <v>4624.9304941143491</v>
      </c>
      <c r="G27" s="707">
        <f t="shared" ca="1" si="3"/>
        <v>21001.076847800352</v>
      </c>
      <c r="H27" s="707">
        <f t="shared" si="3"/>
        <v>60844.305137118768</v>
      </c>
      <c r="I27" s="707">
        <f t="shared" si="3"/>
        <v>13151.542538767559</v>
      </c>
      <c r="J27" s="707">
        <f t="shared" si="3"/>
        <v>0</v>
      </c>
      <c r="K27" s="707">
        <f t="shared" si="3"/>
        <v>519.99869180940414</v>
      </c>
      <c r="L27" s="707">
        <f t="shared" si="3"/>
        <v>0</v>
      </c>
      <c r="M27" s="707">
        <f t="shared" ca="1" si="3"/>
        <v>0</v>
      </c>
      <c r="N27" s="707">
        <f t="shared" si="3"/>
        <v>2310.5268580255356</v>
      </c>
      <c r="O27" s="707">
        <f t="shared" ca="1" si="3"/>
        <v>22854.482760606814</v>
      </c>
      <c r="P27" s="707">
        <f t="shared" si="3"/>
        <v>251.69666666666669</v>
      </c>
      <c r="Q27" s="707">
        <f t="shared" si="3"/>
        <v>1067.7333333333333</v>
      </c>
      <c r="R27" s="707">
        <f t="shared" ca="1" si="3"/>
        <v>362578.71467145765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3074.0804317333582</v>
      </c>
      <c r="D40" s="1012">
        <f ca="1">tertiair!C20</f>
        <v>0</v>
      </c>
      <c r="E40" s="1012">
        <f ca="1">tertiair!D20</f>
        <v>5543.2238734794482</v>
      </c>
      <c r="F40" s="1012">
        <f>tertiair!E20</f>
        <v>78.436434811410123</v>
      </c>
      <c r="G40" s="1012">
        <f ca="1">tertiair!F20</f>
        <v>1115.0312603156437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9810.7720003398608</v>
      </c>
    </row>
    <row r="41" spans="1:18">
      <c r="A41" s="822" t="s">
        <v>225</v>
      </c>
      <c r="B41" s="829"/>
      <c r="C41" s="1012">
        <f ca="1">huishoudens!B12</f>
        <v>6093.0596807858446</v>
      </c>
      <c r="D41" s="1012">
        <f ca="1">huishoudens!C12</f>
        <v>0</v>
      </c>
      <c r="E41" s="1012">
        <f>huishoudens!D12</f>
        <v>19614.293394897963</v>
      </c>
      <c r="F41" s="1012">
        <f>huishoudens!E12</f>
        <v>688.77683280063809</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26396.129908484447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2813.2028944954345</v>
      </c>
      <c r="D43" s="1012">
        <f ca="1">industrie!C22</f>
        <v>0</v>
      </c>
      <c r="E43" s="1012">
        <f>industrie!D22</f>
        <v>2746.4178550396155</v>
      </c>
      <c r="F43" s="1012">
        <f>industrie!E22</f>
        <v>220.66550290576095</v>
      </c>
      <c r="G43" s="1012">
        <f>industrie!F22</f>
        <v>1298.6558624737993</v>
      </c>
      <c r="H43" s="1012">
        <f>industrie!G22</f>
        <v>0</v>
      </c>
      <c r="I43" s="1012">
        <f>industrie!H22</f>
        <v>0</v>
      </c>
      <c r="J43" s="1012">
        <f>industrie!I22</f>
        <v>0</v>
      </c>
      <c r="K43" s="1012">
        <f>industrie!J22</f>
        <v>17.311008451434549</v>
      </c>
      <c r="L43" s="1012">
        <f>industrie!K22</f>
        <v>0</v>
      </c>
      <c r="M43" s="1012">
        <f>industrie!L22</f>
        <v>0</v>
      </c>
      <c r="N43" s="1012">
        <f>industrie!M22</f>
        <v>0</v>
      </c>
      <c r="O43" s="1012">
        <f>industrie!N22</f>
        <v>0</v>
      </c>
      <c r="P43" s="1012">
        <f>industrie!O22</f>
        <v>0</v>
      </c>
      <c r="Q43" s="774">
        <f>industrie!P22</f>
        <v>0</v>
      </c>
      <c r="R43" s="849">
        <f t="shared" ca="1" si="4"/>
        <v>7096.2531233660447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11980.343007014637</v>
      </c>
      <c r="D46" s="732">
        <f t="shared" ref="D46:Q46" ca="1" si="5">SUM(D39:D45)</f>
        <v>0</v>
      </c>
      <c r="E46" s="732">
        <f t="shared" ca="1" si="5"/>
        <v>27903.935123417024</v>
      </c>
      <c r="F46" s="732">
        <f t="shared" si="5"/>
        <v>987.87877051780913</v>
      </c>
      <c r="G46" s="732">
        <f t="shared" ca="1" si="5"/>
        <v>2413.687122789443</v>
      </c>
      <c r="H46" s="732">
        <f t="shared" si="5"/>
        <v>0</v>
      </c>
      <c r="I46" s="732">
        <f t="shared" si="5"/>
        <v>0</v>
      </c>
      <c r="J46" s="732">
        <f t="shared" si="5"/>
        <v>0</v>
      </c>
      <c r="K46" s="732">
        <f t="shared" si="5"/>
        <v>17.311008451434549</v>
      </c>
      <c r="L46" s="732">
        <f t="shared" si="5"/>
        <v>0</v>
      </c>
      <c r="M46" s="732">
        <f t="shared" ca="1" si="5"/>
        <v>0</v>
      </c>
      <c r="N46" s="732">
        <f t="shared" si="5"/>
        <v>0</v>
      </c>
      <c r="O46" s="732">
        <f t="shared" ca="1" si="5"/>
        <v>0</v>
      </c>
      <c r="P46" s="732">
        <f t="shared" si="5"/>
        <v>0</v>
      </c>
      <c r="Q46" s="732">
        <f t="shared" si="5"/>
        <v>0</v>
      </c>
      <c r="R46" s="732">
        <f ca="1">SUM(R39:R45)</f>
        <v>43303.155032190349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250.75874384099595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250.75874384099595</v>
      </c>
    </row>
    <row r="50" spans="1:18">
      <c r="A50" s="825" t="s">
        <v>307</v>
      </c>
      <c r="B50" s="835"/>
      <c r="C50" s="703">
        <f ca="1">transport!B18</f>
        <v>3.7937284378975504</v>
      </c>
      <c r="D50" s="703">
        <f>transport!C18</f>
        <v>0</v>
      </c>
      <c r="E50" s="703">
        <f>transport!D18</f>
        <v>9.8936826532691793</v>
      </c>
      <c r="F50" s="703">
        <f>transport!E18</f>
        <v>42.825906629205058</v>
      </c>
      <c r="G50" s="703">
        <f>transport!F18</f>
        <v>0</v>
      </c>
      <c r="H50" s="703">
        <f>transport!G18</f>
        <v>15994.670727769717</v>
      </c>
      <c r="I50" s="703">
        <f>transport!H18</f>
        <v>3274.7340921531222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19325.91813764321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3.7937284378975504</v>
      </c>
      <c r="D52" s="732">
        <f t="shared" ref="D52:Q52" ca="1" si="6">SUM(D48:D51)</f>
        <v>0</v>
      </c>
      <c r="E52" s="732">
        <f t="shared" si="6"/>
        <v>9.8936826532691793</v>
      </c>
      <c r="F52" s="732">
        <f t="shared" si="6"/>
        <v>42.825906629205058</v>
      </c>
      <c r="G52" s="732">
        <f t="shared" si="6"/>
        <v>0</v>
      </c>
      <c r="H52" s="732">
        <f t="shared" si="6"/>
        <v>16245.429471610712</v>
      </c>
      <c r="I52" s="732">
        <f t="shared" si="6"/>
        <v>3274.7340921531222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19576.676881484207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574.13928068997234</v>
      </c>
      <c r="D54" s="703">
        <f ca="1">+landbouw!C12</f>
        <v>3081.9801549721442</v>
      </c>
      <c r="E54" s="703">
        <f>+landbouw!D12</f>
        <v>1746.0743866178116</v>
      </c>
      <c r="F54" s="703">
        <f>+landbouw!E12</f>
        <v>19.1545450169431</v>
      </c>
      <c r="G54" s="703">
        <f>+landbouw!F12</f>
        <v>3193.6003955732513</v>
      </c>
      <c r="H54" s="703">
        <f>+landbouw!G12</f>
        <v>0</v>
      </c>
      <c r="I54" s="703">
        <f>+landbouw!H12</f>
        <v>0</v>
      </c>
      <c r="J54" s="703">
        <f>+landbouw!I12</f>
        <v>0</v>
      </c>
      <c r="K54" s="703">
        <f>+landbouw!J12</f>
        <v>166.7685284490945</v>
      </c>
      <c r="L54" s="703">
        <f>+landbouw!K12</f>
        <v>0</v>
      </c>
      <c r="M54" s="703">
        <f>+landbouw!L12</f>
        <v>0</v>
      </c>
      <c r="N54" s="703">
        <f>+landbouw!M12</f>
        <v>0</v>
      </c>
      <c r="O54" s="703">
        <f>+landbouw!N12</f>
        <v>0</v>
      </c>
      <c r="P54" s="703">
        <f>+landbouw!O12</f>
        <v>0</v>
      </c>
      <c r="Q54" s="704">
        <f>+landbouw!P12</f>
        <v>0</v>
      </c>
      <c r="R54" s="731">
        <f ca="1">SUM(C54:Q54)</f>
        <v>8781.7172913192171</v>
      </c>
    </row>
    <row r="55" spans="1:18" ht="15" thickBot="1">
      <c r="A55" s="825" t="s">
        <v>848</v>
      </c>
      <c r="B55" s="835"/>
      <c r="C55" s="703">
        <f ca="1">C25*'EF ele_warmte'!B12</f>
        <v>396.27767878809851</v>
      </c>
      <c r="D55" s="703"/>
      <c r="E55" s="703">
        <f>E25*EF_CO2_aardgas</f>
        <v>455.27574235740008</v>
      </c>
      <c r="F55" s="703"/>
      <c r="G55" s="703"/>
      <c r="H55" s="703"/>
      <c r="I55" s="703"/>
      <c r="J55" s="703"/>
      <c r="K55" s="703"/>
      <c r="L55" s="703"/>
      <c r="M55" s="703"/>
      <c r="N55" s="703"/>
      <c r="O55" s="703"/>
      <c r="P55" s="703"/>
      <c r="Q55" s="704"/>
      <c r="R55" s="731">
        <f ca="1">SUM(C55:Q55)</f>
        <v>851.55342114549853</v>
      </c>
    </row>
    <row r="56" spans="1:18" ht="15.75" thickBot="1">
      <c r="A56" s="823" t="s">
        <v>849</v>
      </c>
      <c r="B56" s="836"/>
      <c r="C56" s="732">
        <f ca="1">SUM(C54:C55)</f>
        <v>970.41695947807079</v>
      </c>
      <c r="D56" s="732">
        <f t="shared" ref="D56:Q56" ca="1" si="7">SUM(D54:D55)</f>
        <v>3081.9801549721442</v>
      </c>
      <c r="E56" s="732">
        <f t="shared" si="7"/>
        <v>2201.3501289752116</v>
      </c>
      <c r="F56" s="732">
        <f t="shared" si="7"/>
        <v>19.1545450169431</v>
      </c>
      <c r="G56" s="732">
        <f t="shared" si="7"/>
        <v>3193.6003955732513</v>
      </c>
      <c r="H56" s="732">
        <f t="shared" si="7"/>
        <v>0</v>
      </c>
      <c r="I56" s="732">
        <f t="shared" si="7"/>
        <v>0</v>
      </c>
      <c r="J56" s="732">
        <f t="shared" si="7"/>
        <v>0</v>
      </c>
      <c r="K56" s="732">
        <f t="shared" si="7"/>
        <v>166.7685284490945</v>
      </c>
      <c r="L56" s="732">
        <f t="shared" si="7"/>
        <v>0</v>
      </c>
      <c r="M56" s="732">
        <f t="shared" si="7"/>
        <v>0</v>
      </c>
      <c r="N56" s="732">
        <f t="shared" si="7"/>
        <v>0</v>
      </c>
      <c r="O56" s="732">
        <f t="shared" si="7"/>
        <v>0</v>
      </c>
      <c r="P56" s="732">
        <f t="shared" si="7"/>
        <v>0</v>
      </c>
      <c r="Q56" s="733">
        <f t="shared" si="7"/>
        <v>0</v>
      </c>
      <c r="R56" s="734">
        <f ca="1">SUM(R54:R55)</f>
        <v>9633.270712464715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12954.553694930604</v>
      </c>
      <c r="D61" s="740">
        <f t="shared" ref="D61:Q61" ca="1" si="8">D46+D52+D56</f>
        <v>3081.9801549721442</v>
      </c>
      <c r="E61" s="740">
        <f t="shared" ca="1" si="8"/>
        <v>30115.178935045507</v>
      </c>
      <c r="F61" s="740">
        <f t="shared" si="8"/>
        <v>1049.8592221639572</v>
      </c>
      <c r="G61" s="740">
        <f t="shared" ca="1" si="8"/>
        <v>5607.2875183626948</v>
      </c>
      <c r="H61" s="740">
        <f t="shared" si="8"/>
        <v>16245.429471610712</v>
      </c>
      <c r="I61" s="740">
        <f t="shared" si="8"/>
        <v>3274.7340921531222</v>
      </c>
      <c r="J61" s="740">
        <f t="shared" si="8"/>
        <v>0</v>
      </c>
      <c r="K61" s="740">
        <f t="shared" si="8"/>
        <v>184.07953690052906</v>
      </c>
      <c r="L61" s="740">
        <f t="shared" si="8"/>
        <v>0</v>
      </c>
      <c r="M61" s="740">
        <f t="shared" ca="1" si="8"/>
        <v>0</v>
      </c>
      <c r="N61" s="740">
        <f t="shared" si="8"/>
        <v>0</v>
      </c>
      <c r="O61" s="740">
        <f t="shared" ca="1" si="8"/>
        <v>0</v>
      </c>
      <c r="P61" s="740">
        <f t="shared" si="8"/>
        <v>0</v>
      </c>
      <c r="Q61" s="740">
        <f t="shared" si="8"/>
        <v>0</v>
      </c>
      <c r="R61" s="740">
        <f ca="1">R46+R52+R56</f>
        <v>72513.102626139269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0.17545185251204715</v>
      </c>
      <c r="D63" s="781">
        <f t="shared" ca="1" si="9"/>
        <v>0.23649325928269987</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10847.685464387283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5008.5410322773132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43.621273917836149</v>
      </c>
      <c r="C76" s="750">
        <f>'lokale energieproductie'!B8*IFERROR(SUM(D76:H76)/SUM(D76:O76),0)</f>
        <v>9067.5287260821606</v>
      </c>
      <c r="D76" s="1033">
        <f>'lokale energieproductie'!C8</f>
        <v>10666.958214423614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51.315669373405051</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2154.7255593135701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15899.847770582432</v>
      </c>
      <c r="C78" s="755">
        <f>SUM(C72:C77)</f>
        <v>9067.5287260821606</v>
      </c>
      <c r="D78" s="756">
        <f t="shared" ref="D78:H78" si="10">SUM(D76:D77)</f>
        <v>10666.958214423614</v>
      </c>
      <c r="E78" s="756">
        <f t="shared" si="10"/>
        <v>0</v>
      </c>
      <c r="F78" s="756">
        <f t="shared" si="10"/>
        <v>0</v>
      </c>
      <c r="G78" s="756">
        <f t="shared" si="10"/>
        <v>0</v>
      </c>
      <c r="H78" s="756">
        <f t="shared" si="10"/>
        <v>0</v>
      </c>
      <c r="I78" s="756">
        <f>SUM(I76:I77)</f>
        <v>0</v>
      </c>
      <c r="J78" s="756">
        <f>SUM(J76:J77)</f>
        <v>51.315669373405051</v>
      </c>
      <c r="K78" s="756">
        <f t="shared" ref="K78:L78" si="11">SUM(K76:K77)</f>
        <v>0</v>
      </c>
      <c r="L78" s="756">
        <f t="shared" si="11"/>
        <v>0</v>
      </c>
      <c r="M78" s="756">
        <f>SUM(M76:M77)</f>
        <v>0</v>
      </c>
      <c r="N78" s="756">
        <f>SUM(N76:N77)</f>
        <v>0</v>
      </c>
      <c r="O78" s="860">
        <f>SUM(O76:O77)</f>
        <v>0</v>
      </c>
      <c r="P78" s="757">
        <v>0</v>
      </c>
      <c r="Q78" s="757">
        <f>SUM(Q76:Q77)</f>
        <v>2154.7255593135701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62.393050459847636</v>
      </c>
      <c r="C87" s="766">
        <f>'lokale energieproductie'!B17*IFERROR(SUM(D87:H87)/SUM(D87:O87),0)</f>
        <v>12969.60694954015</v>
      </c>
      <c r="D87" s="777">
        <f>'lokale energieproductie'!C17</f>
        <v>15257.3274998621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73.39861634088065</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3081.9801549721442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62.393050459847636</v>
      </c>
      <c r="C90" s="755">
        <f>SUM(C87:C89)</f>
        <v>12969.60694954015</v>
      </c>
      <c r="D90" s="755">
        <f t="shared" ref="D90:H90" si="12">SUM(D87:D89)</f>
        <v>15257.3274998621</v>
      </c>
      <c r="E90" s="755">
        <f t="shared" si="12"/>
        <v>0</v>
      </c>
      <c r="F90" s="755">
        <f t="shared" si="12"/>
        <v>0</v>
      </c>
      <c r="G90" s="755">
        <f t="shared" si="12"/>
        <v>0</v>
      </c>
      <c r="H90" s="755">
        <f t="shared" si="12"/>
        <v>0</v>
      </c>
      <c r="I90" s="755">
        <f>SUM(I87:I89)</f>
        <v>0</v>
      </c>
      <c r="J90" s="755">
        <f>SUM(J87:J89)</f>
        <v>73.39861634088065</v>
      </c>
      <c r="K90" s="755">
        <f t="shared" ref="K90:L90" si="13">SUM(K87:K89)</f>
        <v>0</v>
      </c>
      <c r="L90" s="755">
        <f t="shared" si="13"/>
        <v>0</v>
      </c>
      <c r="M90" s="755">
        <f>SUM(M87:M89)</f>
        <v>0</v>
      </c>
      <c r="N90" s="755">
        <f>SUM(N87:N89)</f>
        <v>0</v>
      </c>
      <c r="O90" s="755">
        <f>SUM(O87:O89)</f>
        <v>0</v>
      </c>
      <c r="P90" s="755">
        <v>0</v>
      </c>
      <c r="Q90" s="755">
        <f>SUM(Q87:Q89)</f>
        <v>3081.9801549721442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10847.685464387283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5008.5410322773132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9111.1499999999978</v>
      </c>
      <c r="C8" s="570">
        <f>B101</f>
        <v>10666.958214423614</v>
      </c>
      <c r="D8" s="1043"/>
      <c r="E8" s="1043">
        <f>E101</f>
        <v>0</v>
      </c>
      <c r="F8" s="1044"/>
      <c r="G8" s="571"/>
      <c r="H8" s="1043">
        <f>I101</f>
        <v>0</v>
      </c>
      <c r="I8" s="1043">
        <f>G101+F101</f>
        <v>0</v>
      </c>
      <c r="J8" s="1043">
        <f>H101+D101+C101</f>
        <v>51.315669373405051</v>
      </c>
      <c r="K8" s="1043"/>
      <c r="L8" s="1043"/>
      <c r="M8" s="1043"/>
      <c r="N8" s="572"/>
      <c r="O8" s="573">
        <f>C8*$C$12+D8*$D$12+E8*$E$12+F8*$F$12+G8*$G$12+H8*$H$12+I8*$I$12+J8*$J$12</f>
        <v>2154.7255593135701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24967.376496664594</v>
      </c>
      <c r="C10" s="583">
        <f t="shared" ref="C10:L10" si="0">SUM(C8:C9)</f>
        <v>10666.958214423614</v>
      </c>
      <c r="D10" s="583">
        <f t="shared" si="0"/>
        <v>0</v>
      </c>
      <c r="E10" s="583">
        <f t="shared" si="0"/>
        <v>0</v>
      </c>
      <c r="F10" s="583">
        <f t="shared" si="0"/>
        <v>0</v>
      </c>
      <c r="G10" s="583">
        <f t="shared" si="0"/>
        <v>0</v>
      </c>
      <c r="H10" s="583">
        <f t="shared" si="0"/>
        <v>0</v>
      </c>
      <c r="I10" s="583">
        <f t="shared" si="0"/>
        <v>0</v>
      </c>
      <c r="J10" s="583">
        <f t="shared" si="0"/>
        <v>51.315669373405051</v>
      </c>
      <c r="K10" s="583">
        <f t="shared" si="0"/>
        <v>0</v>
      </c>
      <c r="L10" s="583">
        <f t="shared" si="0"/>
        <v>0</v>
      </c>
      <c r="M10" s="1046"/>
      <c r="N10" s="1046"/>
      <c r="O10" s="584">
        <f>SUM(O4:O9)</f>
        <v>2154.7255593135701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13031.999999999998</v>
      </c>
      <c r="C17" s="595">
        <f>B102</f>
        <v>15257.3274998621</v>
      </c>
      <c r="D17" s="596"/>
      <c r="E17" s="596">
        <f>E102</f>
        <v>0</v>
      </c>
      <c r="F17" s="1049"/>
      <c r="G17" s="597"/>
      <c r="H17" s="595">
        <f>I102</f>
        <v>0</v>
      </c>
      <c r="I17" s="596">
        <f>G102+F102</f>
        <v>0</v>
      </c>
      <c r="J17" s="596">
        <f>H102+D102+C102</f>
        <v>73.39861634088065</v>
      </c>
      <c r="K17" s="596"/>
      <c r="L17" s="596"/>
      <c r="M17" s="596"/>
      <c r="N17" s="1050"/>
      <c r="O17" s="598">
        <f>C17*$C$22+E17*$E$22+H17*$H$22+I17*$I$22+J17*$J$22+D17*$D$22+F17*$F$22+G17*$G$22+K17*$K$22+L17*$L$22</f>
        <v>3081.9801549721442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13031.999999999998</v>
      </c>
      <c r="C20" s="582">
        <f>SUM(C17:C19)</f>
        <v>15257.3274998621</v>
      </c>
      <c r="D20" s="582">
        <f t="shared" ref="D20:L20" si="1">SUM(D17:D19)</f>
        <v>0</v>
      </c>
      <c r="E20" s="582">
        <f t="shared" si="1"/>
        <v>0</v>
      </c>
      <c r="F20" s="582">
        <f t="shared" si="1"/>
        <v>0</v>
      </c>
      <c r="G20" s="582">
        <f t="shared" si="1"/>
        <v>0</v>
      </c>
      <c r="H20" s="582">
        <f t="shared" si="1"/>
        <v>0</v>
      </c>
      <c r="I20" s="582">
        <f t="shared" si="1"/>
        <v>0</v>
      </c>
      <c r="J20" s="582">
        <f t="shared" si="1"/>
        <v>73.39861634088065</v>
      </c>
      <c r="K20" s="582">
        <f t="shared" si="1"/>
        <v>0</v>
      </c>
      <c r="L20" s="582">
        <f t="shared" si="1"/>
        <v>0</v>
      </c>
      <c r="M20" s="582"/>
      <c r="N20" s="582"/>
      <c r="O20" s="601">
        <f>SUM(O17:O19)</f>
        <v>3081.9801549721442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11022</v>
      </c>
      <c r="C28" s="796">
        <v>2920</v>
      </c>
      <c r="D28" s="653" t="s">
        <v>890</v>
      </c>
      <c r="E28" s="652" t="s">
        <v>891</v>
      </c>
      <c r="F28" s="652" t="s">
        <v>892</v>
      </c>
      <c r="G28" s="652" t="s">
        <v>893</v>
      </c>
      <c r="H28" s="652" t="s">
        <v>894</v>
      </c>
      <c r="I28" s="652" t="s">
        <v>891</v>
      </c>
      <c r="J28" s="795">
        <v>39002</v>
      </c>
      <c r="K28" s="795">
        <v>39007</v>
      </c>
      <c r="L28" s="652" t="s">
        <v>895</v>
      </c>
      <c r="M28" s="652">
        <v>2014</v>
      </c>
      <c r="N28" s="652">
        <v>9062.9999999999982</v>
      </c>
      <c r="O28" s="652">
        <v>12947.142857142855</v>
      </c>
      <c r="P28" s="652">
        <v>25894.28571428571</v>
      </c>
      <c r="Q28" s="652">
        <v>0</v>
      </c>
      <c r="R28" s="652">
        <v>0</v>
      </c>
      <c r="S28" s="652">
        <v>0</v>
      </c>
      <c r="T28" s="652">
        <v>0</v>
      </c>
      <c r="U28" s="652">
        <v>0</v>
      </c>
      <c r="V28" s="652">
        <v>0</v>
      </c>
      <c r="W28" s="652">
        <v>0</v>
      </c>
      <c r="X28" s="652">
        <v>10</v>
      </c>
      <c r="Y28" s="652" t="s">
        <v>112</v>
      </c>
      <c r="Z28" s="654" t="s">
        <v>112</v>
      </c>
    </row>
    <row r="29" spans="1:26" s="606" customFormat="1" ht="25.5">
      <c r="A29" s="605"/>
      <c r="B29" s="796">
        <v>11022</v>
      </c>
      <c r="C29" s="796">
        <v>2920</v>
      </c>
      <c r="D29" s="653" t="s">
        <v>896</v>
      </c>
      <c r="E29" s="652" t="s">
        <v>897</v>
      </c>
      <c r="F29" s="652" t="s">
        <v>898</v>
      </c>
      <c r="G29" s="652" t="s">
        <v>899</v>
      </c>
      <c r="H29" s="652" t="s">
        <v>899</v>
      </c>
      <c r="I29" s="652" t="s">
        <v>897</v>
      </c>
      <c r="J29" s="795">
        <v>40940</v>
      </c>
      <c r="K29" s="795">
        <v>41183</v>
      </c>
      <c r="L29" s="652" t="s">
        <v>895</v>
      </c>
      <c r="M29" s="652">
        <v>1</v>
      </c>
      <c r="N29" s="652">
        <v>4.5</v>
      </c>
      <c r="O29" s="652">
        <v>22.5</v>
      </c>
      <c r="P29" s="652">
        <v>30</v>
      </c>
      <c r="Q29" s="652">
        <v>0</v>
      </c>
      <c r="R29" s="652">
        <v>0</v>
      </c>
      <c r="S29" s="652">
        <v>0</v>
      </c>
      <c r="T29" s="652">
        <v>0</v>
      </c>
      <c r="U29" s="652">
        <v>0</v>
      </c>
      <c r="V29" s="652">
        <v>0</v>
      </c>
      <c r="W29" s="652">
        <v>0</v>
      </c>
      <c r="X29" s="652">
        <v>10</v>
      </c>
      <c r="Y29" s="652" t="s">
        <v>112</v>
      </c>
      <c r="Z29" s="654" t="s">
        <v>112</v>
      </c>
    </row>
    <row r="30" spans="1:26" s="606" customFormat="1" ht="25.5">
      <c r="A30" s="605"/>
      <c r="B30" s="796">
        <v>11022</v>
      </c>
      <c r="C30" s="796">
        <v>2920</v>
      </c>
      <c r="D30" s="653" t="s">
        <v>900</v>
      </c>
      <c r="E30" s="652" t="s">
        <v>901</v>
      </c>
      <c r="F30" s="652" t="s">
        <v>902</v>
      </c>
      <c r="G30" s="652" t="s">
        <v>893</v>
      </c>
      <c r="H30" s="652" t="s">
        <v>894</v>
      </c>
      <c r="I30" s="652" t="s">
        <v>903</v>
      </c>
      <c r="J30" s="795">
        <v>41141</v>
      </c>
      <c r="K30" s="795">
        <v>41275</v>
      </c>
      <c r="L30" s="652" t="s">
        <v>895</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2024.7</v>
      </c>
      <c r="N58" s="610">
        <f>SUM(N28:N57)</f>
        <v>9111.1499999999978</v>
      </c>
      <c r="O58" s="610">
        <f t="shared" ref="O58:W58" si="2">SUM(O28:O57)</f>
        <v>13031.999999999998</v>
      </c>
      <c r="P58" s="610">
        <f t="shared" si="2"/>
        <v>25924.28571428571</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2024.7</v>
      </c>
      <c r="N61" s="615">
        <f t="shared" si="4"/>
        <v>9111.1499999999978</v>
      </c>
      <c r="O61" s="615">
        <f t="shared" si="4"/>
        <v>13031.999999999998</v>
      </c>
      <c r="P61" s="615">
        <f t="shared" si="4"/>
        <v>25924.28571428571</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0.58853415164509126</v>
      </c>
      <c r="C98" s="635">
        <f>IF(ISERROR(N58/(O58+N58)),0,N58/(N58+O58))</f>
        <v>0.41146584835490885</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10666.958214423614</v>
      </c>
      <c r="C101" s="644">
        <f t="shared" si="9"/>
        <v>51.315669373405051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15257.3274998621</v>
      </c>
      <c r="C102" s="647">
        <f t="shared" si="10"/>
        <v>73.39861634088065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34727.816170350627</v>
      </c>
      <c r="C4" s="477">
        <f>huishoudens!C8</f>
        <v>0</v>
      </c>
      <c r="D4" s="477">
        <f>huishoudens!D8</f>
        <v>97100.46235098</v>
      </c>
      <c r="E4" s="477">
        <f>huishoudens!E8</f>
        <v>3034.2591753332072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16229.617840993877</v>
      </c>
      <c r="O4" s="477">
        <f>huishoudens!O8</f>
        <v>251.69666666666669</v>
      </c>
      <c r="P4" s="478">
        <f>huishoudens!P8</f>
        <v>991.4666666666667</v>
      </c>
      <c r="Q4" s="479">
        <f>SUM(B4:P4)</f>
        <v>152335.31887099103</v>
      </c>
    </row>
    <row r="5" spans="1:17">
      <c r="A5" s="476" t="s">
        <v>156</v>
      </c>
      <c r="B5" s="477">
        <f ca="1">tertiair!B16</f>
        <v>16438.689591000002</v>
      </c>
      <c r="C5" s="477">
        <f ca="1">tertiair!C16</f>
        <v>0</v>
      </c>
      <c r="D5" s="477">
        <f ca="1">tertiair!D16</f>
        <v>27441.702343957662</v>
      </c>
      <c r="E5" s="477">
        <f>tertiair!E16</f>
        <v>345.53495511634412</v>
      </c>
      <c r="F5" s="477">
        <f ca="1">tertiair!F16</f>
        <v>4176.1470423806877</v>
      </c>
      <c r="G5" s="477">
        <f>tertiair!G16</f>
        <v>0</v>
      </c>
      <c r="H5" s="477">
        <f>tertiair!H16</f>
        <v>0</v>
      </c>
      <c r="I5" s="477">
        <f>tertiair!I16</f>
        <v>0</v>
      </c>
      <c r="J5" s="477">
        <f>tertiair!J16</f>
        <v>0</v>
      </c>
      <c r="K5" s="477">
        <f>tertiair!K16</f>
        <v>0</v>
      </c>
      <c r="L5" s="477">
        <f ca="1">tertiair!L16</f>
        <v>0</v>
      </c>
      <c r="M5" s="477">
        <f>tertiair!M16</f>
        <v>0</v>
      </c>
      <c r="N5" s="477">
        <f ca="1">tertiair!N16</f>
        <v>1696.985180336038</v>
      </c>
      <c r="O5" s="477">
        <f>tertiair!O16</f>
        <v>0</v>
      </c>
      <c r="P5" s="478">
        <f>tertiair!P16</f>
        <v>76.266666666666666</v>
      </c>
      <c r="Q5" s="476">
        <f t="shared" ref="Q5:Q14" ca="1" si="0">SUM(B5:P5)</f>
        <v>50175.325779457402</v>
      </c>
    </row>
    <row r="6" spans="1:17">
      <c r="A6" s="476" t="s">
        <v>194</v>
      </c>
      <c r="B6" s="477">
        <f>'openbare verlichting'!B8</f>
        <v>1082.2449999999999</v>
      </c>
      <c r="C6" s="477"/>
      <c r="D6" s="477"/>
      <c r="E6" s="477"/>
      <c r="F6" s="477"/>
      <c r="G6" s="477"/>
      <c r="H6" s="477"/>
      <c r="I6" s="477"/>
      <c r="J6" s="477"/>
      <c r="K6" s="477"/>
      <c r="L6" s="477"/>
      <c r="M6" s="477"/>
      <c r="N6" s="477"/>
      <c r="O6" s="477"/>
      <c r="P6" s="478"/>
      <c r="Q6" s="476">
        <f t="shared" si="0"/>
        <v>1082.2449999999999</v>
      </c>
    </row>
    <row r="7" spans="1:17">
      <c r="A7" s="476" t="s">
        <v>112</v>
      </c>
      <c r="B7" s="477">
        <f>landbouw!B8</f>
        <v>3272.3466436499998</v>
      </c>
      <c r="C7" s="477">
        <f>landbouw!C8</f>
        <v>13031.999999999998</v>
      </c>
      <c r="D7" s="477">
        <f>landbouw!D8</f>
        <v>8643.932607018869</v>
      </c>
      <c r="E7" s="477">
        <f>landbouw!E8</f>
        <v>84.381255581247132</v>
      </c>
      <c r="F7" s="477">
        <f>landbouw!F8</f>
        <v>11961.050170686334</v>
      </c>
      <c r="G7" s="477">
        <f>landbouw!G8</f>
        <v>0</v>
      </c>
      <c r="H7" s="477">
        <f>landbouw!H8</f>
        <v>0</v>
      </c>
      <c r="I7" s="477">
        <f>landbouw!I8</f>
        <v>0</v>
      </c>
      <c r="J7" s="477">
        <f>landbouw!J8</f>
        <v>471.09753799179242</v>
      </c>
      <c r="K7" s="477">
        <f>landbouw!K8</f>
        <v>0</v>
      </c>
      <c r="L7" s="477">
        <f>landbouw!L8</f>
        <v>0</v>
      </c>
      <c r="M7" s="477">
        <f>landbouw!M8</f>
        <v>0</v>
      </c>
      <c r="N7" s="477">
        <f>landbouw!N8</f>
        <v>0</v>
      </c>
      <c r="O7" s="477">
        <f>landbouw!O8</f>
        <v>0</v>
      </c>
      <c r="P7" s="478">
        <f>landbouw!P8</f>
        <v>0</v>
      </c>
      <c r="Q7" s="476">
        <f t="shared" si="0"/>
        <v>37464.808214928242</v>
      </c>
    </row>
    <row r="8" spans="1:17">
      <c r="A8" s="476" t="s">
        <v>638</v>
      </c>
      <c r="B8" s="477">
        <f>industrie!B18</f>
        <v>16034.044977109999</v>
      </c>
      <c r="C8" s="477">
        <f>industrie!C18</f>
        <v>0</v>
      </c>
      <c r="D8" s="477">
        <f>industrie!D18</f>
        <v>13596.127995245621</v>
      </c>
      <c r="E8" s="477">
        <f>industrie!E18</f>
        <v>972.09472645709661</v>
      </c>
      <c r="F8" s="477">
        <f>industrie!F18</f>
        <v>4863.87963473333</v>
      </c>
      <c r="G8" s="477">
        <f>industrie!G18</f>
        <v>0</v>
      </c>
      <c r="H8" s="477">
        <f>industrie!H18</f>
        <v>0</v>
      </c>
      <c r="I8" s="477">
        <f>industrie!I18</f>
        <v>0</v>
      </c>
      <c r="J8" s="477">
        <f>industrie!J18</f>
        <v>48.901153817611728</v>
      </c>
      <c r="K8" s="477">
        <f>industrie!K18</f>
        <v>0</v>
      </c>
      <c r="L8" s="477">
        <f>industrie!L18</f>
        <v>0</v>
      </c>
      <c r="M8" s="477">
        <f>industrie!M18</f>
        <v>0</v>
      </c>
      <c r="N8" s="477">
        <f>industrie!N18</f>
        <v>4927.8797392768965</v>
      </c>
      <c r="O8" s="477">
        <f>industrie!O18</f>
        <v>0</v>
      </c>
      <c r="P8" s="478">
        <f>industrie!P18</f>
        <v>0</v>
      </c>
      <c r="Q8" s="476">
        <f t="shared" si="0"/>
        <v>40442.928226640557</v>
      </c>
    </row>
    <row r="9" spans="1:17" s="482" customFormat="1">
      <c r="A9" s="480" t="s">
        <v>564</v>
      </c>
      <c r="B9" s="481">
        <f>transport!B14</f>
        <v>21.622618305709022</v>
      </c>
      <c r="C9" s="481">
        <f>transport!C14</f>
        <v>0</v>
      </c>
      <c r="D9" s="481">
        <f>transport!D14</f>
        <v>48.978626996382076</v>
      </c>
      <c r="E9" s="481">
        <f>transport!E14</f>
        <v>188.66038162645398</v>
      </c>
      <c r="F9" s="481">
        <f>transport!F14</f>
        <v>0</v>
      </c>
      <c r="G9" s="481">
        <f>transport!G14</f>
        <v>59905.133811871594</v>
      </c>
      <c r="H9" s="481">
        <f>transport!H14</f>
        <v>13151.542538767559</v>
      </c>
      <c r="I9" s="481">
        <f>transport!I14</f>
        <v>0</v>
      </c>
      <c r="J9" s="481">
        <f>transport!J14</f>
        <v>0</v>
      </c>
      <c r="K9" s="481">
        <f>transport!K14</f>
        <v>0</v>
      </c>
      <c r="L9" s="481">
        <f>transport!L14</f>
        <v>0</v>
      </c>
      <c r="M9" s="481">
        <f>transport!M14</f>
        <v>2281.3958646136348</v>
      </c>
      <c r="N9" s="481">
        <f>transport!N14</f>
        <v>0</v>
      </c>
      <c r="O9" s="481">
        <f>transport!O14</f>
        <v>0</v>
      </c>
      <c r="P9" s="481">
        <f>transport!P14</f>
        <v>0</v>
      </c>
      <c r="Q9" s="480">
        <f>SUM(B9:P9)</f>
        <v>75597.333842181324</v>
      </c>
    </row>
    <row r="10" spans="1:17">
      <c r="A10" s="476" t="s">
        <v>554</v>
      </c>
      <c r="B10" s="477">
        <f>transport!B54</f>
        <v>0</v>
      </c>
      <c r="C10" s="477">
        <f>transport!C54</f>
        <v>0</v>
      </c>
      <c r="D10" s="477">
        <f>transport!D54</f>
        <v>0</v>
      </c>
      <c r="E10" s="477">
        <f>transport!E54</f>
        <v>0</v>
      </c>
      <c r="F10" s="477">
        <f>transport!F54</f>
        <v>0</v>
      </c>
      <c r="G10" s="477">
        <f>transport!G54</f>
        <v>939.17132524717579</v>
      </c>
      <c r="H10" s="477">
        <f>transport!H54</f>
        <v>0</v>
      </c>
      <c r="I10" s="477">
        <f>transport!I54</f>
        <v>0</v>
      </c>
      <c r="J10" s="477">
        <f>transport!J54</f>
        <v>0</v>
      </c>
      <c r="K10" s="477">
        <f>transport!K54</f>
        <v>0</v>
      </c>
      <c r="L10" s="477">
        <f>transport!L54</f>
        <v>0</v>
      </c>
      <c r="M10" s="477">
        <f>transport!M54</f>
        <v>29.130993411900864</v>
      </c>
      <c r="N10" s="477">
        <f>transport!N54</f>
        <v>0</v>
      </c>
      <c r="O10" s="477">
        <f>transport!O54</f>
        <v>0</v>
      </c>
      <c r="P10" s="478">
        <f>transport!P54</f>
        <v>0</v>
      </c>
      <c r="Q10" s="476">
        <f t="shared" si="0"/>
        <v>968.3023186590766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2258.6121099000002</v>
      </c>
      <c r="C14" s="484"/>
      <c r="D14" s="484">
        <f>'SEAP template'!E25</f>
        <v>2253.8403087000002</v>
      </c>
      <c r="E14" s="484"/>
      <c r="F14" s="484"/>
      <c r="G14" s="484"/>
      <c r="H14" s="484"/>
      <c r="I14" s="484"/>
      <c r="J14" s="484"/>
      <c r="K14" s="484"/>
      <c r="L14" s="484"/>
      <c r="M14" s="484"/>
      <c r="N14" s="484"/>
      <c r="O14" s="484"/>
      <c r="P14" s="485"/>
      <c r="Q14" s="476">
        <f t="shared" si="0"/>
        <v>4512.4524185999999</v>
      </c>
    </row>
    <row r="15" spans="1:17" s="486" customFormat="1">
      <c r="A15" s="1038" t="s">
        <v>558</v>
      </c>
      <c r="B15" s="978">
        <f ca="1">SUM(B4:B14)</f>
        <v>73835.377110316345</v>
      </c>
      <c r="C15" s="978">
        <f t="shared" ref="C15:Q15" ca="1" si="1">SUM(C4:C14)</f>
        <v>13031.999999999998</v>
      </c>
      <c r="D15" s="978">
        <f t="shared" ca="1" si="1"/>
        <v>149085.04423289854</v>
      </c>
      <c r="E15" s="978">
        <f t="shared" si="1"/>
        <v>4624.9304941143491</v>
      </c>
      <c r="F15" s="978">
        <f t="shared" ca="1" si="1"/>
        <v>21001.076847800352</v>
      </c>
      <c r="G15" s="978">
        <f t="shared" si="1"/>
        <v>60844.305137118768</v>
      </c>
      <c r="H15" s="978">
        <f t="shared" si="1"/>
        <v>13151.542538767559</v>
      </c>
      <c r="I15" s="978">
        <f t="shared" si="1"/>
        <v>0</v>
      </c>
      <c r="J15" s="978">
        <f t="shared" si="1"/>
        <v>519.99869180940414</v>
      </c>
      <c r="K15" s="978">
        <f t="shared" si="1"/>
        <v>0</v>
      </c>
      <c r="L15" s="978">
        <f t="shared" ca="1" si="1"/>
        <v>0</v>
      </c>
      <c r="M15" s="978">
        <f t="shared" si="1"/>
        <v>2310.5268580255356</v>
      </c>
      <c r="N15" s="978">
        <f t="shared" ca="1" si="1"/>
        <v>22854.482760606814</v>
      </c>
      <c r="O15" s="978">
        <f t="shared" si="1"/>
        <v>251.69666666666669</v>
      </c>
      <c r="P15" s="978">
        <f t="shared" si="1"/>
        <v>1067.7333333333333</v>
      </c>
      <c r="Q15" s="978">
        <f t="shared" ca="1" si="1"/>
        <v>362578.71467145759</v>
      </c>
    </row>
    <row r="17" spans="1:17">
      <c r="A17" s="487" t="s">
        <v>559</v>
      </c>
      <c r="B17" s="786">
        <f ca="1">huishoudens!B10</f>
        <v>0.17545185251204717</v>
      </c>
      <c r="C17" s="786">
        <f ca="1">huishoudens!C10</f>
        <v>0.23649325928269987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6093.0596807858446</v>
      </c>
      <c r="C22" s="477">
        <f t="shared" ref="C22:C32" ca="1" si="3">C4*$C$17</f>
        <v>0</v>
      </c>
      <c r="D22" s="477">
        <f t="shared" ref="D22:D32" si="4">D4*$D$17</f>
        <v>19614.293394897963</v>
      </c>
      <c r="E22" s="477">
        <f t="shared" ref="E22:E32" si="5">E4*$E$17</f>
        <v>688.77683280063809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26396.129908484447</v>
      </c>
    </row>
    <row r="23" spans="1:17">
      <c r="A23" s="476" t="s">
        <v>156</v>
      </c>
      <c r="B23" s="477">
        <f t="shared" ca="1" si="2"/>
        <v>2884.1985416114576</v>
      </c>
      <c r="C23" s="477">
        <f t="shared" ca="1" si="3"/>
        <v>0</v>
      </c>
      <c r="D23" s="477">
        <f t="shared" ca="1" si="4"/>
        <v>5543.2238734794482</v>
      </c>
      <c r="E23" s="477">
        <f t="shared" si="5"/>
        <v>78.436434811410123</v>
      </c>
      <c r="F23" s="477">
        <f t="shared" ca="1" si="6"/>
        <v>1115.0312603156437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9620.8901102179607</v>
      </c>
    </row>
    <row r="24" spans="1:17">
      <c r="A24" s="476" t="s">
        <v>194</v>
      </c>
      <c r="B24" s="477">
        <f t="shared" ca="1" si="2"/>
        <v>189.88189012190048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189.88189012190048</v>
      </c>
    </row>
    <row r="25" spans="1:17">
      <c r="A25" s="476" t="s">
        <v>112</v>
      </c>
      <c r="B25" s="477">
        <f t="shared" ca="1" si="2"/>
        <v>574.13928068997234</v>
      </c>
      <c r="C25" s="477">
        <f t="shared" ca="1" si="3"/>
        <v>3081.9801549721442</v>
      </c>
      <c r="D25" s="477">
        <f t="shared" si="4"/>
        <v>1746.0743866178116</v>
      </c>
      <c r="E25" s="477">
        <f t="shared" si="5"/>
        <v>19.1545450169431</v>
      </c>
      <c r="F25" s="477">
        <f t="shared" si="6"/>
        <v>3193.6003955732513</v>
      </c>
      <c r="G25" s="477">
        <f t="shared" si="7"/>
        <v>0</v>
      </c>
      <c r="H25" s="477">
        <f t="shared" si="8"/>
        <v>0</v>
      </c>
      <c r="I25" s="477">
        <f t="shared" si="9"/>
        <v>0</v>
      </c>
      <c r="J25" s="477">
        <f t="shared" si="10"/>
        <v>166.7685284490945</v>
      </c>
      <c r="K25" s="477">
        <f t="shared" si="11"/>
        <v>0</v>
      </c>
      <c r="L25" s="477">
        <f t="shared" si="12"/>
        <v>0</v>
      </c>
      <c r="M25" s="477">
        <f t="shared" si="13"/>
        <v>0</v>
      </c>
      <c r="N25" s="477">
        <f t="shared" si="14"/>
        <v>0</v>
      </c>
      <c r="O25" s="477">
        <f t="shared" si="15"/>
        <v>0</v>
      </c>
      <c r="P25" s="478">
        <f t="shared" si="16"/>
        <v>0</v>
      </c>
      <c r="Q25" s="476">
        <f t="shared" ca="1" si="17"/>
        <v>8781.7172913192171</v>
      </c>
    </row>
    <row r="26" spans="1:17">
      <c r="A26" s="476" t="s">
        <v>638</v>
      </c>
      <c r="B26" s="477">
        <f t="shared" ca="1" si="2"/>
        <v>2813.2028944954345</v>
      </c>
      <c r="C26" s="477">
        <f t="shared" ca="1" si="3"/>
        <v>0</v>
      </c>
      <c r="D26" s="477">
        <f t="shared" si="4"/>
        <v>2746.4178550396155</v>
      </c>
      <c r="E26" s="477">
        <f t="shared" si="5"/>
        <v>220.66550290576095</v>
      </c>
      <c r="F26" s="477">
        <f t="shared" si="6"/>
        <v>1298.6558624737993</v>
      </c>
      <c r="G26" s="477">
        <f t="shared" si="7"/>
        <v>0</v>
      </c>
      <c r="H26" s="477">
        <f t="shared" si="8"/>
        <v>0</v>
      </c>
      <c r="I26" s="477">
        <f t="shared" si="9"/>
        <v>0</v>
      </c>
      <c r="J26" s="477">
        <f t="shared" si="10"/>
        <v>17.311008451434549</v>
      </c>
      <c r="K26" s="477">
        <f t="shared" si="11"/>
        <v>0</v>
      </c>
      <c r="L26" s="477">
        <f t="shared" si="12"/>
        <v>0</v>
      </c>
      <c r="M26" s="477">
        <f t="shared" si="13"/>
        <v>0</v>
      </c>
      <c r="N26" s="477">
        <f t="shared" si="14"/>
        <v>0</v>
      </c>
      <c r="O26" s="477">
        <f t="shared" si="15"/>
        <v>0</v>
      </c>
      <c r="P26" s="478">
        <f t="shared" si="16"/>
        <v>0</v>
      </c>
      <c r="Q26" s="476">
        <f t="shared" ca="1" si="17"/>
        <v>7096.2531233660447</v>
      </c>
    </row>
    <row r="27" spans="1:17" s="482" customFormat="1">
      <c r="A27" s="480" t="s">
        <v>564</v>
      </c>
      <c r="B27" s="780">
        <f t="shared" ca="1" si="2"/>
        <v>3.7937284378975504</v>
      </c>
      <c r="C27" s="481">
        <f t="shared" ca="1" si="3"/>
        <v>0</v>
      </c>
      <c r="D27" s="481">
        <f t="shared" si="4"/>
        <v>9.8936826532691793</v>
      </c>
      <c r="E27" s="481">
        <f t="shared" si="5"/>
        <v>42.825906629205058</v>
      </c>
      <c r="F27" s="481">
        <f t="shared" si="6"/>
        <v>0</v>
      </c>
      <c r="G27" s="481">
        <f t="shared" si="7"/>
        <v>15994.670727769717</v>
      </c>
      <c r="H27" s="481">
        <f t="shared" si="8"/>
        <v>3274.7340921531222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19325.91813764321</v>
      </c>
    </row>
    <row r="28" spans="1:17">
      <c r="A28" s="476" t="s">
        <v>554</v>
      </c>
      <c r="B28" s="477">
        <f t="shared" ca="1" si="2"/>
        <v>0</v>
      </c>
      <c r="C28" s="477">
        <f t="shared" ca="1" si="3"/>
        <v>0</v>
      </c>
      <c r="D28" s="477">
        <f t="shared" si="4"/>
        <v>0</v>
      </c>
      <c r="E28" s="477">
        <f t="shared" si="5"/>
        <v>0</v>
      </c>
      <c r="F28" s="477">
        <f t="shared" si="6"/>
        <v>0</v>
      </c>
      <c r="G28" s="477">
        <f t="shared" si="7"/>
        <v>250.75874384099595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250.75874384099595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396.27767878809851</v>
      </c>
      <c r="C32" s="477">
        <f t="shared" ca="1" si="3"/>
        <v>0</v>
      </c>
      <c r="D32" s="477">
        <f t="shared" si="4"/>
        <v>455.27574235740008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851.55342114549853</v>
      </c>
    </row>
    <row r="33" spans="1:17" s="486" customFormat="1">
      <c r="A33" s="1038" t="s">
        <v>558</v>
      </c>
      <c r="B33" s="978">
        <f ca="1">SUM(B22:B32)</f>
        <v>12954.553694930606</v>
      </c>
      <c r="C33" s="978">
        <f t="shared" ref="C33:Q33" ca="1" si="18">SUM(C22:C32)</f>
        <v>3081.9801549721442</v>
      </c>
      <c r="D33" s="978">
        <f t="shared" ca="1" si="18"/>
        <v>30115.178935045511</v>
      </c>
      <c r="E33" s="978">
        <f t="shared" si="18"/>
        <v>1049.8592221639572</v>
      </c>
      <c r="F33" s="978">
        <f t="shared" ca="1" si="18"/>
        <v>5607.2875183626938</v>
      </c>
      <c r="G33" s="978">
        <f t="shared" si="18"/>
        <v>16245.429471610712</v>
      </c>
      <c r="H33" s="978">
        <f t="shared" si="18"/>
        <v>3274.7340921531222</v>
      </c>
      <c r="I33" s="978">
        <f t="shared" si="18"/>
        <v>0</v>
      </c>
      <c r="J33" s="978">
        <f t="shared" si="18"/>
        <v>184.07953690052906</v>
      </c>
      <c r="K33" s="978">
        <f t="shared" si="18"/>
        <v>0</v>
      </c>
      <c r="L33" s="978">
        <f t="shared" ca="1" si="18"/>
        <v>0</v>
      </c>
      <c r="M33" s="978">
        <f t="shared" si="18"/>
        <v>0</v>
      </c>
      <c r="N33" s="978">
        <f t="shared" ca="1" si="18"/>
        <v>0</v>
      </c>
      <c r="O33" s="978">
        <f t="shared" si="18"/>
        <v>0</v>
      </c>
      <c r="P33" s="978">
        <f t="shared" si="18"/>
        <v>0</v>
      </c>
      <c r="Q33" s="978">
        <f t="shared" ca="1" si="18"/>
        <v>72513.102626139269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10847.685464387283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5008.5410322773132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43.621273917836149</v>
      </c>
      <c r="C8" s="1055">
        <f>'SEAP template'!C76</f>
        <v>9067.5287260821606</v>
      </c>
      <c r="D8" s="1055">
        <f>'SEAP template'!D76</f>
        <v>10666.958214423614</v>
      </c>
      <c r="E8" s="1055">
        <f>'SEAP template'!E76</f>
        <v>0</v>
      </c>
      <c r="F8" s="1055">
        <f>'SEAP template'!F76</f>
        <v>0</v>
      </c>
      <c r="G8" s="1055">
        <f>'SEAP template'!G76</f>
        <v>0</v>
      </c>
      <c r="H8" s="1055">
        <f>'SEAP template'!H76</f>
        <v>0</v>
      </c>
      <c r="I8" s="1055">
        <f>'SEAP template'!I76</f>
        <v>0</v>
      </c>
      <c r="J8" s="1055">
        <f>'SEAP template'!J76</f>
        <v>51.315669373405051</v>
      </c>
      <c r="K8" s="1055">
        <f>'SEAP template'!K76</f>
        <v>0</v>
      </c>
      <c r="L8" s="1055">
        <f>'SEAP template'!L76</f>
        <v>0</v>
      </c>
      <c r="M8" s="1055">
        <f>'SEAP template'!M76</f>
        <v>0</v>
      </c>
      <c r="N8" s="1055">
        <f>'SEAP template'!N76</f>
        <v>0</v>
      </c>
      <c r="O8" s="1055">
        <f>'SEAP template'!O76</f>
        <v>0</v>
      </c>
      <c r="P8" s="1056">
        <f>'SEAP template'!Q76</f>
        <v>2154.7255593135701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15899.847770582432</v>
      </c>
      <c r="C10" s="1059">
        <f>SUM(C4:C9)</f>
        <v>9067.5287260821606</v>
      </c>
      <c r="D10" s="1059">
        <f t="shared" ref="D10:H10" si="0">SUM(D8:D9)</f>
        <v>10666.958214423614</v>
      </c>
      <c r="E10" s="1059">
        <f t="shared" si="0"/>
        <v>0</v>
      </c>
      <c r="F10" s="1059">
        <f t="shared" si="0"/>
        <v>0</v>
      </c>
      <c r="G10" s="1059">
        <f t="shared" si="0"/>
        <v>0</v>
      </c>
      <c r="H10" s="1059">
        <f t="shared" si="0"/>
        <v>0</v>
      </c>
      <c r="I10" s="1059">
        <f>SUM(I8:I9)</f>
        <v>0</v>
      </c>
      <c r="J10" s="1059">
        <f>SUM(J8:J9)</f>
        <v>51.315669373405051</v>
      </c>
      <c r="K10" s="1059">
        <f t="shared" ref="K10:L10" si="1">SUM(K8:K9)</f>
        <v>0</v>
      </c>
      <c r="L10" s="1059">
        <f t="shared" si="1"/>
        <v>0</v>
      </c>
      <c r="M10" s="1059">
        <f>SUM(M8:M9)</f>
        <v>0</v>
      </c>
      <c r="N10" s="1059">
        <f>SUM(N8:N9)</f>
        <v>0</v>
      </c>
      <c r="O10" s="1059">
        <f>SUM(O8:O9)</f>
        <v>0</v>
      </c>
      <c r="P10" s="1059">
        <f>SUM(P8:P9)</f>
        <v>2154.7255593135701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0.17545185251204717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62.393050459847636</v>
      </c>
      <c r="C17" s="1061">
        <f>'SEAP template'!C87</f>
        <v>12969.60694954015</v>
      </c>
      <c r="D17" s="1056">
        <f>'SEAP template'!D87</f>
        <v>15257.3274998621</v>
      </c>
      <c r="E17" s="1056">
        <f>'SEAP template'!E87</f>
        <v>0</v>
      </c>
      <c r="F17" s="1056">
        <f>'SEAP template'!F87</f>
        <v>0</v>
      </c>
      <c r="G17" s="1056">
        <f>'SEAP template'!G87</f>
        <v>0</v>
      </c>
      <c r="H17" s="1056">
        <f>'SEAP template'!H87</f>
        <v>0</v>
      </c>
      <c r="I17" s="1056">
        <f>'SEAP template'!I87</f>
        <v>0</v>
      </c>
      <c r="J17" s="1056">
        <f>'SEAP template'!J87</f>
        <v>73.39861634088065</v>
      </c>
      <c r="K17" s="1056">
        <f>'SEAP template'!K87</f>
        <v>0</v>
      </c>
      <c r="L17" s="1056">
        <f>'SEAP template'!L87</f>
        <v>0</v>
      </c>
      <c r="M17" s="1056">
        <f>'SEAP template'!M87</f>
        <v>0</v>
      </c>
      <c r="N17" s="1056">
        <f>'SEAP template'!N87</f>
        <v>0</v>
      </c>
      <c r="O17" s="1056">
        <f>'SEAP template'!O87</f>
        <v>0</v>
      </c>
      <c r="P17" s="1056">
        <f>'SEAP template'!Q87</f>
        <v>3081.9801549721442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62.393050459847636</v>
      </c>
      <c r="C20" s="1059">
        <f>SUM(C17:C19)</f>
        <v>12969.60694954015</v>
      </c>
      <c r="D20" s="1059">
        <f t="shared" ref="D20:H20" si="2">SUM(D17:D19)</f>
        <v>15257.3274998621</v>
      </c>
      <c r="E20" s="1059">
        <f t="shared" si="2"/>
        <v>0</v>
      </c>
      <c r="F20" s="1059">
        <f t="shared" si="2"/>
        <v>0</v>
      </c>
      <c r="G20" s="1059">
        <f t="shared" si="2"/>
        <v>0</v>
      </c>
      <c r="H20" s="1059">
        <f t="shared" si="2"/>
        <v>0</v>
      </c>
      <c r="I20" s="1059">
        <f>SUM(I17:I19)</f>
        <v>0</v>
      </c>
      <c r="J20" s="1059">
        <f>SUM(J17:J19)</f>
        <v>73.39861634088065</v>
      </c>
      <c r="K20" s="1059">
        <f t="shared" ref="K20:L20" si="3">SUM(K17:K19)</f>
        <v>0</v>
      </c>
      <c r="L20" s="1059">
        <f t="shared" si="3"/>
        <v>0</v>
      </c>
      <c r="M20" s="1059">
        <f>SUM(M17:M19)</f>
        <v>0</v>
      </c>
      <c r="N20" s="1059">
        <f>SUM(N17:N19)</f>
        <v>0</v>
      </c>
      <c r="O20" s="1059">
        <f>SUM(O17:O19)</f>
        <v>0</v>
      </c>
      <c r="P20" s="1059">
        <f>SUM(P17:P19)</f>
        <v>3081.9801549721442</v>
      </c>
    </row>
    <row r="22" spans="1:16">
      <c r="A22" s="487" t="s">
        <v>871</v>
      </c>
      <c r="B22" s="786" t="s">
        <v>865</v>
      </c>
      <c r="C22" s="786">
        <f ca="1">'EF ele_warmte'!B22</f>
        <v>0.23649325928269987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0.17545185251204717</v>
      </c>
      <c r="C17" s="524">
        <f ca="1">'EF ele_warmte'!B22</f>
        <v>0.23649325928269987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2019-08-12T08:22:13Z</dcterms:modified>
</cp:coreProperties>
</file>