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<sst xmlns="http://schemas.openxmlformats.org/spreadsheetml/2006/main" count="2410" uniqueCount="899">
  <si>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</si>
  <si>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</si>
  <si>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</si>
  <si>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</si>
  <si>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</si>
  <si>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</si>
  <si>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</si>
  <si>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</si>
  <si>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</si>
  <si>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</si>
  <si>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</si>
  <si>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</si>
  <si>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</si>
  <si>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</si>
  <si>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</si>
  <si>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</si>
  <si>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</si>
  <si>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</si>
  <si>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</si>
  <si>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</si>
  <si>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</si>
  <si>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</si>
  <si>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</si>
  <si>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</si>
  <si>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</si>
  <si>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</si>
  <si>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</si>
  <si>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</si>
  <si>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</si>
  <si>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</si>
  <si>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</si>
  <si>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</si>
  <si>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</si>
  <si>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</si>
  <si>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</si>
  <si>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</si>
  <si>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</si>
  <si>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</si>
  <si>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</si>
  <si>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</si>
  <si>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</si>
  <si>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</si>
  <si>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</si>
  <si>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</si>
  <si>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</si>
  <si>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</si>
  <si>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</si>
  <si>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</si>
  <si>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</si>
  <si>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</si>
  <si>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</si>
  <si>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</si>
  <si>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</si>
  <si>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</si>
  <si>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</si>
  <si>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</si>
  <si>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</si>
  <si>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</si>
  <si>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</si>
  <si>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</si>
  <si>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</si>
  <si>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</si>
  <si>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</si>
  <si>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</si>
  <si>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</si>
  <si>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</si>
  <si>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</si>
  <si>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</si>
  <si>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</si>
  <si>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</si>
  <si>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</si>
  <si>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</si>
  <si>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</si>
  <si>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</si>
  <si>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</si>
  <si>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</si>
  <si>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</si>
  <si>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</si>
  <si>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</si>
  <si>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</si>
  <si>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</si>
  <si>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</si>
  <si>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</si>
  <si>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</si>
  <si>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</si>
  <si>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</si>
  <si>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</si>
  <si>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</si>
  <si>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</si>
  <si>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</si>
  <si>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</si>
  <si>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</si>
  <si>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</si>
  <si>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</si>
  <si>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</si>
  <si>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</si>
  <si>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</si>
  <si>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</si>
  <si>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</si>
  <si>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</si>
  <si>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</si>
  <si>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</si>
  <si>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</si>
  <si>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</si>
  <si>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</si>
  <si>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</si>
  <si>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</si>
  <si>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</si>
  <si>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</si>
  <si>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</si>
  <si>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</si>
  <si>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</si>
  <si>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</si>
  <si>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</si>
  <si>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</si>
  <si>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</si>
  <si>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</si>
  <si>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</si>
  <si>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</si>
  <si>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</si>
  <si>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</si>
  <si>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</si>
  <si>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</si>
  <si>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</si>
  <si>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</si>
  <si>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</si>
  <si>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</si>
  <si>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</si>
  <si>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</si>
  <si>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</si>
  <si>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</si>
  <si>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</si>
  <si>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</si>
  <si>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</si>
  <si>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</si>
  <si>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</si>
  <si>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</si>
  <si>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</si>
  <si>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</si>
  <si>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</si>
  <si>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</si>
  <si>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</si>
  <si>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</si>
  <si>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</si>
  <si>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</si>
  <si>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</si>
  <si>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</si>
  <si>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</si>
  <si>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</si>
  <si>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</si>
  <si>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</si>
  <si>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</si>
  <si>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</si>
  <si>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</si>
  <si>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</si>
  <si>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</si>
  <si>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</si>
  <si>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</si>
  <si>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</si>
  <si>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</si>
  <si>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</si>
  <si>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</si>
  <si>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</si>
  <si>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</si>
  <si>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</si>
  <si>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</si>
  <si>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</si>
  <si>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</si>
  <si>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</si>
  <si>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</si>
  <si>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</si>
  <si>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</si>
  <si>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</si>
  <si>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</si>
  <si>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</si>
  <si>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</si>
  <si>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</si>
  <si>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</si>
  <si>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</si>
  <si>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</si>
  <si>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</si>
  <si>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</si>
  <si>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</si>
  <si>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</si>
  <si>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</si>
  <si>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</si>
  <si>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</si>
  <si>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</si>
  <si>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</si>
  <si>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</si>
  <si>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</si>
  <si>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</si>
  <si>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</si>
  <si>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</si>
  <si>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</si>
  <si>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</si>
  <si>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</si>
  <si>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</si>
  <si>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</si>
  <si>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</si>
  <si>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</si>
  <si>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</si>
  <si>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</si>
  <si>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</si>
  <si>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</si>
  <si>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</si>
  <si>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</si>
  <si>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</si>
  <si>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</si>
  <si>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</si>
  <si>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</si>
  <si>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</si>
  <si>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</si>
  <si>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</si>
  <si>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</si>
  <si>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</si>
  <si>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</si>
  <si>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</si>
  <si>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</si>
  <si>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</si>
  <si>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</si>
  <si>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</si>
  <si>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</si>
  <si>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</si>
  <si>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</si>
  <si>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</si>
  <si>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</si>
  <si>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</si>
  <si>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</si>
  <si>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</si>
  <si>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</si>
  <si>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</si>
  <si>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</si>
  <si>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</si>
  <si>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</si>
  <si>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</si>
  <si>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</si>
  <si>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</si>
  <si>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</si>
  <si>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</si>
  <si>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</si>
  <si>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</si>
  <si>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</si>
  <si>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</si>
  <si>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</si>
  <si>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</si>
  <si>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</si>
  <si>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</si>
  <si>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</si>
  <si>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</si>
  <si>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</si>
  <si>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</si>
  <si>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</si>
  <si>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</si>
  <si>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</si>
  <si>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</si>
  <si>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</si>
  <si>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</si>
  <si>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</si>
  <si>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</si>
  <si>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</si>
  <si>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</si>
  <si>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</si>
  <si>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</si>
  <si>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</si>
  <si>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</si>
  <si>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</si>
  <si>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</si>
  <si>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</si>
  <si>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</si>
  <si>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</si>
  <si>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</si>
  <si>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</si>
  <si>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</si>
  <si>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</si>
  <si>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</si>
  <si>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</si>
  <si>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</si>
  <si>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</si>
  <si>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</si>
  <si>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</si>
  <si>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</si>
  <si>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</si>
  <si>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</si>
  <si>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</si>
  <si>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</si>
  <si>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</si>
  <si>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</si>
  <si>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</si>
  <si>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</si>
  <si>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</si>
  <si>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</si>
  <si>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</si>
  <si>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</si>
  <si>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</si>
  <si>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</si>
  <si>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</si>
  <si>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</si>
  <si>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</si>
  <si>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</si>
  <si>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</si>
  <si>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</si>
  <si>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</si>
  <si>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</si>
  <si>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</si>
  <si>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</si>
  <si>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</si>
  <si>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</si>
  <si>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</si>
  <si>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</si>
  <si>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</si>
  <si>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</si>
  <si>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</si>
  <si>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</si>
  <si>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</si>
  <si>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</si>
  <si>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</si>
  <si>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</si>
  <si>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</si>
  <si>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</si>
  <si>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</si>
  <si>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</si>
  <si>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</si>
  <si>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</si>
  <si>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</si>
  <si>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</si>
  <si>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</si>
  <si>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</si>
  <si>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</si>
  <si>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</si>
  <si>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</si>
  <si>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</si>
  <si>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</si>
  <si>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</si>
  <si>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</si>
  <si>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</si>
  <si>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</si>
  <si>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</si>
  <si>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</si>
  <si>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</si>
  <si>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</si>
  <si>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</si>
  <si>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</si>
  <si>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</si>
  <si>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</si>
  <si>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</si>
  <si>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</si>
  <si>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</si>
  <si>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</si>
  <si>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</si>
  <si>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</si>
  <si>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</si>
  <si>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</si>
  <si>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</si>
  <si>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</si>
  <si>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</si>
  <si>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</si>
  <si>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</si>
  <si>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</si>
  <si>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</si>
  <si>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</si>
  <si>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</si>
  <si>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</si>
  <si>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</si>
  <si>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</si>
  <si>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</si>
  <si>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</si>
  <si>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</si>
  <si>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</si>
  <si>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</si>
  <si>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</si>
  <si>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</si>
  <si>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</si>
  <si>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</si>
  <si>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</si>
  <si>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</si>
  <si>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</si>
  <si>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</si>
  <si>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</si>
  <si>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</si>
  <si>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</si>
  <si>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</si>
  <si>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</si>
  <si>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</si>
  <si>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</si>
  <si>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</si>
  <si>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</si>
  <si>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</si>
  <si>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</si>
  <si>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</si>
  <si>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</si>
  <si>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</si>
  <si>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</si>
  <si>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</si>
  <si>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</si>
  <si>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</si>
  <si>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</si>
  <si>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</si>
  <si>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</si>
  <si>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</si>
  <si>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</si>
  <si>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</si>
  <si>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</si>
  <si>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</si>
  <si>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</si>
  <si>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</si>
  <si>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</si>
  <si>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</si>
  <si>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</si>
  <si>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</si>
  <si>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</si>
  <si>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</si>
  <si>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</si>
  <si>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</si>
  <si>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</si>
  <si>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</si>
  <si>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</si>
  <si>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</si>
  <si>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</si>
  <si>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</si>
  <si>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</si>
  <si>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</si>
  <si>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</si>
  <si>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</si>
  <si>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</si>
  <si>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</si>
  <si>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</si>
  <si>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</si>
  <si>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</si>
  <si>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</si>
  <si>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</si>
  <si>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</si>
  <si>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</si>
  <si>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</si>
  <si>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</si>
  <si>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</si>
  <si>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</si>
  <si>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</si>
  <si>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</si>
  <si>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</si>
  <si>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</si>
  <si>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</si>
  <si>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</si>
  <si>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</si>
  <si>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</si>
  <si>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</si>
  <si>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</si>
  <si>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</si>
  <si>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</si>
  <si>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</si>
  <si>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</si>
  <si>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</si>
  <si>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</si>
  <si>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</si>
  <si>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</si>
  <si>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</si>
  <si>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</si>
  <si>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</si>
  <si>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</si>
  <si>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</si>
  <si>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</si>
  <si>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</si>
  <si>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</si>
  <si>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</si>
  <si>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</si>
  <si>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</si>
  <si>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</si>
  <si>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</si>
  <si>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</si>
  <si>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</si>
  <si>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</si>
  <si>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</si>
  <si>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</si>
  <si>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</si>
  <si>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</si>
  <si>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</si>
  <si>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</si>
  <si>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</si>
  <si>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</si>
  <si>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</si>
  <si>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</si>
  <si>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</si>
  <si>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</si>
  <si>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</si>
  <si>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</si>
  <si>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</si>
  <si>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</si>
  <si>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</si>
  <si>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</si>
  <si>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</si>
  <si>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</si>
  <si>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</si>
  <si>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</si>
  <si>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</si>
  <si>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</si>
  <si>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</si>
  <si>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</si>
  <si>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</si>
  <si>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</si>
  <si>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</si>
  <si>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</si>
  <si>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</si>
  <si>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</si>
  <si>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</si>
  <si>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</si>
  <si>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</si>
  <si>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</si>
  <si>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</si>
  <si>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</si>
  <si>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</si>
  <si>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</si>
  <si>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</si>
  <si>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</si>
  <si>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</si>
  <si>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</si>
  <si>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</si>
  <si>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</si>
  <si>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</si>
  <si>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</si>
  <si>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</si>
  <si>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</si>
  <si>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</si>
  <si>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</si>
  <si>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</si>
  <si>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</si>
  <si>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</si>
  <si>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</si>
  <si>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</si>
  <si>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</si>
  <si>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</si>
  <si>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</si>
  <si>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</si>
  <si>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</si>
  <si>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</si>
  <si>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</si>
  <si>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</si>
  <si>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</si>
  <si>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</si>
  <si>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</si>
  <si>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</si>
  <si>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</si>
  <si>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</si>
  <si>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</si>
  <si>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</si>
  <si>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</si>
  <si>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</si>
  <si>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</si>
  <si>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</si>
  <si>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</si>
  <si>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</si>
  <si>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</si>
  <si>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</si>
  <si>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</si>
  <si>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</si>
  <si>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</si>
  <si>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</si>
  <si>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</si>
  <si>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</si>
  <si>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</si>
  <si>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</si>
  <si>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</si>
  <si>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</si>
  <si>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</si>
  <si>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</si>
  <si>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</si>
  <si>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</si>
  <si>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</si>
  <si>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</si>
  <si>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</si>
  <si>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</si>
  <si>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</si>
  <si>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</si>
  <si>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</si>
  <si>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</si>
  <si>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</si>
  <si>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</si>
  <si>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</si>
  <si>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</si>
  <si>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</si>
  <si>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</si>
  <si>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</si>
  <si>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</si>
  <si>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</si>
  <si>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</si>
  <si>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</si>
  <si>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</si>
  <si>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</si>
  <si>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</si>
  <si>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</si>
  <si>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</si>
  <si>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</si>
  <si>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</si>
  <si>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</si>
  <si>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</si>
  <si>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</si>
  <si>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</si>
  <si>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</si>
  <si>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</si>
  <si>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</si>
  <si>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</si>
  <si>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</si>
  <si>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</si>
  <si>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</si>
  <si>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</si>
  <si>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</si>
  <si>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</si>
  <si>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</si>
  <si>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</si>
  <si>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</si>
  <si>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</si>
  <si>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</si>
  <si>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</si>
  <si>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</si>
  <si>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</si>
  <si>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</si>
  <si>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</si>
  <si>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</si>
  <si>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</si>
  <si>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</si>
  <si>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</si>
  <si>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</si>
  <si>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</si>
  <si>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</si>
  <si>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</si>
  <si>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</si>
  <si>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</si>
  <si>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</si>
  <si>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</si>
  <si>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</si>
  <si>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</si>
  <si>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</si>
  <si>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</si>
  <si>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</si>
  <si>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</si>
  <si>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</si>
  <si>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</si>
  <si>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</si>
  <si>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</si>
  <si>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</si>
  <si>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</si>
  <si>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</si>
  <si>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</si>
  <si>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</si>
  <si>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</si>
  <si>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</si>
  <si>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</si>
  <si>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</si>
  <si>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</si>
  <si>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</si>
  <si>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</si>
  <si>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</si>
  <si>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</si>
  <si>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</si>
  <si>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</si>
  <si>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</si>
  <si>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</si>
  <si>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</si>
  <si>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</si>
  <si>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</si>
  <si>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</si>
  <si>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</si>
  <si>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</si>
  <si>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</si>
  <si>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</si>
  <si>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</si>
  <si>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</si>
  <si>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</si>
  <si>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</si>
  <si>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</si>
  <si>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</si>
  <si>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</si>
  <si>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</si>
  <si>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</si>
  <si>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</si>
  <si>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</si>
  <si>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</si>
  <si>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</si>
  <si>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</si>
  <si>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</si>
  <si>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</si>
  <si>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</si>
  <si>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</si>
  <si>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</si>
  <si>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</si>
  <si>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</si>
  <si>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</si>
  <si>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</si>
  <si>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</si>
  <si>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</si>
  <si>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</si>
  <si>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</si>
  <si>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</si>
  <si>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</si>
  <si>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</si>
  <si>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</si>
  <si>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</si>
  <si>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</si>
  <si>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</si>
  <si>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</si>
  <si>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</si>
  <si>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</si>
  <si>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</si>
  <si>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</si>
  <si>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</si>
  <si>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</si>
  <si>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</si>
  <si>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</si>
  <si>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</si>
  <si>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</si>
  <si>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</si>
  <si>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</si>
  <si>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</si>
  <si>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</si>
  <si>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</si>
  <si>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</si>
  <si>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</si>
  <si>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</si>
  <si>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</si>
  <si>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</si>
  <si>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</si>
  <si>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</si>
  <si>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</si>
  <si>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</si>
  <si>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</si>
  <si>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</si>
  <si>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</si>
  <si>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</si>
  <si>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</si>
  <si>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</si>
  <si>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</si>
  <si>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</si>
  <si>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</si>
  <si>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</si>
  <si>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</si>
  <si>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</si>
  <si>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</si>
  <si>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</si>
  <si>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</si>
  <si>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</si>
  <si>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</si>
  <si>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</si>
  <si>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</si>
  <si>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</si>
  <si>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</si>
  <si>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</si>
  <si>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</si>
  <si>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</si>
  <si>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</si>
  <si>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</si>
  <si>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</si>
  <si>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</si>
  <si>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</si>
  <si>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</si>
  <si>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</si>
  <si>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</si>
  <si>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</si>
  <si>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</si>
  <si>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</si>
  <si>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</si>
  <si>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</si>
  <si>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</si>
  <si>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</si>
  <si>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</si>
  <si>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</si>
  <si>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</si>
  <si>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</si>
  <si>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</si>
  <si>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</si>
  <si>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</si>
  <si>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</si>
  <si>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</si>
  <si>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</si>
  <si>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</si>
  <si>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</si>
  <si>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</si>
  <si>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</si>
  <si>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</si>
  <si>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</si>
  <si>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</si>
  <si>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</si>
  <si>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</si>
  <si>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</si>
  <si>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</si>
  <si>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</si>
  <si>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</si>
  <si>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</si>
  <si>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</si>
  <si>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</si>
  <si>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</si>
  <si>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</si>
  <si>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</si>
  <si>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</si>
  <si>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</si>
  <si>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</si>
  <si>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</si>
  <si>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</si>
  <si>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</si>
  <si>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</si>
  <si>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</si>
  <si>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</si>
  <si>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</si>
  <si>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</si>
  <si>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</si>
  <si>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</si>
  <si>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</si>
  <si>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</si>
  <si>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</si>
  <si>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</si>
  <si>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</si>
  <si>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</si>
  <si>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</si>
  <si>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</si>
  <si>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</si>
  <si>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</si>
  <si>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</si>
  <si>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</si>
  <si>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</si>
  <si>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</si>
  <si>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</si>
  <si>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</si>
  <si>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</si>
  <si>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</si>
  <si>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</si>
  <si>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</si>
  <si>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</si>
  <si>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</si>
  <si>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</si>
  <si>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</si>
  <si>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</si>
  <si>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</si>
  <si>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</si>
  <si>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</si>
  <si>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</si>
  <si>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</si>
  <si>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</si>
  <si>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</si>
  <si>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</si>
  <si>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</si>
  <si>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</si>
  <si>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</si>
  <si>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</si>
  <si>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</si>
  <si>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</si>
  <si>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</si>
  <si>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</si>
  <si>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</si>
  <si>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</si>
  <si>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</si>
  <si>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</si>
  <si>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</si>
  <si>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</si>
  <si>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</si>
  <si>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</si>
  <si>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</si>
  <si>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</si>
  <si>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</si>
  <si>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</si>
  <si>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</si>
  <si>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</si>
  <si>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</si>
  <si>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</si>
  <si>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</si>
  <si>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</si>
  <si>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</si>
  <si>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</si>
  <si>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</si>
  <si>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</si>
  <si>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</si>
  <si>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</si>
  <si>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</si>
  <si>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</si>
  <si>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</si>
  <si>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</si>
  <si>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</si>
  <si>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</si>
  <si>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</si>
  <si>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</si>
  <si>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</si>
  <si>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</si>
  <si>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</si>
  <si>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</si>
  <si>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</si>
  <si>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11021</t>
  </si>
  <si>
    <t>HOVE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</si>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</sst>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64600.6582982205</c:v>
                </c:pt>
                <c:pt idx="1">
                  <c:v>21155.324965736705</c:v>
                </c:pt>
                <c:pt idx="2">
                  <c:v>617.11400000000003</c:v>
                </c:pt>
                <c:pt idx="3">
                  <c:v>1278.5671410264192</c:v>
                </c:pt>
                <c:pt idx="4">
                  <c:v>3024.664778180073</c:v>
                </c:pt>
                <c:pt idx="5">
                  <c:v>12682.947713181991</c:v>
                </c:pt>
                <c:pt idx="6">
                  <c:v>937.15747337545668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46240"/>
        <c:axId val="183547776"/>
      </c:barChart>
      <c:catAx>
        <c:axId val="183546240"/>
        <c:scaling>
          <c:orientation val="minMax"/>
        </c:scaling>
        <c:axPos val="b"/>
        <c:numFmt formatCode="General" sourceLinked="0"/>
        <c:tickLblPos val="nextTo"/>
        <c:crossAx val="183547776"/>
        <c:crosses val="autoZero"/>
        <c:auto val="1"/>
        <c:lblAlgn val="ctr"/>
        <c:lblOffset val="100"/>
      </c:catAx>
      <c:valAx>
        <c:axId val="183547776"/>
        <c:scaling>
          <c:orientation val="minMax"/>
        </c:scaling>
        <c:axPos val="l"/>
        <c:majorGridlines/>
        <c:numFmt formatCode="#,##0" sourceLinked="1"/>
        <c:tickLblPos val="nextTo"/>
        <c:crossAx val="183546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64600.6582982205</c:v>
                </c:pt>
                <c:pt idx="1">
                  <c:v>21155.324965736705</c:v>
                </c:pt>
                <c:pt idx="2">
                  <c:v>617.11400000000003</c:v>
                </c:pt>
                <c:pt idx="3">
                  <c:v>1278.5671410264192</c:v>
                </c:pt>
                <c:pt idx="4">
                  <c:v>3024.664778180073</c:v>
                </c:pt>
                <c:pt idx="5">
                  <c:v>12682.947713181991</c:v>
                </c:pt>
                <c:pt idx="6">
                  <c:v>937.15747337545668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12726.247226991458</c:v>
                </c:pt>
                <c:pt idx="2">
                  <c:v>4367.4102944459219</c:v>
                </c:pt>
                <c:pt idx="3">
                  <c:v>129.65459141657374</c:v>
                </c:pt>
                <c:pt idx="4">
                  <c:v>307.44629632609343</c:v>
                </c:pt>
                <c:pt idx="5">
                  <c:v>576.58643483129572</c:v>
                </c:pt>
                <c:pt idx="6">
                  <c:v>3236.0242169519433</c:v>
                </c:pt>
                <c:pt idx="7">
                  <c:v>242.69324391401247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34048"/>
      </c:barChart>
      <c:catAx>
        <c:axId val="18400358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12726.247226991458</c:v>
                </c:pt>
                <c:pt idx="2">
                  <c:v>4367.4102944459219</c:v>
                </c:pt>
                <c:pt idx="3">
                  <c:v>129.65459141657374</c:v>
                </c:pt>
                <c:pt idx="4">
                  <c:v>307.44629632609343</c:v>
                </c:pt>
                <c:pt idx="5">
                  <c:v>576.58643483129572</c:v>
                </c:pt>
                <c:pt idx="6">
                  <c:v>3236.0242169519433</c:v>
                </c:pt>
                <c:pt idx="7">
                  <c:v>242.69324391401247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11021</v>
      </c>
      <c r="B6" s="415"/>
      <c r="C6" s="416"/>
    </row>
    <row r="7" spans="1:7" s="413" customFormat="1" ht="15.75" customHeight="1">
      <c r="A7" s="417" t="str">
        <f>txtMunicipality</f>
        <v>HOVE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0.21009828235394715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0.21009828235394715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3226</v>
      </c>
      <c r="C9" s="342">
        <v>3350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150.16</v>
      </c>
    </row>
    <row r="15" spans="1:6">
      <c r="A15" s="348" t="s">
        <v>184</v>
      </c>
      <c r="B15" s="334">
        <v>8</v>
      </c>
    </row>
    <row r="16" spans="1:6">
      <c r="A16" s="348" t="s">
        <v>6</v>
      </c>
      <c r="B16" s="334">
        <v>499</v>
      </c>
    </row>
    <row r="17" spans="1:6">
      <c r="A17" s="348" t="s">
        <v>7</v>
      </c>
      <c r="B17" s="334">
        <v>12</v>
      </c>
    </row>
    <row r="18" spans="1:6">
      <c r="A18" s="348" t="s">
        <v>8</v>
      </c>
      <c r="B18" s="334">
        <v>254</v>
      </c>
    </row>
    <row r="19" spans="1:6">
      <c r="A19" s="348" t="s">
        <v>9</v>
      </c>
      <c r="B19" s="334">
        <v>198</v>
      </c>
    </row>
    <row r="20" spans="1:6">
      <c r="A20" s="348" t="s">
        <v>10</v>
      </c>
      <c r="B20" s="334">
        <v>126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0</v>
      </c>
    </row>
    <row r="28" spans="1:6" s="356" customFormat="1">
      <c r="A28" s="355" t="s">
        <v>18</v>
      </c>
      <c r="B28" s="355">
        <v>0</v>
      </c>
    </row>
    <row r="29" spans="1:6">
      <c r="A29" s="355" t="s">
        <v>884</v>
      </c>
      <c r="B29" s="355">
        <v>1</v>
      </c>
      <c r="C29" s="356"/>
      <c r="D29" s="356"/>
      <c r="E29" s="356"/>
      <c r="F29" s="356"/>
    </row>
    <row r="30" spans="1:6">
      <c r="A30" s="355" t="s">
        <v>885</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3276.8391965000001</v>
      </c>
    </row>
    <row r="39" spans="1:6">
      <c r="A39" s="348" t="s">
        <v>30</v>
      </c>
      <c r="B39" s="348" t="s">
        <v>31</v>
      </c>
      <c r="C39" s="334">
        <v>2580</v>
      </c>
      <c r="D39" s="334">
        <v>49865362.274999999</v>
      </c>
      <c r="E39" s="334">
        <v>3119</v>
      </c>
      <c r="F39" s="334">
        <v>12937551.393999999</v>
      </c>
    </row>
    <row r="40" spans="1:6">
      <c r="A40" s="348" t="s">
        <v>30</v>
      </c>
      <c r="B40" s="348" t="s">
        <v>29</v>
      </c>
      <c r="C40" s="334">
        <v>0</v>
      </c>
      <c r="D40" s="334">
        <v>0</v>
      </c>
      <c r="E40" s="334">
        <v>0</v>
      </c>
      <c r="F40" s="334">
        <v>0</v>
      </c>
    </row>
    <row r="41" spans="1:6">
      <c r="A41" s="348" t="s">
        <v>32</v>
      </c>
      <c r="B41" s="348" t="s">
        <v>33</v>
      </c>
      <c r="C41" s="334">
        <v>11</v>
      </c>
      <c r="D41" s="334">
        <v>204924.87027000001</v>
      </c>
      <c r="E41" s="334">
        <v>16</v>
      </c>
      <c r="F41" s="334">
        <v>97741.326182999997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541265.88370999997</v>
      </c>
      <c r="E48" s="334">
        <v>26</v>
      </c>
      <c r="F48" s="334">
        <v>214896.51016000001</v>
      </c>
    </row>
    <row r="49" spans="1:6">
      <c r="A49" s="348" t="s">
        <v>32</v>
      </c>
      <c r="B49" s="348" t="s">
        <v>40</v>
      </c>
      <c r="C49" s="334">
        <v>0</v>
      </c>
      <c r="D49" s="334">
        <v>0</v>
      </c>
      <c r="E49" s="334">
        <v>0</v>
      </c>
      <c r="F49" s="334">
        <v>0</v>
      </c>
    </row>
    <row r="50" spans="1:6">
      <c r="A50" s="348" t="s">
        <v>32</v>
      </c>
      <c r="B50" s="348" t="s">
        <v>41</v>
      </c>
      <c r="C50" s="334">
        <v>6</v>
      </c>
      <c r="D50" s="334">
        <v>897849.93454000005</v>
      </c>
      <c r="E50" s="334">
        <v>7</v>
      </c>
      <c r="F50" s="334">
        <v>606079.56207999995</v>
      </c>
    </row>
    <row r="51" spans="1:6">
      <c r="A51" s="348" t="s">
        <v>42</v>
      </c>
      <c r="B51" s="348" t="s">
        <v>43</v>
      </c>
      <c r="C51" s="334">
        <v>3</v>
      </c>
      <c r="D51" s="334">
        <v>77711.775783999998</v>
      </c>
      <c r="E51" s="334">
        <v>8</v>
      </c>
      <c r="F51" s="334">
        <v>200720.17627</v>
      </c>
    </row>
    <row r="52" spans="1:6">
      <c r="A52" s="348" t="s">
        <v>42</v>
      </c>
      <c r="B52" s="348" t="s">
        <v>29</v>
      </c>
      <c r="C52" s="334">
        <v>2</v>
      </c>
      <c r="D52" s="334">
        <v>38675.839399999997</v>
      </c>
      <c r="E52" s="334">
        <v>4</v>
      </c>
      <c r="F52" s="334">
        <v>29589.094309</v>
      </c>
    </row>
    <row r="53" spans="1:6">
      <c r="A53" s="348" t="s">
        <v>44</v>
      </c>
      <c r="B53" s="348" t="s">
        <v>45</v>
      </c>
      <c r="C53" s="334">
        <v>72</v>
      </c>
      <c r="D53" s="334">
        <v>1518079.5862</v>
      </c>
      <c r="E53" s="334">
        <v>108</v>
      </c>
      <c r="F53" s="334">
        <v>481452.24369999999</v>
      </c>
    </row>
    <row r="54" spans="1:6">
      <c r="A54" s="348" t="s">
        <v>46</v>
      </c>
      <c r="B54" s="348" t="s">
        <v>47</v>
      </c>
      <c r="C54" s="334">
        <v>0</v>
      </c>
      <c r="D54" s="334">
        <v>0</v>
      </c>
      <c r="E54" s="334">
        <v>1</v>
      </c>
      <c r="F54" s="334">
        <v>617114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394281.55048999999</v>
      </c>
      <c r="E57" s="334">
        <v>30</v>
      </c>
      <c r="F57" s="334">
        <v>392139.49300999998</v>
      </c>
    </row>
    <row r="58" spans="1:6">
      <c r="A58" s="348" t="s">
        <v>49</v>
      </c>
      <c r="B58" s="348" t="s">
        <v>51</v>
      </c>
      <c r="C58" s="334">
        <v>29</v>
      </c>
      <c r="D58" s="334">
        <v>1474951.4704</v>
      </c>
      <c r="E58" s="334">
        <v>42</v>
      </c>
      <c r="F58" s="334">
        <v>658618.08851000003</v>
      </c>
    </row>
    <row r="59" spans="1:6">
      <c r="A59" s="348" t="s">
        <v>49</v>
      </c>
      <c r="B59" s="348" t="s">
        <v>52</v>
      </c>
      <c r="C59" s="334">
        <v>33</v>
      </c>
      <c r="D59" s="334">
        <v>990770.78026999999</v>
      </c>
      <c r="E59" s="334">
        <v>57</v>
      </c>
      <c r="F59" s="334">
        <v>1323929.1821000001</v>
      </c>
    </row>
    <row r="60" spans="1:6">
      <c r="A60" s="348" t="s">
        <v>49</v>
      </c>
      <c r="B60" s="348" t="s">
        <v>53</v>
      </c>
      <c r="C60" s="334">
        <v>16</v>
      </c>
      <c r="D60" s="334">
        <v>764432.92030999996</v>
      </c>
      <c r="E60" s="334">
        <v>17</v>
      </c>
      <c r="F60" s="334">
        <v>505606.47399999999</v>
      </c>
    </row>
    <row r="61" spans="1:6">
      <c r="A61" s="348" t="s">
        <v>49</v>
      </c>
      <c r="B61" s="348" t="s">
        <v>54</v>
      </c>
      <c r="C61" s="334">
        <v>123</v>
      </c>
      <c r="D61" s="334">
        <v>5016118.3202</v>
      </c>
      <c r="E61" s="334">
        <v>193</v>
      </c>
      <c r="F61" s="334">
        <v>2440338.4142999998</v>
      </c>
    </row>
    <row r="62" spans="1:6">
      <c r="A62" s="348" t="s">
        <v>49</v>
      </c>
      <c r="B62" s="348" t="s">
        <v>55</v>
      </c>
      <c r="C62" s="334">
        <v>0</v>
      </c>
      <c r="D62" s="334">
        <v>0</v>
      </c>
      <c r="E62" s="334">
        <v>0</v>
      </c>
      <c r="F62" s="334">
        <v>0</v>
      </c>
    </row>
    <row r="63" spans="1:6">
      <c r="A63" s="348" t="s">
        <v>49</v>
      </c>
      <c r="B63" s="348" t="s">
        <v>29</v>
      </c>
      <c r="C63" s="334">
        <v>80</v>
      </c>
      <c r="D63" s="334">
        <v>3999389.3731</v>
      </c>
      <c r="E63" s="334">
        <v>77</v>
      </c>
      <c r="F63" s="334">
        <v>1991561.3274999999</v>
      </c>
    </row>
    <row r="64" spans="1:6">
      <c r="A64" s="348" t="s">
        <v>56</v>
      </c>
      <c r="B64" s="348" t="s">
        <v>57</v>
      </c>
      <c r="C64" s="334">
        <v>0</v>
      </c>
      <c r="D64" s="334">
        <v>0</v>
      </c>
      <c r="E64" s="334">
        <v>0</v>
      </c>
      <c r="F64" s="334">
        <v>0</v>
      </c>
    </row>
    <row r="65" spans="1:6">
      <c r="A65" s="348" t="s">
        <v>56</v>
      </c>
      <c r="B65" s="348" t="s">
        <v>29</v>
      </c>
      <c r="C65" s="334">
        <v>0</v>
      </c>
      <c r="D65" s="334">
        <v>0</v>
      </c>
      <c r="E65" s="334">
        <v>3</v>
      </c>
      <c r="F65" s="334">
        <v>26478.725867000001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14146809</v>
      </c>
      <c r="E73" s="475">
        <v>12526522.273578998</v>
      </c>
    </row>
    <row r="74" spans="1:6">
      <c r="A74" s="348" t="s">
        <v>64</v>
      </c>
      <c r="B74" s="348" t="s">
        <v>667</v>
      </c>
      <c r="C74" s="1294" t="s">
        <v>669</v>
      </c>
      <c r="D74" s="475">
        <v>427163.13950079272</v>
      </c>
      <c r="E74" s="475">
        <v>396840.64119546337</v>
      </c>
    </row>
    <row r="75" spans="1:6">
      <c r="A75" s="348" t="s">
        <v>65</v>
      </c>
      <c r="B75" s="348" t="s">
        <v>666</v>
      </c>
      <c r="C75" s="1294" t="s">
        <v>670</v>
      </c>
      <c r="D75" s="475">
        <v>3566181</v>
      </c>
      <c r="E75" s="475">
        <v>3176505.2942970293</v>
      </c>
    </row>
    <row r="76" spans="1:6">
      <c r="A76" s="348" t="s">
        <v>65</v>
      </c>
      <c r="B76" s="348" t="s">
        <v>667</v>
      </c>
      <c r="C76" s="1294" t="s">
        <v>671</v>
      </c>
      <c r="D76" s="475">
        <v>5489.1</v>
      </c>
      <c r="E76" s="475">
        <v>5156.2500353388086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251707.72099841459</v>
      </c>
      <c r="C83" s="475">
        <v>251707.72099841459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1078.0070494946513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66</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23623.145113427367</v>
      </c>
      <c r="C3" s="43" t="s">
        <v>170</v>
      </c>
      <c r="D3" s="43"/>
      <c r="E3" s="154"/>
      <c r="F3" s="43"/>
      <c r="G3" s="43"/>
      <c r="H3" s="43"/>
      <c r="I3" s="43"/>
      <c r="J3" s="43"/>
      <c r="K3" s="96"/>
    </row>
    <row r="4" spans="1:11">
      <c r="A4" s="383" t="s">
        <v>171</v>
      </c>
      <c r="B4" s="49">
        <f>IF(ISERROR('SEAP template'!B78+'SEAP template'!C78),0,'SEAP template'!B78+'SEAP template'!C78)</f>
        <v>1165.3070494946512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0.21009828235394715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617.11400000000003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0.21009828235394715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129.65459141657374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12937.551394</v>
      </c>
      <c r="C5" s="17">
        <f>IF(ISERROR('Eigen informatie GS &amp; warmtenet'!B57),0,'Eigen informatie GS &amp; warmtenet'!B57)</f>
        <v>0</v>
      </c>
      <c r="D5" s="30">
        <f>(SUM(HH_hh_gas_kWh,HH_rest_gas_kWh)/1000)*0.902</f>
        <v>44978.556772050004</v>
      </c>
      <c r="E5" s="17">
        <f>B46*B57</f>
        <v>176.86814404104743</v>
      </c>
      <c r="F5" s="17">
        <f>B51*B62</f>
        <v>2456.1233525485077</v>
      </c>
      <c r="G5" s="18"/>
      <c r="H5" s="17"/>
      <c r="I5" s="17"/>
      <c r="J5" s="17">
        <f>B50*B61+C50*C61</f>
        <v>0</v>
      </c>
      <c r="K5" s="17"/>
      <c r="L5" s="17"/>
      <c r="M5" s="17"/>
      <c r="N5" s="17">
        <f>B48*B59+C48*C59</f>
        <v>1506.9515860862803</v>
      </c>
      <c r="O5" s="17">
        <f>B69*B70*B71</f>
        <v>93.8</v>
      </c>
      <c r="P5" s="17">
        <f>B77*B78*B79/1000-B77*B78*B79/1000/B80</f>
        <v>1372.8</v>
      </c>
    </row>
    <row r="6" spans="1:16">
      <c r="A6" s="16" t="s">
        <v>624</v>
      </c>
      <c r="B6" s="788">
        <f>kWh_PV_kleiner_dan_10kW</f>
        <v>1078.0070494946513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14015.55844349465</v>
      </c>
      <c r="C8" s="21">
        <f>C5</f>
        <v>0</v>
      </c>
      <c r="D8" s="21">
        <f>D5</f>
        <v>44978.556772050004</v>
      </c>
      <c r="E8" s="21">
        <f>E5</f>
        <v>176.86814404104743</v>
      </c>
      <c r="F8" s="21">
        <f>F5</f>
        <v>2456.1233525485077</v>
      </c>
      <c r="G8" s="21"/>
      <c r="H8" s="21"/>
      <c r="I8" s="21"/>
      <c r="J8" s="21">
        <f>J5</f>
        <v>0</v>
      </c>
      <c r="K8" s="21"/>
      <c r="L8" s="21">
        <f>L5</f>
        <v>0</v>
      </c>
      <c r="M8" s="21">
        <f>M5</f>
        <v>0</v>
      </c>
      <c r="N8" s="21">
        <f>N5</f>
        <v>1506.9515860862803</v>
      </c>
      <c r="O8" s="21">
        <f>O5</f>
        <v>93.8</v>
      </c>
      <c r="P8" s="21">
        <f>P5</f>
        <v>1372.8</v>
      </c>
    </row>
    <row r="9" spans="1:16">
      <c r="B9" s="19"/>
      <c r="C9" s="19"/>
      <c r="D9" s="258"/>
      <c r="E9" s="19"/>
      <c r="F9" s="19"/>
      <c r="G9" s="19"/>
      <c r="H9" s="19"/>
      <c r="I9" s="19"/>
      <c r="J9" s="19"/>
      <c r="K9" s="19"/>
      <c r="L9" s="19"/>
      <c r="M9" s="19"/>
      <c r="N9" s="19"/>
      <c r="O9" s="19"/>
      <c r="P9" s="19"/>
    </row>
    <row r="10" spans="1:16">
      <c r="A10" s="24" t="s">
        <v>214</v>
      </c>
      <c r="B10" s="25">
        <f ca="1">'EF ele_warmte'!B12</f>
        <v>0.21009828235394715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2944.6447552095869</v>
      </c>
      <c r="C12" s="23">
        <f ca="1">C10*C8</f>
        <v>0</v>
      </c>
      <c r="D12" s="23">
        <f>D8*D10</f>
        <v>9085.6684679541013</v>
      </c>
      <c r="E12" s="23">
        <f>E10*E8</f>
        <v>40.149068697317766</v>
      </c>
      <c r="F12" s="23">
        <f>F10*F8</f>
        <v>655.78493513045157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3226</v>
      </c>
      <c r="C28" s="36"/>
      <c r="D28" s="228"/>
    </row>
    <row r="29" spans="1:7" s="15" customFormat="1">
      <c r="A29" s="230" t="s">
        <v>699</v>
      </c>
      <c r="B29" s="37">
        <f>SUM(HH_hh_gas_aantal,HH_rest_gas_aantal)</f>
        <v>2580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2580</v>
      </c>
      <c r="C32" s="167">
        <f>IF(ISERROR(B32/SUM($B$32,$B$34,$B$35,$B$36,$B$38,$B$39)*100),0,B32/SUM($B$32,$B$34,$B$35,$B$36,$B$38,$B$39)*100)</f>
        <v>81.800887761572611</v>
      </c>
      <c r="D32" s="233"/>
      <c r="G32" s="15"/>
    </row>
    <row r="33" spans="1:7">
      <c r="A33" s="171" t="s">
        <v>72</v>
      </c>
      <c r="B33" s="34" t="s">
        <v>111</v>
      </c>
      <c r="C33" s="167"/>
      <c r="D33" s="233"/>
      <c r="G33" s="15"/>
    </row>
    <row r="34" spans="1:7">
      <c r="A34" s="171" t="s">
        <v>73</v>
      </c>
      <c r="B34" s="33">
        <f>IF((($B$28-$B$32-$B$39-$B$77-$B$38)*C20/100)&lt;0,0,($B$28-$B$32-$B$39-$B$77-$B$38)*C20/100)</f>
        <v>7.8198347107438018</v>
      </c>
      <c r="C34" s="167">
        <f>IF(ISERROR(B34/SUM($B$32,$B$34,$B$35,$B$36,$B$38,$B$39)*100),0,B34/SUM($B$32,$B$34,$B$35,$B$36,$B$38,$B$39)*100)</f>
        <v>0.24793388429752067</v>
      </c>
      <c r="D34" s="233"/>
      <c r="G34" s="15"/>
    </row>
    <row r="35" spans="1:7">
      <c r="A35" s="171" t="s">
        <v>74</v>
      </c>
      <c r="B35" s="33">
        <f>IF((($B$28-$B$32-$B$39-$B$77-$B$38)*C21/100)&lt;0,0,($B$28-$B$32-$B$39-$B$77-$B$38)*C21/100)</f>
        <v>441.8206611570248</v>
      </c>
      <c r="C35" s="167">
        <f>IF(ISERROR(B35/SUM($B$32,$B$34,$B$35,$B$36,$B$38,$B$39)*100),0,B35/SUM($B$32,$B$34,$B$35,$B$36,$B$38,$B$39)*100)</f>
        <v>14.008264462809919</v>
      </c>
      <c r="D35" s="233"/>
      <c r="G35" s="15"/>
    </row>
    <row r="36" spans="1:7">
      <c r="A36" s="171" t="s">
        <v>75</v>
      </c>
      <c r="B36" s="33">
        <f>IF((($B$28-$B$32-$B$39-$B$77-$B$38)*C22/100)&lt;0,0,($B$28-$B$32-$B$39-$B$77-$B$38)*C22/100)</f>
        <v>23.459504132231409</v>
      </c>
      <c r="C36" s="167">
        <f>IF(ISERROR(B36/SUM($B$32,$B$34,$B$35,$B$36,$B$38,$B$39)*100),0,B36/SUM($B$32,$B$34,$B$35,$B$36,$B$38,$B$39)*100)</f>
        <v>0.74380165289256206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100.89999999999998</v>
      </c>
      <c r="C39" s="167">
        <f>IF(ISERROR(B39/SUM($B$32,$B$34,$B$35,$B$36,$B$38,$B$39)*100),0,B39/SUM($B$32,$B$34,$B$35,$B$36,$B$38,$B$39)*100)</f>
        <v>3.1991122384273929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2580</v>
      </c>
      <c r="C44" s="34" t="s">
        <v>111</v>
      </c>
      <c r="D44" s="174"/>
    </row>
    <row r="45" spans="1:7">
      <c r="A45" s="171" t="s">
        <v>72</v>
      </c>
      <c r="B45" s="33" t="str">
        <f t="shared" si="0"/>
        <v>-</v>
      </c>
      <c r="C45" s="34" t="s">
        <v>111</v>
      </c>
      <c r="D45" s="174"/>
    </row>
    <row r="46" spans="1:7">
      <c r="A46" s="171" t="s">
        <v>73</v>
      </c>
      <c r="B46" s="33">
        <f t="shared" si="0"/>
        <v>7.8198347107438018</v>
      </c>
      <c r="C46" s="34" t="s">
        <v>111</v>
      </c>
      <c r="D46" s="174"/>
    </row>
    <row r="47" spans="1:7">
      <c r="A47" s="171" t="s">
        <v>74</v>
      </c>
      <c r="B47" s="33">
        <f t="shared" si="0"/>
        <v>441.8206611570248</v>
      </c>
      <c r="C47" s="34" t="s">
        <v>111</v>
      </c>
      <c r="D47" s="174"/>
    </row>
    <row r="48" spans="1:7">
      <c r="A48" s="171" t="s">
        <v>75</v>
      </c>
      <c r="B48" s="33">
        <f t="shared" si="0"/>
        <v>23.459504132231409</v>
      </c>
      <c r="C48" s="33">
        <f>B48*10</f>
        <v>234.5950413223141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100.89999999999998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7312.1929794199996</v>
      </c>
      <c r="C5" s="17">
        <f>IF(ISERROR('Eigen informatie GS &amp; warmtenet'!B58),0,'Eigen informatie GS &amp; warmtenet'!B58)</f>
        <v>0</v>
      </c>
      <c r="D5" s="30">
        <f>SUM(D6:D12)</f>
        <v>11401.229862122542</v>
      </c>
      <c r="E5" s="17">
        <f>SUM(E6:E12)</f>
        <v>126.20321817633234</v>
      </c>
      <c r="F5" s="17">
        <f>SUM(F6:F12)</f>
        <v>1836.1938446803651</v>
      </c>
      <c r="G5" s="18"/>
      <c r="H5" s="17"/>
      <c r="I5" s="17"/>
      <c r="J5" s="17">
        <f>SUM(J6:J12)</f>
        <v>0</v>
      </c>
      <c r="K5" s="17"/>
      <c r="L5" s="17"/>
      <c r="M5" s="17"/>
      <c r="N5" s="17">
        <f>SUM(N6:N12)</f>
        <v>496.64887086127908</v>
      </c>
      <c r="O5" s="17">
        <f>B38*B39*B40</f>
        <v>1.5633333333333335</v>
      </c>
      <c r="P5" s="17">
        <f>B46*B47*B48/1000-B46*B47*B48/1000/B49</f>
        <v>0</v>
      </c>
      <c r="R5" s="32"/>
    </row>
    <row r="6" spans="1:18">
      <c r="A6" s="32" t="s">
        <v>54</v>
      </c>
      <c r="B6" s="37">
        <f>B26</f>
        <v>2440.3384142999998</v>
      </c>
      <c r="C6" s="33"/>
      <c r="D6" s="37">
        <f>IF(ISERROR(TER_kantoor_gas_kWh/1000),0,TER_kantoor_gas_kWh/1000)*0.902</f>
        <v>4524.5387248204006</v>
      </c>
      <c r="E6" s="33">
        <f>$C$26*'E Balans VL '!I12/100/3.6*1000000</f>
        <v>31.947035904222464</v>
      </c>
      <c r="F6" s="33">
        <f>$C$26*('E Balans VL '!L12+'E Balans VL '!N12)/100/3.6*1000000</f>
        <v>622.26107813132433</v>
      </c>
      <c r="G6" s="34"/>
      <c r="H6" s="33"/>
      <c r="I6" s="33"/>
      <c r="J6" s="33">
        <f>$C$26*('E Balans VL '!D12+'E Balans VL '!E12)/100/3.6*1000000</f>
        <v>0</v>
      </c>
      <c r="K6" s="33"/>
      <c r="L6" s="33"/>
      <c r="M6" s="33"/>
      <c r="N6" s="33">
        <f>$C$26*'E Balans VL '!Y12/100/3.6*1000000</f>
        <v>2.4485561231987734</v>
      </c>
      <c r="O6" s="33"/>
      <c r="P6" s="33"/>
      <c r="R6" s="32"/>
    </row>
    <row r="7" spans="1:18">
      <c r="A7" s="32" t="s">
        <v>53</v>
      </c>
      <c r="B7" s="37">
        <f t="shared" ref="B7:B12" si="0">B27</f>
        <v>505.60647399999999</v>
      </c>
      <c r="C7" s="33"/>
      <c r="D7" s="37">
        <f>IF(ISERROR(TER_horeca_gas_kWh/1000),0,TER_horeca_gas_kWh/1000)*0.902</f>
        <v>689.51849411961996</v>
      </c>
      <c r="E7" s="33">
        <f>$C$27*'E Balans VL '!I9/100/3.6*1000000</f>
        <v>16.732498788389229</v>
      </c>
      <c r="F7" s="33">
        <f>$C$27*('E Balans VL '!L9+'E Balans VL '!N9)/100/3.6*1000000</f>
        <v>217.40884610127915</v>
      </c>
      <c r="G7" s="34"/>
      <c r="H7" s="33"/>
      <c r="I7" s="33"/>
      <c r="J7" s="33">
        <f>$C$27*('E Balans VL '!D9+'E Balans VL '!E9)/100/3.6*1000000</f>
        <v>0</v>
      </c>
      <c r="K7" s="33"/>
      <c r="L7" s="33"/>
      <c r="M7" s="33"/>
      <c r="N7" s="33">
        <f>$C$27*'E Balans VL '!Y9/100/3.6*1000000</f>
        <v>0.12170682050354324</v>
      </c>
      <c r="O7" s="33"/>
      <c r="P7" s="33"/>
      <c r="R7" s="32"/>
    </row>
    <row r="8" spans="1:18">
      <c r="A8" s="6" t="s">
        <v>52</v>
      </c>
      <c r="B8" s="37">
        <f t="shared" si="0"/>
        <v>1323.9291821000002</v>
      </c>
      <c r="C8" s="33"/>
      <c r="D8" s="37">
        <f>IF(ISERROR(TER_handel_gas_kWh/1000),0,TER_handel_gas_kWh/1000)*0.902</f>
        <v>893.67524380353996</v>
      </c>
      <c r="E8" s="33">
        <f>$C$28*'E Balans VL '!I13/100/3.6*1000000</f>
        <v>41.785227890651321</v>
      </c>
      <c r="F8" s="33">
        <f>$C$28*('E Balans VL '!L13+'E Balans VL '!N13)/100/3.6*1000000</f>
        <v>259.64582555531081</v>
      </c>
      <c r="G8" s="34"/>
      <c r="H8" s="33"/>
      <c r="I8" s="33"/>
      <c r="J8" s="33">
        <f>$C$28*('E Balans VL '!D13+'E Balans VL '!E13)/100/3.6*1000000</f>
        <v>0</v>
      </c>
      <c r="K8" s="33"/>
      <c r="L8" s="33"/>
      <c r="M8" s="33"/>
      <c r="N8" s="33">
        <f>$C$28*'E Balans VL '!Y13/100/3.6*1000000</f>
        <v>1.5712469014575099</v>
      </c>
      <c r="O8" s="33"/>
      <c r="P8" s="33"/>
      <c r="R8" s="32"/>
    </row>
    <row r="9" spans="1:18">
      <c r="A9" s="32" t="s">
        <v>51</v>
      </c>
      <c r="B9" s="37">
        <f t="shared" si="0"/>
        <v>658.61808851000001</v>
      </c>
      <c r="C9" s="33"/>
      <c r="D9" s="37">
        <f>IF(ISERROR(TER_gezond_gas_kWh/1000),0,TER_gezond_gas_kWh/1000)*0.902</f>
        <v>1330.4062263008002</v>
      </c>
      <c r="E9" s="33">
        <f>$C$29*'E Balans VL '!I10/100/3.6*1000000</f>
        <v>8.4322382773950863E-2</v>
      </c>
      <c r="F9" s="33">
        <f>$C$29*('E Balans VL '!L10+'E Balans VL '!N10)/100/3.6*1000000</f>
        <v>137.21775305055763</v>
      </c>
      <c r="G9" s="34"/>
      <c r="H9" s="33"/>
      <c r="I9" s="33"/>
      <c r="J9" s="33">
        <f>$C$29*('E Balans VL '!D10+'E Balans VL '!E10)/100/3.6*1000000</f>
        <v>0</v>
      </c>
      <c r="K9" s="33"/>
      <c r="L9" s="33"/>
      <c r="M9" s="33"/>
      <c r="N9" s="33">
        <f>$C$29*'E Balans VL '!Y10/100/3.6*1000000</f>
        <v>7.7357807533843932</v>
      </c>
      <c r="O9" s="33"/>
      <c r="P9" s="33"/>
      <c r="R9" s="32"/>
    </row>
    <row r="10" spans="1:18">
      <c r="A10" s="32" t="s">
        <v>50</v>
      </c>
      <c r="B10" s="37">
        <f t="shared" si="0"/>
        <v>392.13949300999997</v>
      </c>
      <c r="C10" s="33"/>
      <c r="D10" s="37">
        <f>IF(ISERROR(TER_ander_gas_kWh/1000),0,TER_ander_gas_kWh/1000)*0.902</f>
        <v>355.64195854197999</v>
      </c>
      <c r="E10" s="33">
        <f>$C$30*'E Balans VL '!I14/100/3.6*1000000</f>
        <v>0.58968557977261926</v>
      </c>
      <c r="F10" s="33">
        <f>$C$30*('E Balans VL '!L14+'E Balans VL '!N14)/100/3.6*1000000</f>
        <v>86.571759598087908</v>
      </c>
      <c r="G10" s="34"/>
      <c r="H10" s="33"/>
      <c r="I10" s="33"/>
      <c r="J10" s="33">
        <f>$C$30*('E Balans VL '!D14+'E Balans VL '!E14)/100/3.6*1000000</f>
        <v>0</v>
      </c>
      <c r="K10" s="33"/>
      <c r="L10" s="33"/>
      <c r="M10" s="33"/>
      <c r="N10" s="33">
        <f>$C$30*'E Balans VL '!Y14/100/3.6*1000000</f>
        <v>309.03231048475772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1991.5613274999998</v>
      </c>
      <c r="C12" s="33"/>
      <c r="D12" s="37">
        <f>IF(ISERROR(TER_rest_gas_kWh/1000),0,TER_rest_gas_kWh/1000)*0.902</f>
        <v>3607.4492145362001</v>
      </c>
      <c r="E12" s="33">
        <f>$C$32*'E Balans VL '!I8/100/3.6*1000000</f>
        <v>35.064447630522757</v>
      </c>
      <c r="F12" s="33">
        <f>$C$32*('E Balans VL '!L8+'E Balans VL '!N8)/100/3.6*1000000</f>
        <v>513.08858224380526</v>
      </c>
      <c r="G12" s="34"/>
      <c r="H12" s="33"/>
      <c r="I12" s="33"/>
      <c r="J12" s="33">
        <f>$C$32*('E Balans VL '!D8+'E Balans VL '!E8)/100/3.6*1000000</f>
        <v>0</v>
      </c>
      <c r="K12" s="33"/>
      <c r="L12" s="33"/>
      <c r="M12" s="33"/>
      <c r="N12" s="33">
        <f>$C$32*'E Balans VL '!Y8/100/3.6*1000000</f>
        <v>175.73926977797714</v>
      </c>
      <c r="O12" s="33"/>
      <c r="P12" s="33"/>
      <c r="R12" s="32"/>
    </row>
    <row r="13" spans="1:18">
      <c r="A13" s="16" t="s">
        <v>491</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7355.8429794199992</v>
      </c>
      <c r="C16" s="21">
        <f t="shared" ca="1" si="1"/>
        <v>62.357142857142847</v>
      </c>
      <c r="D16" s="21">
        <f t="shared" ca="1" si="1"/>
        <v>11401.229862122542</v>
      </c>
      <c r="E16" s="21">
        <f t="shared" si="1"/>
        <v>126.20321817633234</v>
      </c>
      <c r="F16" s="21">
        <f t="shared" ca="1" si="1"/>
        <v>1836.1938446803651</v>
      </c>
      <c r="G16" s="21">
        <f t="shared" si="1"/>
        <v>0</v>
      </c>
      <c r="H16" s="21">
        <f t="shared" si="1"/>
        <v>0</v>
      </c>
      <c r="I16" s="21">
        <f t="shared" si="1"/>
        <v>0</v>
      </c>
      <c r="J16" s="21">
        <f t="shared" si="1"/>
        <v>0</v>
      </c>
      <c r="K16" s="21">
        <f t="shared" si="1"/>
        <v>0</v>
      </c>
      <c r="L16" s="21">
        <f t="shared" ca="1" si="1"/>
        <v>0</v>
      </c>
      <c r="M16" s="21">
        <f t="shared" si="1"/>
        <v>0</v>
      </c>
      <c r="N16" s="21">
        <f t="shared" ca="1" si="1"/>
        <v>371.93458514699341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0.21009828235394715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1545.4499752414829</v>
      </c>
      <c r="C20" s="23">
        <f t="shared" ref="C20:P20" ca="1" si="2">C16*C18</f>
        <v>0</v>
      </c>
      <c r="D20" s="23">
        <f t="shared" ca="1" si="2"/>
        <v>2303.0484321487538</v>
      </c>
      <c r="E20" s="23">
        <f t="shared" si="2"/>
        <v>28.648130526027444</v>
      </c>
      <c r="F20" s="23">
        <f t="shared" ca="1" si="2"/>
        <v>490.26375652965754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2440.3384142999998</v>
      </c>
      <c r="C26" s="39">
        <f>IF(ISERROR(B26*3.6/1000000/'E Balans VL '!Z12*100),0,B26*3.6/1000000/'E Balans VL '!Z12*100)</f>
        <v>5.2273944659397525E-2</v>
      </c>
      <c r="D26" s="237" t="s">
        <v>660</v>
      </c>
      <c r="F26" s="6"/>
    </row>
    <row r="27" spans="1:18">
      <c r="A27" s="231" t="s">
        <v>53</v>
      </c>
      <c r="B27" s="33">
        <f>IF(ISERROR(TER_horeca_ele_kWh/1000),0,TER_horeca_ele_kWh/1000)</f>
        <v>505.60647399999999</v>
      </c>
      <c r="C27" s="39">
        <f>IF(ISERROR(B27*3.6/1000000/'E Balans VL '!Z9*100),0,B27*3.6/1000000/'E Balans VL '!Z9*100)</f>
        <v>4.057316206833516E-2</v>
      </c>
      <c r="D27" s="237" t="s">
        <v>660</v>
      </c>
      <c r="F27" s="6"/>
    </row>
    <row r="28" spans="1:18">
      <c r="A28" s="171" t="s">
        <v>52</v>
      </c>
      <c r="B28" s="33">
        <f>IF(ISERROR(TER_handel_ele_kWh/1000),0,TER_handel_ele_kWh/1000)</f>
        <v>1323.9291821000002</v>
      </c>
      <c r="C28" s="39">
        <f>IF(ISERROR(B28*3.6/1000000/'E Balans VL '!Z13*100),0,B28*3.6/1000000/'E Balans VL '!Z13*100)</f>
        <v>3.9048317117051756E-2</v>
      </c>
      <c r="D28" s="237" t="s">
        <v>660</v>
      </c>
      <c r="F28" s="6"/>
    </row>
    <row r="29" spans="1:18">
      <c r="A29" s="231" t="s">
        <v>51</v>
      </c>
      <c r="B29" s="33">
        <f>IF(ISERROR(TER_gezond_ele_kWh/1000),0,TER_gezond_ele_kWh/1000)</f>
        <v>658.61808851000001</v>
      </c>
      <c r="C29" s="39">
        <f>IF(ISERROR(B29*3.6/1000000/'E Balans VL '!Z10*100),0,B29*3.6/1000000/'E Balans VL '!Z10*100)</f>
        <v>7.0322753639737501E-2</v>
      </c>
      <c r="D29" s="237" t="s">
        <v>660</v>
      </c>
      <c r="F29" s="6"/>
    </row>
    <row r="30" spans="1:18">
      <c r="A30" s="231" t="s">
        <v>50</v>
      </c>
      <c r="B30" s="33">
        <f>IF(ISERROR(TER_ander_ele_kWh/1000),0,TER_ander_ele_kWh/1000)</f>
        <v>392.13949300999997</v>
      </c>
      <c r="C30" s="39">
        <f>IF(ISERROR(B30*3.6/1000000/'E Balans VL '!Z14*100),0,B30*3.6/1000000/'E Balans VL '!Z14*100)</f>
        <v>2.9619835776721122E-2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1991.5613274999998</v>
      </c>
      <c r="C32" s="39">
        <f>IF(ISERROR(B32*3.6/1000000/'E Balans VL '!Z8*100),0,B32*3.6/1000000/'E Balans VL '!Z8*100)</f>
        <v>1.6512816634117133E-2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918.71739842299985</v>
      </c>
      <c r="C5" s="17">
        <f>IF(ISERROR('Eigen informatie GS &amp; warmtenet'!B59),0,'Eigen informatie GS &amp; warmtenet'!B59)</f>
        <v>0</v>
      </c>
      <c r="D5" s="30">
        <f>SUM(D6:D15)</f>
        <v>1482.9247010450399</v>
      </c>
      <c r="E5" s="17">
        <f>SUM(E6:E15)</f>
        <v>52.011804315491823</v>
      </c>
      <c r="F5" s="17">
        <f>SUM(F6:F15)</f>
        <v>268.13214496658946</v>
      </c>
      <c r="G5" s="18"/>
      <c r="H5" s="17"/>
      <c r="I5" s="17"/>
      <c r="J5" s="17">
        <f>SUM(J6:J15)</f>
        <v>1.7421908393853942</v>
      </c>
      <c r="K5" s="17"/>
      <c r="L5" s="17"/>
      <c r="M5" s="17"/>
      <c r="N5" s="17">
        <f>SUM(N6:N15)</f>
        <v>301.13653859056694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97.741326182999998</v>
      </c>
      <c r="C9" s="33"/>
      <c r="D9" s="37">
        <f>IF( ISERROR(IND_andere_gas_kWh/1000),0,IND_andere_gas_kWh/1000)*0.902</f>
        <v>184.84223298354001</v>
      </c>
      <c r="E9" s="33">
        <f>C31*'E Balans VL '!I19/100/3.6*1000000</f>
        <v>24.941374982456033</v>
      </c>
      <c r="F9" s="33">
        <f>C31*'E Balans VL '!L19/100/3.6*1000000+C31*'E Balans VL '!N19/100/3.6*1000000</f>
        <v>84.147935319878783</v>
      </c>
      <c r="G9" s="34"/>
      <c r="H9" s="33"/>
      <c r="I9" s="33"/>
      <c r="J9" s="40">
        <f>C31*'E Balans VL '!D19/100/3.6*1000000+C31*'E Balans VL '!E19/100/3.6*1000000</f>
        <v>0</v>
      </c>
      <c r="K9" s="33"/>
      <c r="L9" s="33"/>
      <c r="M9" s="33"/>
      <c r="N9" s="33">
        <f>C31*'E Balans VL '!Y19/100/3.6*1000000</f>
        <v>30.567059988258901</v>
      </c>
      <c r="O9" s="33"/>
      <c r="P9" s="33"/>
      <c r="R9" s="32"/>
    </row>
    <row r="10" spans="1:18">
      <c r="A10" s="6" t="s">
        <v>41</v>
      </c>
      <c r="B10" s="37">
        <f t="shared" si="0"/>
        <v>606.07956207999996</v>
      </c>
      <c r="C10" s="33"/>
      <c r="D10" s="37">
        <f>IF( ISERROR(IND_voed_gas_kWh/1000),0,IND_voed_gas_kWh/1000)*0.902</f>
        <v>809.86064095508004</v>
      </c>
      <c r="E10" s="33">
        <f>C32*'E Balans VL '!I20/100/3.6*1000000</f>
        <v>15.407374683510987</v>
      </c>
      <c r="F10" s="33">
        <f>C32*'E Balans VL '!L20/100/3.6*1000000+C32*'E Balans VL '!N20/100/3.6*1000000</f>
        <v>137.14670685986181</v>
      </c>
      <c r="G10" s="34"/>
      <c r="H10" s="33"/>
      <c r="I10" s="33"/>
      <c r="J10" s="40">
        <f>C32*'E Balans VL '!D20/100/3.6*1000000+C32*'E Balans VL '!E20/100/3.6*1000000</f>
        <v>0</v>
      </c>
      <c r="K10" s="33"/>
      <c r="L10" s="33"/>
      <c r="M10" s="33"/>
      <c r="N10" s="33">
        <f>C32*'E Balans VL '!Y20/100/3.6*1000000</f>
        <v>227.29626421272053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214.89651015999999</v>
      </c>
      <c r="C15" s="33"/>
      <c r="D15" s="37">
        <f>IF( ISERROR(IND_rest_gas_kWh/1000),0,IND_rest_gas_kWh/1000)*0.902</f>
        <v>488.22182710641994</v>
      </c>
      <c r="E15" s="33">
        <f>C37*'E Balans VL '!I15/100/3.6*1000000</f>
        <v>11.663054649524801</v>
      </c>
      <c r="F15" s="33">
        <f>C37*'E Balans VL '!L15/100/3.6*1000000+C37*'E Balans VL '!N15/100/3.6*1000000</f>
        <v>46.837502786848859</v>
      </c>
      <c r="G15" s="34"/>
      <c r="H15" s="33"/>
      <c r="I15" s="33"/>
      <c r="J15" s="40">
        <f>C37*'E Balans VL '!D15/100/3.6*1000000+C37*'E Balans VL '!E15/100/3.6*1000000</f>
        <v>1.7421908393853942</v>
      </c>
      <c r="K15" s="33"/>
      <c r="L15" s="33"/>
      <c r="M15" s="33"/>
      <c r="N15" s="33">
        <f>C37*'E Balans VL '!Y15/100/3.6*1000000</f>
        <v>43.273214389587501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918.71739842299985</v>
      </c>
      <c r="C18" s="21">
        <f>C5+C16</f>
        <v>0</v>
      </c>
      <c r="D18" s="21">
        <f>MAX((D5+D16),0)</f>
        <v>1482.9247010450399</v>
      </c>
      <c r="E18" s="21">
        <f>MAX((E5+E16),0)</f>
        <v>52.011804315491823</v>
      </c>
      <c r="F18" s="21">
        <f>MAX((F5+F16),0)</f>
        <v>268.13214496658946</v>
      </c>
      <c r="G18" s="21"/>
      <c r="H18" s="21"/>
      <c r="I18" s="21"/>
      <c r="J18" s="21">
        <f>MAX((J5+J16),0)</f>
        <v>1.7421908393853942</v>
      </c>
      <c r="K18" s="21"/>
      <c r="L18" s="21">
        <f>MAX((L5+L16),0)</f>
        <v>0</v>
      </c>
      <c r="M18" s="21"/>
      <c r="N18" s="21">
        <f>MAX((N5+N16),0)</f>
        <v>301.13653859056694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0.21009828235394715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193.02094737735919</v>
      </c>
      <c r="C22" s="23">
        <f ca="1">C18*C20</f>
        <v>0</v>
      </c>
      <c r="D22" s="23">
        <f>D18*D20</f>
        <v>299.55078961109808</v>
      </c>
      <c r="E22" s="23">
        <f>E18*E20</f>
        <v>11.806679579616643</v>
      </c>
      <c r="F22" s="23">
        <f>F18*F20</f>
        <v>71.591282706079397</v>
      </c>
      <c r="G22" s="23"/>
      <c r="H22" s="23"/>
      <c r="I22" s="23"/>
      <c r="J22" s="23">
        <f>J18*J20</f>
        <v>0.61673555714242956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97.741326182999998</v>
      </c>
      <c r="C31" s="39">
        <f>IF(ISERROR(B31*3.6/1000000/'E Balans VL '!Z19*100),0,B31*3.6/1000000/'E Balans VL '!Z19*100)</f>
        <v>4.1141543568641997E-3</v>
      </c>
      <c r="D31" s="237" t="s">
        <v>660</v>
      </c>
    </row>
    <row r="32" spans="1:18">
      <c r="A32" s="171" t="s">
        <v>41</v>
      </c>
      <c r="B32" s="37">
        <f>IF( ISERROR(IND_voed_ele_kWh/1000),0,IND_voed_ele_kWh/1000)</f>
        <v>606.07956207999996</v>
      </c>
      <c r="C32" s="39">
        <f>IF(ISERROR(B32*3.6/1000000/'E Balans VL '!Z20*100),0,B32*3.6/1000000/'E Balans VL '!Z20*100)</f>
        <v>0.10125244816408538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214.89651015999999</v>
      </c>
      <c r="C37" s="39">
        <f>IF(ISERROR(B37*3.6/1000000/'E Balans VL '!Z15*100),0,B37*3.6/1000000/'E Balans VL '!Z15*100)</f>
        <v>1.7349427382643199E-3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230.30927057900001</v>
      </c>
      <c r="C5" s="17">
        <f>'Eigen informatie GS &amp; warmtenet'!B60</f>
        <v>0</v>
      </c>
      <c r="D5" s="30">
        <f>IF(ISERROR(SUM(LB_lb_gas_kWh,LB_rest_gas_kWh)/1000),0,SUM(LB_lb_gas_kWh,LB_rest_gas_kWh)/1000)*0.902</f>
        <v>104.981628895968</v>
      </c>
      <c r="E5" s="17">
        <f>B17*'E Balans VL '!I25/3.6*1000000/100</f>
        <v>5.9387918028698232</v>
      </c>
      <c r="F5" s="17">
        <f>B17*('E Balans VL '!L25/3.6*1000000+'E Balans VL '!N25/3.6*1000000)/100</f>
        <v>841.82424423622024</v>
      </c>
      <c r="G5" s="18"/>
      <c r="H5" s="17"/>
      <c r="I5" s="17"/>
      <c r="J5" s="17">
        <f>('E Balans VL '!D25+'E Balans VL '!E25)/3.6*1000000*landbouw!B17/100</f>
        <v>33.156062655218221</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230.30927057900001</v>
      </c>
      <c r="C8" s="21">
        <f>C5+C6</f>
        <v>62.357142857142847</v>
      </c>
      <c r="D8" s="21">
        <f>MAX((D5+D6),0)</f>
        <v>104.981628895968</v>
      </c>
      <c r="E8" s="21">
        <f>MAX((E5+E6),0)</f>
        <v>5.9387918028698232</v>
      </c>
      <c r="F8" s="21">
        <f>MAX((F5+F6),0)</f>
        <v>841.82424423622024</v>
      </c>
      <c r="G8" s="21"/>
      <c r="H8" s="21"/>
      <c r="I8" s="21"/>
      <c r="J8" s="21">
        <f>MAX((J5+J6),0)</f>
        <v>33.156062655218221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0.21009828235394715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48.387582158838356</v>
      </c>
      <c r="C12" s="23">
        <f ca="1">C8*C10</f>
        <v>0</v>
      </c>
      <c r="D12" s="23">
        <f>D8*D10</f>
        <v>21.206289036985538</v>
      </c>
      <c r="E12" s="23">
        <f>E8*E10</f>
        <v>1.3481057392514499</v>
      </c>
      <c r="F12" s="23">
        <f>F8*F10</f>
        <v>224.76707321107082</v>
      </c>
      <c r="G12" s="23"/>
      <c r="H12" s="23"/>
      <c r="I12" s="23"/>
      <c r="J12" s="23">
        <f>J8*J10</f>
        <v>11.737246179947249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3.247513268604045E-2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99.784657720952097</v>
      </c>
      <c r="C26" s="247">
        <f>B26*'GWP N2O_CH4'!B5</f>
        <v>2095.4778121399941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20.342545561262625</v>
      </c>
      <c r="C27" s="247">
        <f>B27*'GWP N2O_CH4'!B5</f>
        <v>427.19345678651513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0.99589498396092135</v>
      </c>
      <c r="C28" s="247">
        <f>B28*'GWP N2O_CH4'!B4</f>
        <v>308.72744502788561</v>
      </c>
      <c r="D28" s="50"/>
    </row>
    <row r="29" spans="1:4">
      <c r="A29" s="41" t="s">
        <v>277</v>
      </c>
      <c r="B29" s="247">
        <f>B34*'ha_N2O bodem landbouw'!B4</f>
        <v>0.99061762527885033</v>
      </c>
      <c r="C29" s="247">
        <f>B29*'GWP N2O_CH4'!B4</f>
        <v>307.09146383644361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2.2294279741543138E-4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1.4942800118590783E-5</v>
      </c>
      <c r="C5" s="463" t="s">
        <v>211</v>
      </c>
      <c r="D5" s="448">
        <f>SUM(D6:D11)</f>
        <v>3.4298349115261645E-5</v>
      </c>
      <c r="E5" s="448">
        <f>SUM(E6:E11)</f>
        <v>1.3184487653344451E-4</v>
      </c>
      <c r="F5" s="461" t="s">
        <v>211</v>
      </c>
      <c r="G5" s="448">
        <f>SUM(G6:G11)</f>
        <v>3.490223034107183E-2</v>
      </c>
      <c r="H5" s="448">
        <f>SUM(H6:H11)</f>
        <v>9.1999806017187408E-3</v>
      </c>
      <c r="I5" s="463" t="s">
        <v>211</v>
      </c>
      <c r="J5" s="463" t="s">
        <v>211</v>
      </c>
      <c r="K5" s="463" t="s">
        <v>211</v>
      </c>
      <c r="L5" s="463" t="s">
        <v>211</v>
      </c>
      <c r="M5" s="448">
        <f>SUM(M6:M11)</f>
        <v>1.3753147988972998E-3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1.1934345313969079E-5</v>
      </c>
      <c r="C6" s="449"/>
      <c r="D6" s="892">
        <f>vkm_2011_GW_PW*SUMIFS(TableVerdeelsleutelVkm[CNG],TableVerdeelsleutelVkm[Voertuigtype],"Lichte voertuigen")*SUMIFS(TableECFTransport[EnergieConsumptieFactor (PJ per km)],TableECFTransport[Index],CONCATENATE($A6,"_CNG_CNG"))</f>
        <v>2.3713753187227524E-5</v>
      </c>
      <c r="E6" s="892">
        <f>vkm_2011_GW_PW*SUMIFS(TableVerdeelsleutelVkm[LPG],TableVerdeelsleutelVkm[Voertuigtype],"Lichte voertuigen")*SUMIFS(TableECFTransport[EnergieConsumptieFactor (PJ per km)],TableECFTransport[Index],CONCATENATE($A6,"_LPG_LPG"))</f>
        <v>9.3322119535004249E-5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2.2188797956784714E-2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6.420026400275081E-3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8.9147738474065178E-4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4.0931616462771547E-3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1.3222660450393546E-6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1.2896926062552452E-4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3.008454804621704E-6</v>
      </c>
      <c r="C8" s="449"/>
      <c r="D8" s="451">
        <f>vkm_2011_NGW_PW*SUMIFS(TableVerdeelsleutelVkm[CNG],TableVerdeelsleutelVkm[Voertuigtype],"Lichte voertuigen")*SUMIFS(TableECFTransport[EnergieConsumptieFactor (PJ per km)],TableECFTransport[Index],CONCATENATE($A8,"_CNG_CNG"))</f>
        <v>1.058459592803412E-5</v>
      </c>
      <c r="E8" s="451">
        <f>vkm_2011_NGW_PW*SUMIFS(TableVerdeelsleutelVkm[LPG],TableVerdeelsleutelVkm[Voertuigtype],"Lichte voertuigen")*SUMIFS(TableECFTransport[EnergieConsumptieFactor (PJ per km)],TableECFTransport[Index],CONCATENATE($A8,"_LPG_LPG"))</f>
        <v>3.8522756998440266E-5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8.5531349677794299E-3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2.7786114248515639E-3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3.5275284344125018E-4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6.7135770230525614E-5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2.0510547056694253E-8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2.1153100898732096E-6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4.1507778107196618</v>
      </c>
      <c r="C14" s="21"/>
      <c r="D14" s="21">
        <f t="shared" ref="D14:M14" si="0">((D5)*10^9/3600)+D12</f>
        <v>9.5273191986837915</v>
      </c>
      <c r="E14" s="21">
        <f t="shared" si="0"/>
        <v>36.623576814845698</v>
      </c>
      <c r="F14" s="21"/>
      <c r="G14" s="21">
        <f t="shared" si="0"/>
        <v>9695.0639836310638</v>
      </c>
      <c r="H14" s="21">
        <f t="shared" si="0"/>
        <v>2555.5501671440948</v>
      </c>
      <c r="I14" s="21"/>
      <c r="J14" s="21"/>
      <c r="K14" s="21"/>
      <c r="L14" s="21"/>
      <c r="M14" s="21">
        <f t="shared" si="0"/>
        <v>382.03188858258324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0.21009828235394715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0.87207128846507809</v>
      </c>
      <c r="C18" s="23"/>
      <c r="D18" s="23">
        <f t="shared" ref="D18:M18" si="1">D14*D16</f>
        <v>1.924518478134126</v>
      </c>
      <c r="E18" s="23">
        <f t="shared" si="1"/>
        <v>8.313551936969974</v>
      </c>
      <c r="F18" s="23"/>
      <c r="G18" s="23">
        <f t="shared" si="1"/>
        <v>2588.5820836294943</v>
      </c>
      <c r="H18" s="23">
        <f t="shared" si="1"/>
        <v>636.33199161887956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3.2722684572675837E-3</v>
      </c>
      <c r="H50" s="321">
        <f t="shared" si="2"/>
        <v>0</v>
      </c>
      <c r="I50" s="321">
        <f t="shared" si="2"/>
        <v>0</v>
      </c>
      <c r="J50" s="321">
        <f t="shared" si="2"/>
        <v>0</v>
      </c>
      <c r="K50" s="321">
        <f t="shared" si="2"/>
        <v>0</v>
      </c>
      <c r="L50" s="321">
        <f t="shared" si="2"/>
        <v>0</v>
      </c>
      <c r="M50" s="321">
        <f t="shared" si="2"/>
        <v>1.0149844688406028E-4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3.2722684572675837E-3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1.0149844688406028E-4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908.96346035210661</v>
      </c>
      <c r="H54" s="21">
        <f t="shared" si="3"/>
        <v>0</v>
      </c>
      <c r="I54" s="21">
        <f t="shared" si="3"/>
        <v>0</v>
      </c>
      <c r="J54" s="21">
        <f t="shared" si="3"/>
        <v>0</v>
      </c>
      <c r="K54" s="21">
        <f t="shared" si="3"/>
        <v>0</v>
      </c>
      <c r="L54" s="21">
        <f t="shared" si="3"/>
        <v>0</v>
      </c>
      <c r="M54" s="21">
        <f t="shared" si="3"/>
        <v>28.194013023350077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0.21009828235394715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242.69324391401247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7972.9569794199997</v>
      </c>
      <c r="D10" s="1012">
        <f ca="1">tertiair!C16</f>
        <v>62.357142857142847</v>
      </c>
      <c r="E10" s="1012">
        <f ca="1">tertiair!D16</f>
        <v>11401.229862122542</v>
      </c>
      <c r="F10" s="1012">
        <f>tertiair!E16</f>
        <v>126.20321817633234</v>
      </c>
      <c r="G10" s="1012">
        <f ca="1">tertiair!F16</f>
        <v>1836.1938446803651</v>
      </c>
      <c r="H10" s="1012">
        <f>tertiair!G16</f>
        <v>0</v>
      </c>
      <c r="I10" s="1012">
        <f>tertiair!H16</f>
        <v>0</v>
      </c>
      <c r="J10" s="1012">
        <f>tertiair!I16</f>
        <v>0</v>
      </c>
      <c r="K10" s="1012">
        <f>tertiair!J16</f>
        <v>0</v>
      </c>
      <c r="L10" s="1012">
        <f>tertiair!K16</f>
        <v>0</v>
      </c>
      <c r="M10" s="1012">
        <f ca="1">tertiair!L16</f>
        <v>0</v>
      </c>
      <c r="N10" s="1012">
        <f>tertiair!M16</f>
        <v>0</v>
      </c>
      <c r="O10" s="1012">
        <f ca="1">tertiair!N16</f>
        <v>371.93458514699341</v>
      </c>
      <c r="P10" s="1012">
        <f>tertiair!O16</f>
        <v>1.5633333333333335</v>
      </c>
      <c r="Q10" s="1013">
        <f>tertiair!P16</f>
        <v>0</v>
      </c>
      <c r="R10" s="700">
        <f ca="1">SUM(C10:Q10)</f>
        <v>21772.438965736706</v>
      </c>
      <c r="S10" s="67"/>
    </row>
    <row r="11" spans="1:19" s="473" customFormat="1">
      <c r="A11" s="809" t="s">
        <v>225</v>
      </c>
      <c r="B11" s="814"/>
      <c r="C11" s="1012">
        <f>huishoudens!B8</f>
        <v>14015.55844349465</v>
      </c>
      <c r="D11" s="1012">
        <f>huishoudens!C8</f>
        <v>0</v>
      </c>
      <c r="E11" s="1012">
        <f>huishoudens!D8</f>
        <v>44978.556772050004</v>
      </c>
      <c r="F11" s="1012">
        <f>huishoudens!E8</f>
        <v>176.86814404104743</v>
      </c>
      <c r="G11" s="1012">
        <f>huishoudens!F8</f>
        <v>2456.1233525485077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1506.9515860862803</v>
      </c>
      <c r="P11" s="1012">
        <f>huishoudens!O8</f>
        <v>93.8</v>
      </c>
      <c r="Q11" s="1013">
        <f>huishoudens!P8</f>
        <v>1372.8</v>
      </c>
      <c r="R11" s="700">
        <f>SUM(C11:Q11)</f>
        <v>64600.6582982205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918.71739842299985</v>
      </c>
      <c r="D13" s="1012">
        <f>industrie!C18</f>
        <v>0</v>
      </c>
      <c r="E13" s="1012">
        <f>industrie!D18</f>
        <v>1482.9247010450399</v>
      </c>
      <c r="F13" s="1012">
        <f>industrie!E18</f>
        <v>52.011804315491823</v>
      </c>
      <c r="G13" s="1012">
        <f>industrie!F18</f>
        <v>268.13214496658946</v>
      </c>
      <c r="H13" s="1012">
        <f>industrie!G18</f>
        <v>0</v>
      </c>
      <c r="I13" s="1012">
        <f>industrie!H18</f>
        <v>0</v>
      </c>
      <c r="J13" s="1012">
        <f>industrie!I18</f>
        <v>0</v>
      </c>
      <c r="K13" s="1012">
        <f>industrie!J18</f>
        <v>1.7421908393853942</v>
      </c>
      <c r="L13" s="1012">
        <f>industrie!K18</f>
        <v>0</v>
      </c>
      <c r="M13" s="1012">
        <f>industrie!L18</f>
        <v>0</v>
      </c>
      <c r="N13" s="1012">
        <f>industrie!M18</f>
        <v>0</v>
      </c>
      <c r="O13" s="1012">
        <f>industrie!N18</f>
        <v>301.13653859056694</v>
      </c>
      <c r="P13" s="1012">
        <f>industrie!O18</f>
        <v>0</v>
      </c>
      <c r="Q13" s="1013">
        <f>industrie!P18</f>
        <v>0</v>
      </c>
      <c r="R13" s="700">
        <f>SUM(C13:Q13)</f>
        <v>3024.664778180073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22907.23282133765</v>
      </c>
      <c r="D16" s="732">
        <f t="shared" ref="D16:R16" ca="1" si="0">SUM(D9:D15)</f>
        <v>62.357142857142847</v>
      </c>
      <c r="E16" s="732">
        <f t="shared" ca="1" si="0"/>
        <v>57862.711335217587</v>
      </c>
      <c r="F16" s="732">
        <f t="shared" si="0"/>
        <v>355.08316653287159</v>
      </c>
      <c r="G16" s="732">
        <f t="shared" ca="1" si="0"/>
        <v>4560.4493421954621</v>
      </c>
      <c r="H16" s="732">
        <f t="shared" si="0"/>
        <v>0</v>
      </c>
      <c r="I16" s="732">
        <f t="shared" si="0"/>
        <v>0</v>
      </c>
      <c r="J16" s="732">
        <f t="shared" si="0"/>
        <v>0</v>
      </c>
      <c r="K16" s="732">
        <f t="shared" si="0"/>
        <v>1.7421908393853942</v>
      </c>
      <c r="L16" s="732">
        <f t="shared" si="0"/>
        <v>0</v>
      </c>
      <c r="M16" s="732">
        <f t="shared" ca="1" si="0"/>
        <v>0</v>
      </c>
      <c r="N16" s="732">
        <f t="shared" si="0"/>
        <v>0</v>
      </c>
      <c r="O16" s="732">
        <f t="shared" ca="1" si="0"/>
        <v>2180.0227098238406</v>
      </c>
      <c r="P16" s="732">
        <f t="shared" si="0"/>
        <v>95.36333333333333</v>
      </c>
      <c r="Q16" s="732">
        <f t="shared" si="0"/>
        <v>1372.8</v>
      </c>
      <c r="R16" s="732">
        <f t="shared" ca="1" si="0"/>
        <v>89397.76204213727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908.96346035210661</v>
      </c>
      <c r="I19" s="1012">
        <f>transport!H54</f>
        <v>0</v>
      </c>
      <c r="J19" s="1012">
        <f>transport!I54</f>
        <v>0</v>
      </c>
      <c r="K19" s="1012">
        <f>transport!J54</f>
        <v>0</v>
      </c>
      <c r="L19" s="1012">
        <f>transport!K54</f>
        <v>0</v>
      </c>
      <c r="M19" s="1012">
        <f>transport!L54</f>
        <v>0</v>
      </c>
      <c r="N19" s="1012">
        <f>transport!M54</f>
        <v>28.194013023350077</v>
      </c>
      <c r="O19" s="1012">
        <f>transport!N54</f>
        <v>0</v>
      </c>
      <c r="P19" s="1012">
        <f>transport!O54</f>
        <v>0</v>
      </c>
      <c r="Q19" s="1013">
        <f>transport!P54</f>
        <v>0</v>
      </c>
      <c r="R19" s="700">
        <f>SUM(C19:Q19)</f>
        <v>937.15747337545668</v>
      </c>
      <c r="S19" s="67"/>
    </row>
    <row r="20" spans="1:19" s="473" customFormat="1">
      <c r="A20" s="809" t="s">
        <v>307</v>
      </c>
      <c r="B20" s="814"/>
      <c r="C20" s="1012">
        <f>transport!B14</f>
        <v>4.1507778107196618</v>
      </c>
      <c r="D20" s="1012">
        <f>transport!C14</f>
        <v>0</v>
      </c>
      <c r="E20" s="1012">
        <f>transport!D14</f>
        <v>9.5273191986837915</v>
      </c>
      <c r="F20" s="1012">
        <f>transport!E14</f>
        <v>36.623576814845698</v>
      </c>
      <c r="G20" s="1012">
        <f>transport!F14</f>
        <v>0</v>
      </c>
      <c r="H20" s="1012">
        <f>transport!G14</f>
        <v>9695.0639836310638</v>
      </c>
      <c r="I20" s="1012">
        <f>transport!H14</f>
        <v>2555.5501671440948</v>
      </c>
      <c r="J20" s="1012">
        <f>transport!I14</f>
        <v>0</v>
      </c>
      <c r="K20" s="1012">
        <f>transport!J14</f>
        <v>0</v>
      </c>
      <c r="L20" s="1012">
        <f>transport!K14</f>
        <v>0</v>
      </c>
      <c r="M20" s="1012">
        <f>transport!L14</f>
        <v>0</v>
      </c>
      <c r="N20" s="1012">
        <f>transport!M14</f>
        <v>382.03188858258324</v>
      </c>
      <c r="O20" s="1012">
        <f>transport!N14</f>
        <v>0</v>
      </c>
      <c r="P20" s="1012">
        <f>transport!O14</f>
        <v>0</v>
      </c>
      <c r="Q20" s="1013">
        <f>transport!P14</f>
        <v>0</v>
      </c>
      <c r="R20" s="700">
        <f>SUM(C20:Q20)</f>
        <v>12682.947713181991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4.1507778107196618</v>
      </c>
      <c r="D22" s="812">
        <f t="shared" ref="D22:R22" si="1">SUM(D18:D21)</f>
        <v>0</v>
      </c>
      <c r="E22" s="812">
        <f t="shared" si="1"/>
        <v>9.5273191986837915</v>
      </c>
      <c r="F22" s="812">
        <f t="shared" si="1"/>
        <v>36.623576814845698</v>
      </c>
      <c r="G22" s="812">
        <f t="shared" si="1"/>
        <v>0</v>
      </c>
      <c r="H22" s="812">
        <f t="shared" si="1"/>
        <v>10604.02744398317</v>
      </c>
      <c r="I22" s="812">
        <f t="shared" si="1"/>
        <v>2555.5501671440948</v>
      </c>
      <c r="J22" s="812">
        <f t="shared" si="1"/>
        <v>0</v>
      </c>
      <c r="K22" s="812">
        <f t="shared" si="1"/>
        <v>0</v>
      </c>
      <c r="L22" s="812">
        <f t="shared" si="1"/>
        <v>0</v>
      </c>
      <c r="M22" s="812">
        <f t="shared" si="1"/>
        <v>0</v>
      </c>
      <c r="N22" s="812">
        <f t="shared" si="1"/>
        <v>410.2259016059333</v>
      </c>
      <c r="O22" s="812">
        <f t="shared" si="1"/>
        <v>0</v>
      </c>
      <c r="P22" s="812">
        <f t="shared" si="1"/>
        <v>0</v>
      </c>
      <c r="Q22" s="812">
        <f t="shared" si="1"/>
        <v>0</v>
      </c>
      <c r="R22" s="812">
        <f t="shared" si="1"/>
        <v>13620.105186557448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230.30927057900001</v>
      </c>
      <c r="D24" s="1012">
        <f>+landbouw!C8</f>
        <v>62.357142857142847</v>
      </c>
      <c r="E24" s="1012">
        <f>+landbouw!D8</f>
        <v>104.981628895968</v>
      </c>
      <c r="F24" s="1012">
        <f>+landbouw!E8</f>
        <v>5.9387918028698232</v>
      </c>
      <c r="G24" s="1012">
        <f>+landbouw!F8</f>
        <v>841.82424423622024</v>
      </c>
      <c r="H24" s="1012">
        <f>+landbouw!G8</f>
        <v>0</v>
      </c>
      <c r="I24" s="1012">
        <f>+landbouw!H8</f>
        <v>0</v>
      </c>
      <c r="J24" s="1012">
        <f>+landbouw!I8</f>
        <v>0</v>
      </c>
      <c r="K24" s="1012">
        <f>+landbouw!J8</f>
        <v>33.156062655218221</v>
      </c>
      <c r="L24" s="1012">
        <f>+landbouw!K8</f>
        <v>0</v>
      </c>
      <c r="M24" s="1012">
        <f>+landbouw!L8</f>
        <v>0</v>
      </c>
      <c r="N24" s="1012">
        <f>+landbouw!M8</f>
        <v>0</v>
      </c>
      <c r="O24" s="1012">
        <f>+landbouw!N8</f>
        <v>0</v>
      </c>
      <c r="P24" s="1012">
        <f>+landbouw!O8</f>
        <v>0</v>
      </c>
      <c r="Q24" s="1013">
        <f>+landbouw!P8</f>
        <v>0</v>
      </c>
      <c r="R24" s="700">
        <f>SUM(C24:Q24)</f>
        <v>1278.5671410264192</v>
      </c>
      <c r="S24" s="67"/>
    </row>
    <row r="25" spans="1:19" s="473" customFormat="1" ht="15" thickBot="1">
      <c r="A25" s="831" t="s">
        <v>848</v>
      </c>
      <c r="B25" s="1015"/>
      <c r="C25" s="1016">
        <f>IF(Onbekend_ele_kWh="---",0,Onbekend_ele_kWh)/1000+IF(REST_rest_ele_kWh="---",0,REST_rest_ele_kWh)/1000</f>
        <v>481.4522437</v>
      </c>
      <c r="D25" s="1016"/>
      <c r="E25" s="1016">
        <f>IF(onbekend_gas_kWh="---",0,onbekend_gas_kWh)/1000+IF(REST_rest_gas_kWh="---",0,REST_rest_gas_kWh)/1000</f>
        <v>1518.0795862</v>
      </c>
      <c r="F25" s="1016"/>
      <c r="G25" s="1016"/>
      <c r="H25" s="1016"/>
      <c r="I25" s="1016"/>
      <c r="J25" s="1016"/>
      <c r="K25" s="1016"/>
      <c r="L25" s="1016"/>
      <c r="M25" s="1016"/>
      <c r="N25" s="1016"/>
      <c r="O25" s="1016"/>
      <c r="P25" s="1016"/>
      <c r="Q25" s="1017"/>
      <c r="R25" s="700">
        <f>SUM(C25:Q25)</f>
        <v>1999.5318299</v>
      </c>
      <c r="S25" s="67"/>
    </row>
    <row r="26" spans="1:19" s="473" customFormat="1" ht="15.75" thickBot="1">
      <c r="A26" s="705" t="s">
        <v>849</v>
      </c>
      <c r="B26" s="817"/>
      <c r="C26" s="812">
        <f>SUM(C24:C25)</f>
        <v>711.76151427900004</v>
      </c>
      <c r="D26" s="812">
        <f t="shared" ref="D26:R26" si="2">SUM(D24:D25)</f>
        <v>62.357142857142847</v>
      </c>
      <c r="E26" s="812">
        <f t="shared" si="2"/>
        <v>1623.061215095968</v>
      </c>
      <c r="F26" s="812">
        <f t="shared" si="2"/>
        <v>5.9387918028698232</v>
      </c>
      <c r="G26" s="812">
        <f t="shared" si="2"/>
        <v>841.82424423622024</v>
      </c>
      <c r="H26" s="812">
        <f t="shared" si="2"/>
        <v>0</v>
      </c>
      <c r="I26" s="812">
        <f t="shared" si="2"/>
        <v>0</v>
      </c>
      <c r="J26" s="812">
        <f t="shared" si="2"/>
        <v>0</v>
      </c>
      <c r="K26" s="812">
        <f t="shared" si="2"/>
        <v>33.156062655218221</v>
      </c>
      <c r="L26" s="812">
        <f t="shared" si="2"/>
        <v>0</v>
      </c>
      <c r="M26" s="812">
        <f t="shared" si="2"/>
        <v>0</v>
      </c>
      <c r="N26" s="812">
        <f t="shared" si="2"/>
        <v>0</v>
      </c>
      <c r="O26" s="812">
        <f t="shared" si="2"/>
        <v>0</v>
      </c>
      <c r="P26" s="812">
        <f t="shared" si="2"/>
        <v>0</v>
      </c>
      <c r="Q26" s="812">
        <f t="shared" si="2"/>
        <v>0</v>
      </c>
      <c r="R26" s="812">
        <f t="shared" si="2"/>
        <v>3278.0989709264195</v>
      </c>
      <c r="S26" s="67"/>
    </row>
    <row r="27" spans="1:19" s="473" customFormat="1" ht="17.25" thickTop="1" thickBot="1">
      <c r="A27" s="706" t="s">
        <v>116</v>
      </c>
      <c r="B27" s="805"/>
      <c r="C27" s="707">
        <f ca="1">C22+C16+C26</f>
        <v>23623.145113427367</v>
      </c>
      <c r="D27" s="707">
        <f t="shared" ref="D27:R27" ca="1" si="3">D22+D16+D26</f>
        <v>124.71428571428569</v>
      </c>
      <c r="E27" s="707">
        <f t="shared" ca="1" si="3"/>
        <v>59495.299869512244</v>
      </c>
      <c r="F27" s="707">
        <f t="shared" si="3"/>
        <v>397.64553515058714</v>
      </c>
      <c r="G27" s="707">
        <f t="shared" ca="1" si="3"/>
        <v>5402.2735864316819</v>
      </c>
      <c r="H27" s="707">
        <f t="shared" si="3"/>
        <v>10604.02744398317</v>
      </c>
      <c r="I27" s="707">
        <f t="shared" si="3"/>
        <v>2555.5501671440948</v>
      </c>
      <c r="J27" s="707">
        <f t="shared" si="3"/>
        <v>0</v>
      </c>
      <c r="K27" s="707">
        <f t="shared" si="3"/>
        <v>34.898253494603615</v>
      </c>
      <c r="L27" s="707">
        <f t="shared" si="3"/>
        <v>0</v>
      </c>
      <c r="M27" s="707">
        <f t="shared" ca="1" si="3"/>
        <v>0</v>
      </c>
      <c r="N27" s="707">
        <f t="shared" si="3"/>
        <v>410.2259016059333</v>
      </c>
      <c r="O27" s="707">
        <f t="shared" ca="1" si="3"/>
        <v>2180.0227098238406</v>
      </c>
      <c r="P27" s="707">
        <f t="shared" si="3"/>
        <v>95.36333333333333</v>
      </c>
      <c r="Q27" s="707">
        <f t="shared" si="3"/>
        <v>1372.8</v>
      </c>
      <c r="R27" s="707">
        <f t="shared" ca="1" si="3"/>
        <v>106295.96619962115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1675.1045666580567</v>
      </c>
      <c r="D40" s="1012">
        <f ca="1">tertiair!C20</f>
        <v>0</v>
      </c>
      <c r="E40" s="1012">
        <f ca="1">tertiair!D20</f>
        <v>2303.0484321487538</v>
      </c>
      <c r="F40" s="1012">
        <f>tertiair!E20</f>
        <v>28.648130526027444</v>
      </c>
      <c r="G40" s="1012">
        <f ca="1">tertiair!F20</f>
        <v>490.26375652965754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4497.0648858624954</v>
      </c>
    </row>
    <row r="41" spans="1:18">
      <c r="A41" s="822" t="s">
        <v>225</v>
      </c>
      <c r="B41" s="829"/>
      <c r="C41" s="1012">
        <f ca="1">huishoudens!B12</f>
        <v>2944.6447552095869</v>
      </c>
      <c r="D41" s="1012">
        <f ca="1">huishoudens!C12</f>
        <v>0</v>
      </c>
      <c r="E41" s="1012">
        <f>huishoudens!D12</f>
        <v>9085.6684679541013</v>
      </c>
      <c r="F41" s="1012">
        <f>huishoudens!E12</f>
        <v>40.149068697317766</v>
      </c>
      <c r="G41" s="1012">
        <f>huishoudens!F12</f>
        <v>655.78493513045157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12726.247226991458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193.02094737735919</v>
      </c>
      <c r="D43" s="1012">
        <f ca="1">industrie!C22</f>
        <v>0</v>
      </c>
      <c r="E43" s="1012">
        <f>industrie!D22</f>
        <v>299.55078961109808</v>
      </c>
      <c r="F43" s="1012">
        <f>industrie!E22</f>
        <v>11.806679579616643</v>
      </c>
      <c r="G43" s="1012">
        <f>industrie!F22</f>
        <v>71.591282706079397</v>
      </c>
      <c r="H43" s="1012">
        <f>industrie!G22</f>
        <v>0</v>
      </c>
      <c r="I43" s="1012">
        <f>industrie!H22</f>
        <v>0</v>
      </c>
      <c r="J43" s="1012">
        <f>industrie!I22</f>
        <v>0</v>
      </c>
      <c r="K43" s="1012">
        <f>industrie!J22</f>
        <v>0.61673555714242956</v>
      </c>
      <c r="L43" s="1012">
        <f>industrie!K22</f>
        <v>0</v>
      </c>
      <c r="M43" s="1012">
        <f>industrie!L22</f>
        <v>0</v>
      </c>
      <c r="N43" s="1012">
        <f>industrie!M22</f>
        <v>0</v>
      </c>
      <c r="O43" s="1012">
        <f>industrie!N22</f>
        <v>0</v>
      </c>
      <c r="P43" s="1012">
        <f>industrie!O22</f>
        <v>0</v>
      </c>
      <c r="Q43" s="774">
        <f>industrie!P22</f>
        <v>0</v>
      </c>
      <c r="R43" s="849">
        <f t="shared" ca="1" si="4"/>
        <v>576.58643483129572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4812.770269245003</v>
      </c>
      <c r="D46" s="732">
        <f t="shared" ref="D46:Q46" ca="1" si="5">SUM(D39:D45)</f>
        <v>0</v>
      </c>
      <c r="E46" s="732">
        <f t="shared" ca="1" si="5"/>
        <v>11688.267689713954</v>
      </c>
      <c r="F46" s="732">
        <f t="shared" si="5"/>
        <v>80.603878802961859</v>
      </c>
      <c r="G46" s="732">
        <f t="shared" ca="1" si="5"/>
        <v>1217.6399743661887</v>
      </c>
      <c r="H46" s="732">
        <f t="shared" si="5"/>
        <v>0</v>
      </c>
      <c r="I46" s="732">
        <f t="shared" si="5"/>
        <v>0</v>
      </c>
      <c r="J46" s="732">
        <f t="shared" si="5"/>
        <v>0</v>
      </c>
      <c r="K46" s="732">
        <f t="shared" si="5"/>
        <v>0.61673555714242956</v>
      </c>
      <c r="L46" s="732">
        <f t="shared" si="5"/>
        <v>0</v>
      </c>
      <c r="M46" s="732">
        <f t="shared" ca="1" si="5"/>
        <v>0</v>
      </c>
      <c r="N46" s="732">
        <f t="shared" si="5"/>
        <v>0</v>
      </c>
      <c r="O46" s="732">
        <f t="shared" ca="1" si="5"/>
        <v>0</v>
      </c>
      <c r="P46" s="732">
        <f t="shared" si="5"/>
        <v>0</v>
      </c>
      <c r="Q46" s="732">
        <f t="shared" si="5"/>
        <v>0</v>
      </c>
      <c r="R46" s="732">
        <f ca="1">SUM(R39:R45)</f>
        <v>17799.89854768525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242.69324391401247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242.69324391401247</v>
      </c>
    </row>
    <row r="50" spans="1:18">
      <c r="A50" s="825" t="s">
        <v>307</v>
      </c>
      <c r="B50" s="835"/>
      <c r="C50" s="703">
        <f ca="1">transport!B18</f>
        <v>0.87207128846507809</v>
      </c>
      <c r="D50" s="703">
        <f>transport!C18</f>
        <v>0</v>
      </c>
      <c r="E50" s="703">
        <f>transport!D18</f>
        <v>1.924518478134126</v>
      </c>
      <c r="F50" s="703">
        <f>transport!E18</f>
        <v>8.313551936969974</v>
      </c>
      <c r="G50" s="703">
        <f>transport!F18</f>
        <v>0</v>
      </c>
      <c r="H50" s="703">
        <f>transport!G18</f>
        <v>2588.5820836294943</v>
      </c>
      <c r="I50" s="703">
        <f>transport!H18</f>
        <v>636.33199161887956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3236.0242169519433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0.87207128846507809</v>
      </c>
      <c r="D52" s="732">
        <f t="shared" ref="D52:Q52" ca="1" si="6">SUM(D48:D51)</f>
        <v>0</v>
      </c>
      <c r="E52" s="732">
        <f t="shared" si="6"/>
        <v>1.924518478134126</v>
      </c>
      <c r="F52" s="732">
        <f t="shared" si="6"/>
        <v>8.313551936969974</v>
      </c>
      <c r="G52" s="732">
        <f t="shared" si="6"/>
        <v>0</v>
      </c>
      <c r="H52" s="732">
        <f t="shared" si="6"/>
        <v>2831.2753275435066</v>
      </c>
      <c r="I52" s="732">
        <f t="shared" si="6"/>
        <v>636.33199161887956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3478.7174608659557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48.387582158838356</v>
      </c>
      <c r="D54" s="703">
        <f ca="1">+landbouw!C12</f>
        <v>0</v>
      </c>
      <c r="E54" s="703">
        <f>+landbouw!D12</f>
        <v>21.206289036985538</v>
      </c>
      <c r="F54" s="703">
        <f>+landbouw!E12</f>
        <v>1.3481057392514499</v>
      </c>
      <c r="G54" s="703">
        <f>+landbouw!F12</f>
        <v>224.76707321107082</v>
      </c>
      <c r="H54" s="703">
        <f>+landbouw!G12</f>
        <v>0</v>
      </c>
      <c r="I54" s="703">
        <f>+landbouw!H12</f>
        <v>0</v>
      </c>
      <c r="J54" s="703">
        <f>+landbouw!I12</f>
        <v>0</v>
      </c>
      <c r="K54" s="703">
        <f>+landbouw!J12</f>
        <v>11.737246179947249</v>
      </c>
      <c r="L54" s="703">
        <f>+landbouw!K12</f>
        <v>0</v>
      </c>
      <c r="M54" s="703">
        <f>+landbouw!L12</f>
        <v>0</v>
      </c>
      <c r="N54" s="703">
        <f>+landbouw!M12</f>
        <v>0</v>
      </c>
      <c r="O54" s="703">
        <f>+landbouw!N12</f>
        <v>0</v>
      </c>
      <c r="P54" s="703">
        <f>+landbouw!O12</f>
        <v>0</v>
      </c>
      <c r="Q54" s="704">
        <f>+landbouw!P12</f>
        <v>0</v>
      </c>
      <c r="R54" s="731">
        <f ca="1">SUM(C54:Q54)</f>
        <v>307.44629632609343</v>
      </c>
    </row>
    <row r="55" spans="1:18" ht="15" thickBot="1">
      <c r="A55" s="825" t="s">
        <v>848</v>
      </c>
      <c r="B55" s="835"/>
      <c r="C55" s="703">
        <f ca="1">C25*'EF ele_warmte'!B12</f>
        <v>101.15228943682398</v>
      </c>
      <c r="D55" s="703"/>
      <c r="E55" s="703">
        <f>E25*EF_CO2_aardgas</f>
        <v>306.65207641239999</v>
      </c>
      <c r="F55" s="703"/>
      <c r="G55" s="703"/>
      <c r="H55" s="703"/>
      <c r="I55" s="703"/>
      <c r="J55" s="703"/>
      <c r="K55" s="703"/>
      <c r="L55" s="703"/>
      <c r="M55" s="703"/>
      <c r="N55" s="703"/>
      <c r="O55" s="703"/>
      <c r="P55" s="703"/>
      <c r="Q55" s="704"/>
      <c r="R55" s="731">
        <f ca="1">SUM(C55:Q55)</f>
        <v>407.80436584922398</v>
      </c>
    </row>
    <row r="56" spans="1:18" ht="15.75" thickBot="1">
      <c r="A56" s="823" t="s">
        <v>849</v>
      </c>
      <c r="B56" s="836"/>
      <c r="C56" s="732">
        <f ca="1">SUM(C54:C55)</f>
        <v>149.53987159566233</v>
      </c>
      <c r="D56" s="732">
        <f t="shared" ref="D56:Q56" ca="1" si="7">SUM(D54:D55)</f>
        <v>0</v>
      </c>
      <c r="E56" s="732">
        <f t="shared" si="7"/>
        <v>327.85836544938553</v>
      </c>
      <c r="F56" s="732">
        <f t="shared" si="7"/>
        <v>1.3481057392514499</v>
      </c>
      <c r="G56" s="732">
        <f t="shared" si="7"/>
        <v>224.76707321107082</v>
      </c>
      <c r="H56" s="732">
        <f t="shared" si="7"/>
        <v>0</v>
      </c>
      <c r="I56" s="732">
        <f t="shared" si="7"/>
        <v>0</v>
      </c>
      <c r="J56" s="732">
        <f t="shared" si="7"/>
        <v>0</v>
      </c>
      <c r="K56" s="732">
        <f t="shared" si="7"/>
        <v>11.737246179947249</v>
      </c>
      <c r="L56" s="732">
        <f t="shared" si="7"/>
        <v>0</v>
      </c>
      <c r="M56" s="732">
        <f t="shared" si="7"/>
        <v>0</v>
      </c>
      <c r="N56" s="732">
        <f t="shared" si="7"/>
        <v>0</v>
      </c>
      <c r="O56" s="732">
        <f t="shared" si="7"/>
        <v>0</v>
      </c>
      <c r="P56" s="732">
        <f t="shared" si="7"/>
        <v>0</v>
      </c>
      <c r="Q56" s="733">
        <f t="shared" si="7"/>
        <v>0</v>
      </c>
      <c r="R56" s="734">
        <f ca="1">SUM(R54:R55)</f>
        <v>715.25066217531742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4963.1822121291307</v>
      </c>
      <c r="D61" s="740">
        <f t="shared" ref="D61:Q61" ca="1" si="8">D46+D52+D56</f>
        <v>0</v>
      </c>
      <c r="E61" s="740">
        <f t="shared" ca="1" si="8"/>
        <v>12018.050573641473</v>
      </c>
      <c r="F61" s="740">
        <f t="shared" si="8"/>
        <v>90.265536479183282</v>
      </c>
      <c r="G61" s="740">
        <f t="shared" ca="1" si="8"/>
        <v>1442.4070475772594</v>
      </c>
      <c r="H61" s="740">
        <f t="shared" si="8"/>
        <v>2831.2753275435066</v>
      </c>
      <c r="I61" s="740">
        <f t="shared" si="8"/>
        <v>636.33199161887956</v>
      </c>
      <c r="J61" s="740">
        <f t="shared" si="8"/>
        <v>0</v>
      </c>
      <c r="K61" s="740">
        <f t="shared" si="8"/>
        <v>12.353981737089679</v>
      </c>
      <c r="L61" s="740">
        <f t="shared" si="8"/>
        <v>0</v>
      </c>
      <c r="M61" s="740">
        <f t="shared" ca="1" si="8"/>
        <v>0</v>
      </c>
      <c r="N61" s="740">
        <f t="shared" si="8"/>
        <v>0</v>
      </c>
      <c r="O61" s="740">
        <f t="shared" ca="1" si="8"/>
        <v>0</v>
      </c>
      <c r="P61" s="740">
        <f t="shared" si="8"/>
        <v>0</v>
      </c>
      <c r="Q61" s="740">
        <f t="shared" si="8"/>
        <v>0</v>
      </c>
      <c r="R61" s="740">
        <f ca="1">R46+R52+R56</f>
        <v>21993.866670726522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0.2100982823539472</v>
      </c>
      <c r="D63" s="781">
        <f t="shared" ca="1" si="9"/>
        <v>0</v>
      </c>
      <c r="E63" s="1023">
        <f t="shared" ca="1" si="9"/>
        <v>0.20199999999999999</v>
      </c>
      <c r="F63" s="781">
        <f t="shared" si="9"/>
        <v>0.22700000000000001</v>
      </c>
      <c r="G63" s="781">
        <f t="shared" ca="1" si="9"/>
        <v>0.26700000000000007</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1078.0070494946513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87.299999999999983</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102.70588235294116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1165.3070494946512</v>
      </c>
      <c r="C78" s="755">
        <f>SUM(C72:C77)</f>
        <v>0</v>
      </c>
      <c r="D78" s="756">
        <f t="shared" ref="D78:H78" si="10">SUM(D76:D77)</f>
        <v>0</v>
      </c>
      <c r="E78" s="756">
        <f t="shared" si="10"/>
        <v>0</v>
      </c>
      <c r="F78" s="756">
        <f t="shared" si="10"/>
        <v>0</v>
      </c>
      <c r="G78" s="756">
        <f t="shared" si="10"/>
        <v>0</v>
      </c>
      <c r="H78" s="756">
        <f t="shared" si="10"/>
        <v>0</v>
      </c>
      <c r="I78" s="756">
        <f>SUM(I76:I77)</f>
        <v>0</v>
      </c>
      <c r="J78" s="756">
        <f>SUM(J76:J77)</f>
        <v>102.70588235294116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124.71428571428569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0</v>
      </c>
      <c r="D90" s="755">
        <f t="shared" ref="D90:H90" si="12">SUM(D87:D89)</f>
        <v>0</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1078.0070494946513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87.299999999999983</v>
      </c>
      <c r="C8" s="570">
        <f>B101</f>
        <v>0</v>
      </c>
      <c r="D8" s="1043"/>
      <c r="E8" s="1043">
        <f>E101</f>
        <v>0</v>
      </c>
      <c r="F8" s="1044"/>
      <c r="G8" s="571"/>
      <c r="H8" s="1043">
        <f>I101</f>
        <v>0</v>
      </c>
      <c r="I8" s="1043">
        <f>G101+F101</f>
        <v>0</v>
      </c>
      <c r="J8" s="1043">
        <f>H101+D101+C101</f>
        <v>102.70588235294116</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1165.3070494946512</v>
      </c>
      <c r="C10" s="583">
        <f t="shared" ref="C10:L10" si="0">SUM(C8:C9)</f>
        <v>0</v>
      </c>
      <c r="D10" s="583">
        <f t="shared" si="0"/>
        <v>0</v>
      </c>
      <c r="E10" s="583">
        <f t="shared" si="0"/>
        <v>0</v>
      </c>
      <c r="F10" s="583">
        <f t="shared" si="0"/>
        <v>0</v>
      </c>
      <c r="G10" s="583">
        <f t="shared" si="0"/>
        <v>0</v>
      </c>
      <c r="H10" s="583">
        <f t="shared" si="0"/>
        <v>0</v>
      </c>
      <c r="I10" s="583">
        <f t="shared" si="0"/>
        <v>0</v>
      </c>
      <c r="J10" s="583">
        <f t="shared" si="0"/>
        <v>102.70588235294116</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124.71428571428569</v>
      </c>
      <c r="C17" s="595">
        <f>B102</f>
        <v>0</v>
      </c>
      <c r="D17" s="596"/>
      <c r="E17" s="596">
        <f>E102</f>
        <v>0</v>
      </c>
      <c r="F17" s="1049"/>
      <c r="G17" s="597"/>
      <c r="H17" s="595">
        <f>I102</f>
        <v>0</v>
      </c>
      <c r="I17" s="596">
        <f>G102+F102</f>
        <v>0</v>
      </c>
      <c r="J17" s="596">
        <f>H102+D102+C102</f>
        <v>146.72268907563023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124.71428571428569</v>
      </c>
      <c r="C20" s="582">
        <f>SUM(C17:C19)</f>
        <v>0</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11021</v>
      </c>
      <c r="C28" s="796">
        <v>2540</v>
      </c>
      <c r="D28" s="653" t="s">
        <v>890</v>
      </c>
      <c r="E28" s="652" t="s">
        <v>891</v>
      </c>
      <c r="F28" s="652" t="s">
        <v>892</v>
      </c>
      <c r="G28" s="652" t="s">
        <v>893</v>
      </c>
      <c r="H28" s="652" t="s">
        <v>894</v>
      </c>
      <c r="I28" s="652" t="s">
        <v>895</v>
      </c>
      <c r="J28" s="795">
        <v>40545</v>
      </c>
      <c r="K28" s="795">
        <v>40634</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1600</v>
      </c>
      <c r="Y28" s="652" t="s">
        <v>50</v>
      </c>
      <c r="Z28" s="654" t="s">
        <v>156</v>
      </c>
    </row>
    <row r="29" spans="1:26" s="606" customFormat="1" ht="25.5">
      <c r="A29" s="605"/>
      <c r="B29" s="796">
        <v>11021</v>
      </c>
      <c r="C29" s="796">
        <v>2540</v>
      </c>
      <c r="D29" s="653" t="s">
        <v>890</v>
      </c>
      <c r="E29" s="652" t="s">
        <v>891</v>
      </c>
      <c r="F29" s="652" t="s">
        <v>897</v>
      </c>
      <c r="G29" s="652" t="s">
        <v>893</v>
      </c>
      <c r="H29" s="652" t="s">
        <v>894</v>
      </c>
      <c r="I29" s="652" t="s">
        <v>898</v>
      </c>
      <c r="J29" s="795">
        <v>41071</v>
      </c>
      <c r="K29" s="795">
        <v>41214</v>
      </c>
      <c r="L29" s="652" t="s">
        <v>896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19.399999999999999</v>
      </c>
      <c r="N58" s="610">
        <f>SUM(N28:N57)</f>
        <v>87.299999999999983</v>
      </c>
      <c r="O58" s="610">
        <f t="shared" ref="O58:W58" si="2">SUM(O28:O57)</f>
        <v>124.71428571428569</v>
      </c>
      <c r="P58" s="610">
        <f t="shared" si="2"/>
        <v>0</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9.6999999999999993</v>
      </c>
      <c r="N60" s="610">
        <f ca="1">SUMIF($Z$28:AD57,"tertiair",N28:N57)</f>
        <v>43.649999999999991</v>
      </c>
      <c r="O60" s="610">
        <f ca="1">SUMIF($Z$28:AE57,"tertiair",O28:O57)</f>
        <v>62.357142857142847</v>
      </c>
      <c r="P60" s="610">
        <f ca="1">SUMIF($Z$28:AF57,"tertiair",P28:P57)</f>
        <v>0</v>
      </c>
      <c r="Q60" s="610">
        <f ca="1">SUMIF($Z$28:AG57,"tertiair",Q28:Q57)</f>
        <v>124.71428571428569</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102.70588235294116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14015.55844349465</v>
      </c>
      <c r="C4" s="477">
        <f>huishoudens!C8</f>
        <v>0</v>
      </c>
      <c r="D4" s="477">
        <f>huishoudens!D8</f>
        <v>44978.556772050004</v>
      </c>
      <c r="E4" s="477">
        <f>huishoudens!E8</f>
        <v>176.86814404104743</v>
      </c>
      <c r="F4" s="477">
        <f>huishoudens!F8</f>
        <v>2456.1233525485077</v>
      </c>
      <c r="G4" s="477">
        <f>huishoudens!G8</f>
        <v>0</v>
      </c>
      <c r="H4" s="477">
        <f>huishoudens!H8</f>
        <v>0</v>
      </c>
      <c r="I4" s="477">
        <f>huishoudens!I8</f>
        <v>0</v>
      </c>
      <c r="J4" s="477">
        <f>huishoudens!J8</f>
        <v>0</v>
      </c>
      <c r="K4" s="477">
        <f>huishoudens!K8</f>
        <v>0</v>
      </c>
      <c r="L4" s="477">
        <f>huishoudens!L8</f>
        <v>0</v>
      </c>
      <c r="M4" s="477">
        <f>huishoudens!M8</f>
        <v>0</v>
      </c>
      <c r="N4" s="477">
        <f>huishoudens!N8</f>
        <v>1506.9515860862803</v>
      </c>
      <c r="O4" s="477">
        <f>huishoudens!O8</f>
        <v>93.8</v>
      </c>
      <c r="P4" s="478">
        <f>huishoudens!P8</f>
        <v>1372.8</v>
      </c>
      <c r="Q4" s="479">
        <f>SUM(B4:P4)</f>
        <v>64600.6582982205</v>
      </c>
    </row>
    <row r="5" spans="1:17">
      <c r="A5" s="476" t="s">
        <v>156</v>
      </c>
      <c r="B5" s="477">
        <f ca="1">tertiair!B16</f>
        <v>7355.8429794199992</v>
      </c>
      <c r="C5" s="477">
        <f ca="1">tertiair!C16</f>
        <v>62.357142857142847</v>
      </c>
      <c r="D5" s="477">
        <f ca="1">tertiair!D16</f>
        <v>11401.229862122542</v>
      </c>
      <c r="E5" s="477">
        <f>tertiair!E16</f>
        <v>126.20321817633234</v>
      </c>
      <c r="F5" s="477">
        <f ca="1">tertiair!F16</f>
        <v>1836.1938446803651</v>
      </c>
      <c r="G5" s="477">
        <f>tertiair!G16</f>
        <v>0</v>
      </c>
      <c r="H5" s="477">
        <f>tertiair!H16</f>
        <v>0</v>
      </c>
      <c r="I5" s="477">
        <f>tertiair!I16</f>
        <v>0</v>
      </c>
      <c r="J5" s="477">
        <f>tertiair!J16</f>
        <v>0</v>
      </c>
      <c r="K5" s="477">
        <f>tertiair!K16</f>
        <v>0</v>
      </c>
      <c r="L5" s="477">
        <f ca="1">tertiair!L16</f>
        <v>0</v>
      </c>
      <c r="M5" s="477">
        <f>tertiair!M16</f>
        <v>0</v>
      </c>
      <c r="N5" s="477">
        <f ca="1">tertiair!N16</f>
        <v>371.93458514699341</v>
      </c>
      <c r="O5" s="477">
        <f>tertiair!O16</f>
        <v>1.5633333333333335</v>
      </c>
      <c r="P5" s="478">
        <f>tertiair!P16</f>
        <v>0</v>
      </c>
      <c r="Q5" s="476">
        <f t="shared" ref="Q5:Q14" ca="1" si="0">SUM(B5:P5)</f>
        <v>21155.324965736705</v>
      </c>
    </row>
    <row r="6" spans="1:17">
      <c r="A6" s="476" t="s">
        <v>194</v>
      </c>
      <c r="B6" s="477">
        <f>'openbare verlichting'!B8</f>
        <v>617.11400000000003</v>
      </c>
      <c r="C6" s="477"/>
      <c r="D6" s="477"/>
      <c r="E6" s="477"/>
      <c r="F6" s="477"/>
      <c r="G6" s="477"/>
      <c r="H6" s="477"/>
      <c r="I6" s="477"/>
      <c r="J6" s="477"/>
      <c r="K6" s="477"/>
      <c r="L6" s="477"/>
      <c r="M6" s="477"/>
      <c r="N6" s="477"/>
      <c r="O6" s="477"/>
      <c r="P6" s="478"/>
      <c r="Q6" s="476">
        <f t="shared" si="0"/>
        <v>617.11400000000003</v>
      </c>
    </row>
    <row r="7" spans="1:17">
      <c r="A7" s="476" t="s">
        <v>112</v>
      </c>
      <c r="B7" s="477">
        <f>landbouw!B8</f>
        <v>230.30927057900001</v>
      </c>
      <c r="C7" s="477">
        <f>landbouw!C8</f>
        <v>62.357142857142847</v>
      </c>
      <c r="D7" s="477">
        <f>landbouw!D8</f>
        <v>104.981628895968</v>
      </c>
      <c r="E7" s="477">
        <f>landbouw!E8</f>
        <v>5.9387918028698232</v>
      </c>
      <c r="F7" s="477">
        <f>landbouw!F8</f>
        <v>841.82424423622024</v>
      </c>
      <c r="G7" s="477">
        <f>landbouw!G8</f>
        <v>0</v>
      </c>
      <c r="H7" s="477">
        <f>landbouw!H8</f>
        <v>0</v>
      </c>
      <c r="I7" s="477">
        <f>landbouw!I8</f>
        <v>0</v>
      </c>
      <c r="J7" s="477">
        <f>landbouw!J8</f>
        <v>33.156062655218221</v>
      </c>
      <c r="K7" s="477">
        <f>landbouw!K8</f>
        <v>0</v>
      </c>
      <c r="L7" s="477">
        <f>landbouw!L8</f>
        <v>0</v>
      </c>
      <c r="M7" s="477">
        <f>landbouw!M8</f>
        <v>0</v>
      </c>
      <c r="N7" s="477">
        <f>landbouw!N8</f>
        <v>0</v>
      </c>
      <c r="O7" s="477">
        <f>landbouw!O8</f>
        <v>0</v>
      </c>
      <c r="P7" s="478">
        <f>landbouw!P8</f>
        <v>0</v>
      </c>
      <c r="Q7" s="476">
        <f t="shared" si="0"/>
        <v>1278.5671410264192</v>
      </c>
    </row>
    <row r="8" spans="1:17">
      <c r="A8" s="476" t="s">
        <v>638</v>
      </c>
      <c r="B8" s="477">
        <f>industrie!B18</f>
        <v>918.71739842299985</v>
      </c>
      <c r="C8" s="477">
        <f>industrie!C18</f>
        <v>0</v>
      </c>
      <c r="D8" s="477">
        <f>industrie!D18</f>
        <v>1482.9247010450399</v>
      </c>
      <c r="E8" s="477">
        <f>industrie!E18</f>
        <v>52.011804315491823</v>
      </c>
      <c r="F8" s="477">
        <f>industrie!F18</f>
        <v>268.13214496658946</v>
      </c>
      <c r="G8" s="477">
        <f>industrie!G18</f>
        <v>0</v>
      </c>
      <c r="H8" s="477">
        <f>industrie!H18</f>
        <v>0</v>
      </c>
      <c r="I8" s="477">
        <f>industrie!I18</f>
        <v>0</v>
      </c>
      <c r="J8" s="477">
        <f>industrie!J18</f>
        <v>1.7421908393853942</v>
      </c>
      <c r="K8" s="477">
        <f>industrie!K18</f>
        <v>0</v>
      </c>
      <c r="L8" s="477">
        <f>industrie!L18</f>
        <v>0</v>
      </c>
      <c r="M8" s="477">
        <f>industrie!M18</f>
        <v>0</v>
      </c>
      <c r="N8" s="477">
        <f>industrie!N18</f>
        <v>301.13653859056694</v>
      </c>
      <c r="O8" s="477">
        <f>industrie!O18</f>
        <v>0</v>
      </c>
      <c r="P8" s="478">
        <f>industrie!P18</f>
        <v>0</v>
      </c>
      <c r="Q8" s="476">
        <f t="shared" si="0"/>
        <v>3024.664778180073</v>
      </c>
    </row>
    <row r="9" spans="1:17" s="482" customFormat="1">
      <c r="A9" s="480" t="s">
        <v>564</v>
      </c>
      <c r="B9" s="481">
        <f>transport!B14</f>
        <v>4.1507778107196618</v>
      </c>
      <c r="C9" s="481">
        <f>transport!C14</f>
        <v>0</v>
      </c>
      <c r="D9" s="481">
        <f>transport!D14</f>
        <v>9.5273191986837915</v>
      </c>
      <c r="E9" s="481">
        <f>transport!E14</f>
        <v>36.623576814845698</v>
      </c>
      <c r="F9" s="481">
        <f>transport!F14</f>
        <v>0</v>
      </c>
      <c r="G9" s="481">
        <f>transport!G14</f>
        <v>9695.0639836310638</v>
      </c>
      <c r="H9" s="481">
        <f>transport!H14</f>
        <v>2555.5501671440948</v>
      </c>
      <c r="I9" s="481">
        <f>transport!I14</f>
        <v>0</v>
      </c>
      <c r="J9" s="481">
        <f>transport!J14</f>
        <v>0</v>
      </c>
      <c r="K9" s="481">
        <f>transport!K14</f>
        <v>0</v>
      </c>
      <c r="L9" s="481">
        <f>transport!L14</f>
        <v>0</v>
      </c>
      <c r="M9" s="481">
        <f>transport!M14</f>
        <v>382.03188858258324</v>
      </c>
      <c r="N9" s="481">
        <f>transport!N14</f>
        <v>0</v>
      </c>
      <c r="O9" s="481">
        <f>transport!O14</f>
        <v>0</v>
      </c>
      <c r="P9" s="481">
        <f>transport!P14</f>
        <v>0</v>
      </c>
      <c r="Q9" s="480">
        <f>SUM(B9:P9)</f>
        <v>12682.947713181991</v>
      </c>
    </row>
    <row r="10" spans="1:17">
      <c r="A10" s="476" t="s">
        <v>554</v>
      </c>
      <c r="B10" s="477">
        <f>transport!B54</f>
        <v>0</v>
      </c>
      <c r="C10" s="477">
        <f>transport!C54</f>
        <v>0</v>
      </c>
      <c r="D10" s="477">
        <f>transport!D54</f>
        <v>0</v>
      </c>
      <c r="E10" s="477">
        <f>transport!E54</f>
        <v>0</v>
      </c>
      <c r="F10" s="477">
        <f>transport!F54</f>
        <v>0</v>
      </c>
      <c r="G10" s="477">
        <f>transport!G54</f>
        <v>908.96346035210661</v>
      </c>
      <c r="H10" s="477">
        <f>transport!H54</f>
        <v>0</v>
      </c>
      <c r="I10" s="477">
        <f>transport!I54</f>
        <v>0</v>
      </c>
      <c r="J10" s="477">
        <f>transport!J54</f>
        <v>0</v>
      </c>
      <c r="K10" s="477">
        <f>transport!K54</f>
        <v>0</v>
      </c>
      <c r="L10" s="477">
        <f>transport!L54</f>
        <v>0</v>
      </c>
      <c r="M10" s="477">
        <f>transport!M54</f>
        <v>28.194013023350077</v>
      </c>
      <c r="N10" s="477">
        <f>transport!N54</f>
        <v>0</v>
      </c>
      <c r="O10" s="477">
        <f>transport!O54</f>
        <v>0</v>
      </c>
      <c r="P10" s="478">
        <f>transport!P54</f>
        <v>0</v>
      </c>
      <c r="Q10" s="476">
        <f t="shared" si="0"/>
        <v>937.15747337545668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481.4522437</v>
      </c>
      <c r="C14" s="484"/>
      <c r="D14" s="484">
        <f>'SEAP template'!E25</f>
        <v>1518.0795862</v>
      </c>
      <c r="E14" s="484"/>
      <c r="F14" s="484"/>
      <c r="G14" s="484"/>
      <c r="H14" s="484"/>
      <c r="I14" s="484"/>
      <c r="J14" s="484"/>
      <c r="K14" s="484"/>
      <c r="L14" s="484"/>
      <c r="M14" s="484"/>
      <c r="N14" s="484"/>
      <c r="O14" s="484"/>
      <c r="P14" s="485"/>
      <c r="Q14" s="476">
        <f t="shared" si="0"/>
        <v>1999.5318299</v>
      </c>
    </row>
    <row r="15" spans="1:17" s="486" customFormat="1">
      <c r="A15" s="1038" t="s">
        <v>558</v>
      </c>
      <c r="B15" s="978">
        <f ca="1">SUM(B4:B14)</f>
        <v>23623.14511342737</v>
      </c>
      <c r="C15" s="978">
        <f t="shared" ref="C15:Q15" ca="1" si="1">SUM(C4:C14)</f>
        <v>124.71428571428569</v>
      </c>
      <c r="D15" s="978">
        <f t="shared" ca="1" si="1"/>
        <v>59495.299869512244</v>
      </c>
      <c r="E15" s="978">
        <f t="shared" si="1"/>
        <v>397.64553515058714</v>
      </c>
      <c r="F15" s="978">
        <f t="shared" ca="1" si="1"/>
        <v>5402.2735864316828</v>
      </c>
      <c r="G15" s="978">
        <f t="shared" si="1"/>
        <v>10604.02744398317</v>
      </c>
      <c r="H15" s="978">
        <f t="shared" si="1"/>
        <v>2555.5501671440948</v>
      </c>
      <c r="I15" s="978">
        <f t="shared" si="1"/>
        <v>0</v>
      </c>
      <c r="J15" s="978">
        <f t="shared" si="1"/>
        <v>34.898253494603615</v>
      </c>
      <c r="K15" s="978">
        <f t="shared" si="1"/>
        <v>0</v>
      </c>
      <c r="L15" s="978">
        <f t="shared" ca="1" si="1"/>
        <v>0</v>
      </c>
      <c r="M15" s="978">
        <f t="shared" si="1"/>
        <v>410.2259016059333</v>
      </c>
      <c r="N15" s="978">
        <f t="shared" ca="1" si="1"/>
        <v>2180.0227098238406</v>
      </c>
      <c r="O15" s="978">
        <f t="shared" si="1"/>
        <v>95.36333333333333</v>
      </c>
      <c r="P15" s="978">
        <f t="shared" si="1"/>
        <v>1372.8</v>
      </c>
      <c r="Q15" s="978">
        <f t="shared" ca="1" si="1"/>
        <v>106295.96619962114</v>
      </c>
    </row>
    <row r="17" spans="1:17">
      <c r="A17" s="487" t="s">
        <v>559</v>
      </c>
      <c r="B17" s="786">
        <f ca="1">huishoudens!B10</f>
        <v>0.21009828235394715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2944.6447552095869</v>
      </c>
      <c r="C22" s="477">
        <f t="shared" ref="C22:C32" ca="1" si="3">C4*$C$17</f>
        <v>0</v>
      </c>
      <c r="D22" s="477">
        <f t="shared" ref="D22:D32" si="4">D4*$D$17</f>
        <v>9085.6684679541013</v>
      </c>
      <c r="E22" s="477">
        <f t="shared" ref="E22:E32" si="5">E4*$E$17</f>
        <v>40.149068697317766</v>
      </c>
      <c r="F22" s="477">
        <f t="shared" ref="F22:F32" si="6">F4*$F$17</f>
        <v>655.78493513045157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12726.247226991458</v>
      </c>
    </row>
    <row r="23" spans="1:17">
      <c r="A23" s="476" t="s">
        <v>156</v>
      </c>
      <c r="B23" s="477">
        <f t="shared" ca="1" si="2"/>
        <v>1545.4499752414829</v>
      </c>
      <c r="C23" s="477">
        <f t="shared" ca="1" si="3"/>
        <v>0</v>
      </c>
      <c r="D23" s="477">
        <f t="shared" ca="1" si="4"/>
        <v>2303.0484321487538</v>
      </c>
      <c r="E23" s="477">
        <f t="shared" si="5"/>
        <v>28.648130526027444</v>
      </c>
      <c r="F23" s="477">
        <f t="shared" ca="1" si="6"/>
        <v>490.26375652965754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4367.4102944459219</v>
      </c>
    </row>
    <row r="24" spans="1:17">
      <c r="A24" s="476" t="s">
        <v>194</v>
      </c>
      <c r="B24" s="477">
        <f t="shared" ca="1" si="2"/>
        <v>129.65459141657374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129.65459141657374</v>
      </c>
    </row>
    <row r="25" spans="1:17">
      <c r="A25" s="476" t="s">
        <v>112</v>
      </c>
      <c r="B25" s="477">
        <f t="shared" ca="1" si="2"/>
        <v>48.387582158838356</v>
      </c>
      <c r="C25" s="477">
        <f t="shared" ca="1" si="3"/>
        <v>0</v>
      </c>
      <c r="D25" s="477">
        <f t="shared" si="4"/>
        <v>21.206289036985538</v>
      </c>
      <c r="E25" s="477">
        <f t="shared" si="5"/>
        <v>1.3481057392514499</v>
      </c>
      <c r="F25" s="477">
        <f t="shared" si="6"/>
        <v>224.76707321107082</v>
      </c>
      <c r="G25" s="477">
        <f t="shared" si="7"/>
        <v>0</v>
      </c>
      <c r="H25" s="477">
        <f t="shared" si="8"/>
        <v>0</v>
      </c>
      <c r="I25" s="477">
        <f t="shared" si="9"/>
        <v>0</v>
      </c>
      <c r="J25" s="477">
        <f t="shared" si="10"/>
        <v>11.737246179947249</v>
      </c>
      <c r="K25" s="477">
        <f t="shared" si="11"/>
        <v>0</v>
      </c>
      <c r="L25" s="477">
        <f t="shared" si="12"/>
        <v>0</v>
      </c>
      <c r="M25" s="477">
        <f t="shared" si="13"/>
        <v>0</v>
      </c>
      <c r="N25" s="477">
        <f t="shared" si="14"/>
        <v>0</v>
      </c>
      <c r="O25" s="477">
        <f t="shared" si="15"/>
        <v>0</v>
      </c>
      <c r="P25" s="478">
        <f t="shared" si="16"/>
        <v>0</v>
      </c>
      <c r="Q25" s="476">
        <f t="shared" ca="1" si="17"/>
        <v>307.44629632609343</v>
      </c>
    </row>
    <row r="26" spans="1:17">
      <c r="A26" s="476" t="s">
        <v>638</v>
      </c>
      <c r="B26" s="477">
        <f t="shared" ca="1" si="2"/>
        <v>193.02094737735919</v>
      </c>
      <c r="C26" s="477">
        <f t="shared" ca="1" si="3"/>
        <v>0</v>
      </c>
      <c r="D26" s="477">
        <f t="shared" si="4"/>
        <v>299.55078961109808</v>
      </c>
      <c r="E26" s="477">
        <f t="shared" si="5"/>
        <v>11.806679579616643</v>
      </c>
      <c r="F26" s="477">
        <f t="shared" si="6"/>
        <v>71.591282706079397</v>
      </c>
      <c r="G26" s="477">
        <f t="shared" si="7"/>
        <v>0</v>
      </c>
      <c r="H26" s="477">
        <f t="shared" si="8"/>
        <v>0</v>
      </c>
      <c r="I26" s="477">
        <f t="shared" si="9"/>
        <v>0</v>
      </c>
      <c r="J26" s="477">
        <f t="shared" si="10"/>
        <v>0.61673555714242956</v>
      </c>
      <c r="K26" s="477">
        <f t="shared" si="11"/>
        <v>0</v>
      </c>
      <c r="L26" s="477">
        <f t="shared" si="12"/>
        <v>0</v>
      </c>
      <c r="M26" s="477">
        <f t="shared" si="13"/>
        <v>0</v>
      </c>
      <c r="N26" s="477">
        <f t="shared" si="14"/>
        <v>0</v>
      </c>
      <c r="O26" s="477">
        <f t="shared" si="15"/>
        <v>0</v>
      </c>
      <c r="P26" s="478">
        <f t="shared" si="16"/>
        <v>0</v>
      </c>
      <c r="Q26" s="476">
        <f t="shared" ca="1" si="17"/>
        <v>576.58643483129572</v>
      </c>
    </row>
    <row r="27" spans="1:17" s="482" customFormat="1">
      <c r="A27" s="480" t="s">
        <v>564</v>
      </c>
      <c r="B27" s="780">
        <f t="shared" ca="1" si="2"/>
        <v>0.87207128846507809</v>
      </c>
      <c r="C27" s="481">
        <f t="shared" ca="1" si="3"/>
        <v>0</v>
      </c>
      <c r="D27" s="481">
        <f t="shared" si="4"/>
        <v>1.924518478134126</v>
      </c>
      <c r="E27" s="481">
        <f t="shared" si="5"/>
        <v>8.313551936969974</v>
      </c>
      <c r="F27" s="481">
        <f t="shared" si="6"/>
        <v>0</v>
      </c>
      <c r="G27" s="481">
        <f t="shared" si="7"/>
        <v>2588.5820836294943</v>
      </c>
      <c r="H27" s="481">
        <f t="shared" si="8"/>
        <v>636.33199161887956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3236.0242169519433</v>
      </c>
    </row>
    <row r="28" spans="1:17">
      <c r="A28" s="476" t="s">
        <v>554</v>
      </c>
      <c r="B28" s="477">
        <f t="shared" ca="1" si="2"/>
        <v>0</v>
      </c>
      <c r="C28" s="477">
        <f t="shared" ca="1" si="3"/>
        <v>0</v>
      </c>
      <c r="D28" s="477">
        <f t="shared" si="4"/>
        <v>0</v>
      </c>
      <c r="E28" s="477">
        <f t="shared" si="5"/>
        <v>0</v>
      </c>
      <c r="F28" s="477">
        <f t="shared" si="6"/>
        <v>0</v>
      </c>
      <c r="G28" s="477">
        <f t="shared" si="7"/>
        <v>242.69324391401247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242.69324391401247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101.15228943682398</v>
      </c>
      <c r="C32" s="477">
        <f t="shared" ca="1" si="3"/>
        <v>0</v>
      </c>
      <c r="D32" s="477">
        <f t="shared" si="4"/>
        <v>306.65207641239999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407.80436584922398</v>
      </c>
    </row>
    <row r="33" spans="1:17" s="486" customFormat="1">
      <c r="A33" s="1038" t="s">
        <v>558</v>
      </c>
      <c r="B33" s="978">
        <f ca="1">SUM(B22:B32)</f>
        <v>4963.1822121291298</v>
      </c>
      <c r="C33" s="978">
        <f t="shared" ref="C33:Q33" ca="1" si="18">SUM(C22:C32)</f>
        <v>0</v>
      </c>
      <c r="D33" s="978">
        <f t="shared" ca="1" si="18"/>
        <v>12018.050573641473</v>
      </c>
      <c r="E33" s="978">
        <f t="shared" si="18"/>
        <v>90.265536479183282</v>
      </c>
      <c r="F33" s="978">
        <f t="shared" ca="1" si="18"/>
        <v>1442.4070475772594</v>
      </c>
      <c r="G33" s="978">
        <f t="shared" si="18"/>
        <v>2831.2753275435066</v>
      </c>
      <c r="H33" s="978">
        <f t="shared" si="18"/>
        <v>636.33199161887956</v>
      </c>
      <c r="I33" s="978">
        <f t="shared" si="18"/>
        <v>0</v>
      </c>
      <c r="J33" s="978">
        <f t="shared" si="18"/>
        <v>12.353981737089679</v>
      </c>
      <c r="K33" s="978">
        <f t="shared" si="18"/>
        <v>0</v>
      </c>
      <c r="L33" s="978">
        <f t="shared" ca="1" si="18"/>
        <v>0</v>
      </c>
      <c r="M33" s="978">
        <f t="shared" si="18"/>
        <v>0</v>
      </c>
      <c r="N33" s="978">
        <f t="shared" ca="1" si="18"/>
        <v>0</v>
      </c>
      <c r="O33" s="978">
        <f t="shared" si="18"/>
        <v>0</v>
      </c>
      <c r="P33" s="978">
        <f t="shared" si="18"/>
        <v>0</v>
      </c>
      <c r="Q33" s="978">
        <f t="shared" ca="1" si="18"/>
        <v>21993.866670726522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1078.0070494946513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87.299999999999983</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102.70588235294116</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1165.3070494946512</v>
      </c>
      <c r="C10" s="1059">
        <f>SUM(C4:C9)</f>
        <v>0</v>
      </c>
      <c r="D10" s="1059">
        <f t="shared" ref="D10:H10" si="0">SUM(D8:D9)</f>
        <v>0</v>
      </c>
      <c r="E10" s="1059">
        <f t="shared" si="0"/>
        <v>0</v>
      </c>
      <c r="F10" s="1059">
        <f t="shared" si="0"/>
        <v>0</v>
      </c>
      <c r="G10" s="1059">
        <f t="shared" si="0"/>
        <v>0</v>
      </c>
      <c r="H10" s="1059">
        <f t="shared" si="0"/>
        <v>0</v>
      </c>
      <c r="I10" s="1059">
        <f>SUM(I8:I9)</f>
        <v>0</v>
      </c>
      <c r="J10" s="1059">
        <f>SUM(J8:J9)</f>
        <v>102.70588235294116</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0.21009828235394715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124.71428571428569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146.72268907563023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124.71428571428569</v>
      </c>
      <c r="C20" s="1059">
        <f>SUM(C17:C19)</f>
        <v>0</v>
      </c>
      <c r="D20" s="1059">
        <f t="shared" ref="D20:H20" si="2">SUM(D17:D19)</f>
        <v>0</v>
      </c>
      <c r="E20" s="1059">
        <f t="shared" si="2"/>
        <v>0</v>
      </c>
      <c r="F20" s="1059">
        <f t="shared" si="2"/>
        <v>0</v>
      </c>
      <c r="G20" s="1059">
        <f t="shared" si="2"/>
        <v>0</v>
      </c>
      <c r="H20" s="1059">
        <f t="shared" si="2"/>
        <v>0</v>
      </c>
      <c r="I20" s="1059">
        <f>SUM(I17:I19)</f>
        <v>0</v>
      </c>
      <c r="J20" s="1059">
        <f>SUM(J17:J19)</f>
        <v>146.72268907563023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0.21009828235394715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2019-08-12T08:22:12Z</dcterms:modified>
</cp:coreProperties>
</file>