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<sst xmlns="http://schemas.openxmlformats.org/spreadsheetml/2006/main" count="2392" uniqueCount="890">
  <si>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</si>
  <si>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</si>
  <si>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</si>
  <si>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</si>
  <si>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</si>
  <si>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</si>
  <si>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</si>
  <si>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</si>
  <si>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</si>
  <si>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</si>
  <si>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</si>
  <si>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</si>
  <si>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</si>
  <si>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</si>
  <si>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</si>
  <si>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</si>
  <si>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</si>
  <si>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</si>
  <si>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</si>
  <si>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</si>
  <si>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</si>
  <si>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</si>
  <si>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</si>
  <si>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</si>
  <si>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</si>
  <si>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</si>
  <si>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</si>
  <si>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</si>
  <si>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</si>
  <si>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</si>
  <si>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</si>
  <si>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</si>
  <si>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</si>
  <si>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</si>
  <si>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</si>
  <si>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</si>
  <si>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</si>
  <si>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</si>
  <si>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</si>
  <si>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</si>
  <si>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</si>
  <si>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</si>
  <si>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</si>
  <si>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</si>
  <si>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</si>
  <si>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</si>
  <si>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</si>
  <si>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</si>
  <si>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</si>
  <si>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</si>
  <si>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</si>
  <si>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</si>
  <si>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</si>
  <si>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</si>
  <si>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</si>
  <si>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</si>
  <si>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</si>
  <si>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</si>
  <si>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</si>
  <si>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</si>
  <si>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</si>
  <si>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</si>
  <si>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</si>
  <si>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</si>
  <si>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</si>
  <si>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</si>
  <si>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</si>
  <si>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</si>
  <si>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</si>
  <si>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</si>
  <si>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</si>
  <si>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</si>
  <si>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</si>
  <si>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</si>
  <si>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</si>
  <si>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</si>
  <si>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</si>
  <si>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</si>
  <si>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</si>
  <si>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</si>
  <si>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</si>
  <si>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</si>
  <si>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</si>
  <si>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</si>
  <si>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</si>
  <si>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</si>
  <si>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</si>
  <si>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</si>
  <si>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</si>
  <si>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</si>
  <si>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</si>
  <si>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</si>
  <si>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</si>
  <si>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</si>
  <si>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</si>
  <si>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</si>
  <si>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</si>
  <si>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</si>
  <si>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</si>
  <si>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</si>
  <si>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</si>
  <si>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</si>
  <si>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</si>
  <si>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</si>
  <si>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</si>
  <si>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</si>
  <si>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</si>
  <si>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</si>
  <si>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</si>
  <si>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</si>
  <si>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</si>
  <si>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</si>
  <si>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</si>
  <si>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</si>
  <si>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</si>
  <si>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</si>
  <si>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</si>
  <si>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</si>
  <si>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</si>
  <si>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</si>
  <si>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</si>
  <si>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</si>
  <si>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</si>
  <si>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</si>
  <si>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</si>
  <si>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</si>
  <si>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</si>
  <si>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</si>
  <si>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</si>
  <si>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</si>
  <si>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</si>
  <si>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</si>
  <si>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</si>
  <si>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</si>
  <si>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</si>
  <si>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</si>
  <si>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</si>
  <si>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</si>
  <si>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</si>
  <si>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</si>
  <si>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</si>
  <si>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</si>
  <si>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</si>
  <si>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</si>
  <si>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</si>
  <si>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</si>
  <si>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</si>
  <si>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</si>
  <si>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</si>
  <si>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</si>
  <si>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</si>
  <si>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</si>
  <si>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</si>
  <si>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</si>
  <si>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</si>
  <si>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</si>
  <si>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</si>
  <si>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</si>
  <si>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</si>
  <si>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</si>
  <si>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</si>
  <si>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</si>
  <si>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</si>
  <si>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</si>
  <si>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</si>
  <si>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</si>
  <si>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</si>
  <si>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</si>
  <si>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</si>
  <si>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</si>
  <si>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</si>
  <si>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</si>
  <si>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</si>
  <si>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</si>
  <si>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</si>
  <si>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</si>
  <si>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</si>
  <si>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</si>
  <si>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</si>
  <si>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</si>
  <si>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</si>
  <si>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</si>
  <si>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</si>
  <si>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</si>
  <si>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</si>
  <si>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</si>
  <si>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</si>
  <si>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</si>
  <si>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</si>
  <si>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</si>
  <si>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</si>
  <si>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</si>
  <si>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</si>
  <si>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</si>
  <si>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</si>
  <si>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</si>
  <si>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</si>
  <si>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</si>
  <si>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</si>
  <si>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</si>
  <si>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</si>
  <si>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</si>
  <si>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</si>
  <si>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</si>
  <si>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</si>
  <si>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</si>
  <si>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</si>
  <si>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</si>
  <si>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</si>
  <si>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</si>
  <si>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</si>
  <si>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</si>
  <si>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</si>
  <si>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</si>
  <si>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</si>
  <si>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</si>
  <si>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</si>
  <si>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</si>
  <si>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</si>
  <si>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</si>
  <si>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</si>
  <si>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</si>
  <si>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</si>
  <si>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</si>
  <si>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</si>
  <si>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</si>
  <si>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</si>
  <si>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</si>
  <si>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</si>
  <si>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</si>
  <si>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</si>
  <si>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</si>
  <si>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</si>
  <si>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</si>
  <si>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</si>
  <si>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</si>
  <si>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</si>
  <si>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</si>
  <si>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</si>
  <si>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</si>
  <si>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</si>
  <si>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</si>
  <si>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</si>
  <si>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</si>
  <si>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</si>
  <si>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</si>
  <si>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</si>
  <si>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</si>
  <si>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</si>
  <si>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</si>
  <si>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</si>
  <si>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</si>
  <si>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</si>
  <si>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</si>
  <si>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</si>
  <si>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</si>
  <si>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</si>
  <si>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</si>
  <si>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</si>
  <si>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</si>
  <si>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</si>
  <si>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</si>
  <si>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</si>
  <si>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</si>
  <si>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</si>
  <si>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</si>
  <si>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</si>
  <si>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</si>
  <si>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</si>
  <si>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</si>
  <si>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</si>
  <si>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</si>
  <si>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</si>
  <si>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</si>
  <si>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</si>
  <si>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</si>
  <si>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</si>
  <si>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</si>
  <si>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</si>
  <si>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</si>
  <si>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</si>
  <si>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</si>
  <si>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</si>
  <si>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</si>
  <si>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</si>
  <si>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</si>
  <si>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</si>
  <si>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</si>
  <si>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</si>
  <si>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</si>
  <si>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</si>
  <si>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</si>
  <si>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</si>
  <si>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</si>
  <si>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</si>
  <si>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</si>
  <si>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</si>
  <si>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</si>
  <si>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</si>
  <si>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</si>
  <si>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</si>
  <si>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</si>
  <si>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</si>
  <si>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</si>
  <si>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</si>
  <si>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</si>
  <si>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</si>
  <si>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</si>
  <si>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</si>
  <si>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</si>
  <si>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</si>
  <si>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</si>
  <si>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</si>
  <si>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</si>
  <si>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</si>
  <si>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</si>
  <si>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</si>
  <si>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</si>
  <si>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</si>
  <si>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</si>
  <si>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</si>
  <si>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</si>
  <si>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</si>
  <si>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</si>
  <si>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</si>
  <si>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</si>
  <si>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</si>
  <si>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</si>
  <si>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</si>
  <si>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</si>
  <si>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</si>
  <si>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</si>
  <si>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</si>
  <si>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</si>
  <si>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</si>
  <si>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</si>
  <si>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</si>
  <si>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</si>
  <si>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</si>
  <si>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</si>
  <si>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</si>
  <si>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</si>
  <si>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</si>
  <si>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</si>
  <si>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</si>
  <si>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</si>
  <si>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</si>
  <si>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</si>
  <si>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</si>
  <si>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</si>
  <si>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</si>
  <si>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</si>
  <si>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</si>
  <si>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</si>
  <si>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</si>
  <si>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</si>
  <si>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</si>
  <si>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</si>
  <si>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</si>
  <si>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</si>
  <si>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</si>
  <si>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</si>
  <si>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</si>
  <si>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</si>
  <si>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</si>
  <si>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</si>
  <si>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</si>
  <si>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</si>
  <si>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</si>
  <si>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</si>
  <si>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</si>
  <si>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</si>
  <si>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</si>
  <si>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</si>
  <si>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</si>
  <si>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</si>
  <si>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</si>
  <si>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</si>
  <si>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</si>
  <si>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</si>
  <si>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</si>
  <si>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</si>
  <si>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</si>
  <si>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</si>
  <si>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</si>
  <si>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</si>
  <si>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</si>
  <si>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</si>
  <si>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</si>
  <si>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</si>
  <si>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</si>
  <si>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</si>
  <si>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</si>
  <si>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</si>
  <si>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</si>
  <si>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</si>
  <si>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</si>
  <si>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</si>
  <si>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</si>
  <si>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</si>
  <si>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</si>
  <si>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</si>
  <si>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</si>
  <si>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</si>
  <si>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</si>
  <si>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</si>
  <si>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</si>
  <si>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</si>
  <si>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</si>
  <si>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</si>
  <si>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</si>
  <si>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</si>
  <si>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</si>
  <si>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</si>
  <si>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</si>
  <si>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</si>
  <si>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</si>
  <si>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</si>
  <si>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</si>
  <si>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</si>
  <si>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</si>
  <si>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</si>
  <si>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</si>
  <si>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</si>
  <si>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</si>
  <si>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</si>
  <si>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</si>
  <si>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</si>
  <si>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</si>
  <si>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</si>
  <si>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</si>
  <si>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</si>
  <si>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</si>
  <si>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</si>
  <si>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</si>
  <si>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</si>
  <si>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</si>
  <si>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</si>
  <si>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</si>
  <si>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</si>
  <si>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</si>
  <si>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</si>
  <si>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</si>
  <si>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</si>
  <si>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</si>
  <si>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</si>
  <si>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</si>
  <si>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</si>
  <si>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</si>
  <si>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</si>
  <si>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</si>
  <si>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</si>
  <si>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</si>
  <si>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</si>
  <si>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</si>
  <si>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</si>
  <si>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</si>
  <si>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</si>
  <si>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</si>
  <si>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</si>
  <si>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</si>
  <si>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</si>
  <si>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</si>
  <si>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</si>
  <si>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</si>
  <si>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</si>
  <si>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</si>
  <si>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</si>
  <si>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</si>
  <si>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</si>
  <si>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</si>
  <si>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</si>
  <si>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</si>
  <si>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</si>
  <si>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</si>
  <si>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</si>
  <si>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</si>
  <si>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</si>
  <si>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</si>
  <si>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</si>
  <si>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</si>
  <si>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</si>
  <si>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</si>
  <si>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</si>
  <si>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</si>
  <si>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</si>
  <si>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</si>
  <si>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</si>
  <si>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</si>
  <si>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</si>
  <si>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</si>
  <si>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</si>
  <si>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</si>
  <si>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</si>
  <si>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</si>
  <si>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</si>
  <si>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</si>
  <si>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</si>
  <si>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</si>
  <si>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</si>
  <si>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</si>
  <si>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</si>
  <si>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</si>
  <si>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</si>
  <si>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</si>
  <si>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</si>
  <si>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</si>
  <si>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</si>
  <si>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</si>
  <si>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</si>
  <si>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</si>
  <si>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</si>
  <si>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</si>
  <si>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</si>
  <si>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</si>
  <si>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</si>
  <si>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</si>
  <si>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</si>
  <si>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</si>
  <si>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</si>
  <si>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</si>
  <si>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</si>
  <si>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</si>
  <si>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</si>
  <si>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</si>
  <si>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</si>
  <si>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</si>
  <si>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</si>
  <si>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</si>
  <si>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</si>
  <si>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</si>
  <si>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</si>
  <si>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</si>
  <si>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</si>
  <si>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</si>
  <si>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</si>
  <si>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</si>
  <si>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</si>
  <si>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</si>
  <si>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</si>
  <si>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</si>
  <si>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</si>
  <si>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</si>
  <si>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</si>
  <si>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</si>
  <si>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</si>
  <si>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</si>
  <si>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</si>
  <si>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</si>
  <si>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</si>
  <si>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</si>
  <si>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</si>
  <si>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</si>
  <si>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</si>
  <si>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</si>
  <si>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</si>
  <si>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</si>
  <si>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</si>
  <si>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</si>
  <si>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</si>
  <si>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</si>
  <si>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</si>
  <si>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</si>
  <si>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</si>
  <si>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</si>
  <si>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</si>
  <si>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</si>
  <si>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</si>
  <si>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</si>
  <si>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</si>
  <si>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</si>
  <si>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</si>
  <si>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</si>
  <si>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</si>
  <si>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</si>
  <si>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</si>
  <si>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</si>
  <si>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</si>
  <si>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</si>
  <si>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</si>
  <si>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</si>
  <si>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</si>
  <si>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</si>
  <si>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</si>
  <si>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</si>
  <si>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</si>
  <si>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</si>
  <si>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</si>
  <si>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</si>
  <si>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</si>
  <si>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</si>
  <si>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</si>
  <si>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</si>
  <si>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</si>
  <si>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</si>
  <si>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</si>
  <si>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</si>
  <si>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</si>
  <si>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</si>
  <si>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</si>
  <si>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</si>
  <si>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</si>
  <si>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</si>
  <si>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</si>
  <si>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</si>
  <si>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</si>
  <si>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</si>
  <si>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</si>
  <si>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</si>
  <si>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</si>
  <si>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</si>
  <si>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</si>
  <si>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</si>
  <si>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</si>
  <si>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</si>
  <si>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</si>
  <si>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</si>
  <si>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</si>
  <si>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</si>
  <si>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</si>
  <si>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</si>
  <si>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</si>
  <si>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</si>
  <si>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</si>
  <si>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</si>
  <si>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</si>
  <si>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</si>
  <si>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</si>
  <si>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</si>
  <si>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</si>
  <si>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</si>
  <si>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</si>
  <si>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</si>
  <si>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</si>
  <si>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</si>
  <si>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</si>
  <si>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</si>
  <si>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</si>
  <si>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</si>
  <si>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</si>
  <si>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</si>
  <si>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</si>
  <si>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</si>
  <si>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</si>
  <si>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</si>
  <si>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</si>
  <si>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</si>
  <si>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</si>
  <si>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</si>
  <si>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</si>
  <si>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</si>
  <si>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</si>
  <si>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</si>
  <si>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</si>
  <si>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</si>
  <si>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</si>
  <si>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</si>
  <si>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</si>
  <si>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</si>
  <si>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</si>
  <si>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</si>
  <si>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</si>
  <si>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</si>
  <si>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</si>
  <si>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</si>
  <si>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</si>
  <si>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</si>
  <si>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</si>
  <si>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</si>
  <si>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</si>
  <si>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</si>
  <si>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</si>
  <si>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</si>
  <si>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</si>
  <si>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</si>
  <si>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</si>
  <si>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</si>
  <si>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</si>
  <si>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</si>
  <si>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</si>
  <si>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</si>
  <si>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</si>
  <si>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</si>
  <si>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</si>
  <si>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</si>
  <si>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</si>
  <si>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</si>
  <si>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</si>
  <si>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</si>
  <si>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</si>
  <si>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</si>
  <si>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</si>
  <si>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</si>
  <si>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</si>
  <si>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</si>
  <si>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</si>
  <si>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</si>
  <si>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</si>
  <si>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</si>
  <si>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</si>
  <si>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</si>
  <si>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</si>
  <si>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</si>
  <si>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</si>
  <si>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</si>
  <si>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</si>
  <si>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</si>
  <si>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</si>
  <si>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</si>
  <si>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</si>
  <si>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</si>
  <si>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</si>
  <si>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</si>
  <si>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</si>
  <si>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</si>
  <si>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</si>
  <si>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</si>
  <si>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</si>
  <si>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</si>
  <si>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</si>
  <si>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</si>
  <si>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</si>
  <si>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</si>
  <si>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</si>
  <si>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</si>
  <si>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</si>
  <si>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</si>
  <si>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</si>
  <si>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</si>
  <si>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</si>
  <si>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</si>
  <si>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</si>
  <si>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</si>
  <si>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</si>
  <si>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</si>
  <si>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</si>
  <si>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</si>
  <si>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</si>
  <si>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</si>
  <si>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</si>
  <si>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</si>
  <si>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</si>
  <si>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</si>
  <si>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</si>
  <si>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</si>
  <si>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</si>
  <si>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</si>
  <si>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</si>
  <si>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</si>
  <si>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</si>
  <si>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</si>
  <si>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</si>
  <si>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</si>
  <si>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</si>
  <si>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</si>
  <si>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</si>
  <si>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</si>
  <si>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</si>
  <si>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</si>
  <si>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</si>
  <si>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</si>
  <si>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</si>
  <si>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</si>
  <si>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</si>
  <si>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</si>
  <si>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</si>
  <si>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</si>
  <si>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</si>
  <si>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</si>
  <si>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</si>
  <si>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</si>
  <si>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</si>
  <si>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</si>
  <si>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</si>
  <si>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</si>
  <si>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</si>
  <si>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</si>
  <si>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</si>
  <si>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</si>
  <si>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</si>
  <si>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</si>
  <si>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</si>
  <si>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</si>
  <si>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</si>
  <si>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</si>
  <si>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</si>
  <si>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</si>
  <si>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</si>
  <si>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</si>
  <si>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</si>
  <si>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</si>
  <si>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</si>
  <si>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</si>
  <si>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</si>
  <si>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</si>
  <si>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</si>
  <si>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</si>
  <si>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</si>
  <si>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</si>
  <si>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</si>
  <si>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</si>
  <si>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</si>
  <si>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</si>
  <si>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</si>
  <si>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</si>
  <si>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</si>
  <si>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</si>
  <si>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</si>
  <si>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</si>
  <si>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</si>
  <si>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</si>
  <si>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</si>
  <si>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</si>
  <si>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</si>
  <si>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</si>
  <si>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</si>
  <si>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</si>
  <si>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</si>
  <si>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</si>
  <si>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</si>
  <si>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</si>
  <si>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</si>
  <si>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</si>
  <si>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</si>
  <si>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</si>
  <si>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</si>
  <si>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</si>
  <si>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</si>
  <si>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</si>
  <si>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</si>
  <si>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</si>
  <si>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</si>
  <si>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</si>
  <si>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</si>
  <si>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</si>
  <si>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</si>
  <si>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</si>
  <si>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</si>
  <si>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</si>
  <si>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</si>
  <si>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</si>
  <si>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</si>
  <si>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</si>
  <si>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</si>
  <si>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</si>
  <si>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</si>
  <si>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</si>
  <si>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</si>
  <si>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</si>
  <si>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</si>
  <si>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</si>
  <si>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</si>
  <si>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</si>
  <si>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</si>
  <si>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</si>
  <si>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</si>
  <si>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</si>
  <si>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</si>
  <si>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</si>
  <si>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</si>
  <si>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</si>
  <si>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</si>
  <si>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</si>
  <si>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</si>
  <si>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</si>
  <si>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</si>
  <si>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</si>
  <si>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</si>
  <si>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</si>
  <si>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</si>
  <si>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</si>
  <si>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</si>
  <si>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</si>
  <si>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</si>
  <si>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</si>
  <si>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</si>
  <si>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</si>
  <si>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</si>
  <si>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</si>
  <si>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</si>
  <si>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</si>
  <si>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</si>
  <si>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11018</t>
  </si>
  <si>
    <t>HEMIKSEM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</si>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</sst>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72338.627183312376</c:v>
                </c:pt>
                <c:pt idx="1">
                  <c:v>33301.397988145545</c:v>
                </c:pt>
                <c:pt idx="2">
                  <c:v>414.108</c:v>
                </c:pt>
                <c:pt idx="3">
                  <c:v>329.17409503190026</c:v>
                </c:pt>
                <c:pt idx="4">
                  <c:v>87390.261118734939</c:v>
                </c:pt>
                <c:pt idx="5">
                  <c:v>27266.620331520135</c:v>
                </c:pt>
                <c:pt idx="6">
                  <c:v>1132.4201313140829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21664"/>
        <c:axId val="183523200"/>
      </c:barChart>
      <c:catAx>
        <c:axId val="183521664"/>
        <c:scaling>
          <c:orientation val="minMax"/>
        </c:scaling>
        <c:axPos val="b"/>
        <c:numFmt formatCode="General" sourceLinked="0"/>
        <c:tickLblPos val="nextTo"/>
        <c:crossAx val="183523200"/>
        <c:crosses val="autoZero"/>
        <c:auto val="1"/>
        <c:lblAlgn val="ctr"/>
        <c:lblOffset val="100"/>
      </c:catAx>
      <c:valAx>
        <c:axId val="183523200"/>
        <c:scaling>
          <c:orientation val="minMax"/>
        </c:scaling>
        <c:axPos val="l"/>
        <c:majorGridlines/>
        <c:numFmt formatCode="#,##0" sourceLinked="1"/>
        <c:tickLblPos val="nextTo"/>
        <c:crossAx val="183521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72338.627183312376</c:v>
                </c:pt>
                <c:pt idx="1">
                  <c:v>33301.397988145545</c:v>
                </c:pt>
                <c:pt idx="2">
                  <c:v>414.108</c:v>
                </c:pt>
                <c:pt idx="3">
                  <c:v>329.17409503190026</c:v>
                </c:pt>
                <c:pt idx="4">
                  <c:v>87390.261118734939</c:v>
                </c:pt>
                <c:pt idx="5">
                  <c:v>27266.620331520135</c:v>
                </c:pt>
                <c:pt idx="6">
                  <c:v>1132.4201313140829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14194.448291291366</c:v>
                </c:pt>
                <c:pt idx="2">
                  <c:v>6825.6134144488351</c:v>
                </c:pt>
                <c:pt idx="3">
                  <c:v>89.45154878567979</c:v>
                </c:pt>
                <c:pt idx="4">
                  <c:v>80.635257041984232</c:v>
                </c:pt>
                <c:pt idx="5">
                  <c:v>17449.966938410489</c:v>
                </c:pt>
                <c:pt idx="6">
                  <c:v>6975.8899385721043</c:v>
                </c:pt>
                <c:pt idx="7">
                  <c:v>293.2599087667312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34048"/>
      </c:barChart>
      <c:catAx>
        <c:axId val="18400358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14194.448291291366</c:v>
                </c:pt>
                <c:pt idx="2">
                  <c:v>6825.6134144488351</c:v>
                </c:pt>
                <c:pt idx="3">
                  <c:v>89.45154878567979</c:v>
                </c:pt>
                <c:pt idx="4">
                  <c:v>80.635257041984232</c:v>
                </c:pt>
                <c:pt idx="5">
                  <c:v>17449.966938410489</c:v>
                </c:pt>
                <c:pt idx="6">
                  <c:v>6975.8899385721043</c:v>
                </c:pt>
                <c:pt idx="7">
                  <c:v>293.2599087667312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11018</v>
      </c>
      <c r="B6" s="415"/>
      <c r="C6" s="416"/>
    </row>
    <row r="7" spans="1:7" s="413" customFormat="1" ht="15.75" customHeight="1">
      <c r="A7" s="417" t="str">
        <f>txtMunicipality</f>
        <v>HEMIKSEM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0.21601019247558556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0.21601019247558556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4552</v>
      </c>
      <c r="C9" s="342">
        <v>4604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4.45</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3</v>
      </c>
      <c r="F37" s="334">
        <v>1746637</v>
      </c>
    </row>
    <row r="38" spans="1:6">
      <c r="A38" s="348" t="s">
        <v>25</v>
      </c>
      <c r="B38" s="348" t="s">
        <v>29</v>
      </c>
      <c r="C38" s="334">
        <v>0</v>
      </c>
      <c r="D38" s="334">
        <v>0</v>
      </c>
      <c r="E38" s="334">
        <v>0</v>
      </c>
      <c r="F38" s="334">
        <v>11486</v>
      </c>
    </row>
    <row r="39" spans="1:6">
      <c r="A39" s="348" t="s">
        <v>30</v>
      </c>
      <c r="B39" s="348" t="s">
        <v>31</v>
      </c>
      <c r="C39" s="334">
        <v>4162</v>
      </c>
      <c r="D39" s="334">
        <v>59020194</v>
      </c>
      <c r="E39" s="334">
        <v>4747</v>
      </c>
      <c r="F39" s="334">
        <v>14645195</v>
      </c>
    </row>
    <row r="40" spans="1:6">
      <c r="A40" s="348" t="s">
        <v>30</v>
      </c>
      <c r="B40" s="348" t="s">
        <v>29</v>
      </c>
      <c r="C40" s="334">
        <v>0</v>
      </c>
      <c r="D40" s="334">
        <v>0</v>
      </c>
      <c r="E40" s="334">
        <v>0</v>
      </c>
      <c r="F40" s="334">
        <v>0</v>
      </c>
    </row>
    <row r="41" spans="1:6">
      <c r="A41" s="348" t="s">
        <v>32</v>
      </c>
      <c r="B41" s="348" t="s">
        <v>33</v>
      </c>
      <c r="C41" s="334">
        <v>24</v>
      </c>
      <c r="D41" s="334">
        <v>530962</v>
      </c>
      <c r="E41" s="334">
        <v>53</v>
      </c>
      <c r="F41" s="334">
        <v>477682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2642535</v>
      </c>
      <c r="E44" s="334">
        <v>4</v>
      </c>
      <c r="F44" s="334">
        <v>23650</v>
      </c>
    </row>
    <row r="45" spans="1:6">
      <c r="A45" s="348" t="s">
        <v>32</v>
      </c>
      <c r="B45" s="348" t="s">
        <v>37</v>
      </c>
      <c r="C45" s="334">
        <v>3</v>
      </c>
      <c r="D45" s="334">
        <v>59757</v>
      </c>
      <c r="E45" s="334">
        <v>3</v>
      </c>
      <c r="F45" s="334">
        <v>680099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54461265</v>
      </c>
      <c r="E48" s="334">
        <v>5</v>
      </c>
      <c r="F48" s="334">
        <v>22150733</v>
      </c>
    </row>
    <row r="49" spans="1:6">
      <c r="A49" s="348" t="s">
        <v>32</v>
      </c>
      <c r="B49" s="348" t="s">
        <v>40</v>
      </c>
      <c r="C49" s="334">
        <v>0</v>
      </c>
      <c r="D49" s="334">
        <v>0</v>
      </c>
      <c r="E49" s="334">
        <v>0</v>
      </c>
      <c r="F49" s="334">
        <v>0</v>
      </c>
    </row>
    <row r="50" spans="1:6">
      <c r="A50" s="348" t="s">
        <v>32</v>
      </c>
      <c r="B50" s="348" t="s">
        <v>41</v>
      </c>
      <c r="C50" s="334">
        <v>6</v>
      </c>
      <c r="D50" s="334">
        <v>286210</v>
      </c>
      <c r="E50" s="334">
        <v>6</v>
      </c>
      <c r="F50" s="334">
        <v>164956</v>
      </c>
    </row>
    <row r="51" spans="1:6">
      <c r="A51" s="348" t="s">
        <v>42</v>
      </c>
      <c r="B51" s="348" t="s">
        <v>43</v>
      </c>
      <c r="C51" s="334">
        <v>6</v>
      </c>
      <c r="D51" s="334">
        <v>88975</v>
      </c>
      <c r="E51" s="334">
        <v>10</v>
      </c>
      <c r="F51" s="334">
        <v>51590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18</v>
      </c>
      <c r="F54" s="334">
        <v>414108</v>
      </c>
    </row>
    <row r="55" spans="1:6">
      <c r="A55" s="348" t="s">
        <v>46</v>
      </c>
      <c r="B55" s="348" t="s">
        <v>29</v>
      </c>
      <c r="C55" s="334">
        <v>0</v>
      </c>
      <c r="D55" s="334">
        <v>0</v>
      </c>
      <c r="E55" s="334">
        <v>0</v>
      </c>
      <c r="F55" s="334">
        <v>0</v>
      </c>
    </row>
    <row r="56" spans="1:6">
      <c r="A56" s="348" t="s">
        <v>48</v>
      </c>
      <c r="B56" s="348" t="s">
        <v>29</v>
      </c>
      <c r="C56" s="334">
        <v>54</v>
      </c>
      <c r="D56" s="334">
        <v>866669</v>
      </c>
      <c r="E56" s="334">
        <v>116</v>
      </c>
      <c r="F56" s="334">
        <v>481282</v>
      </c>
    </row>
    <row r="57" spans="1:6">
      <c r="A57" s="348" t="s">
        <v>49</v>
      </c>
      <c r="B57" s="348" t="s">
        <v>50</v>
      </c>
      <c r="C57" s="334">
        <v>20</v>
      </c>
      <c r="D57" s="334">
        <v>1062730</v>
      </c>
      <c r="E57" s="334">
        <v>37</v>
      </c>
      <c r="F57" s="334">
        <v>1058900</v>
      </c>
    </row>
    <row r="58" spans="1:6">
      <c r="A58" s="348" t="s">
        <v>49</v>
      </c>
      <c r="B58" s="348" t="s">
        <v>51</v>
      </c>
      <c r="C58" s="334">
        <v>12</v>
      </c>
      <c r="D58" s="334">
        <v>299825</v>
      </c>
      <c r="E58" s="334">
        <v>14</v>
      </c>
      <c r="F58" s="334">
        <v>123143</v>
      </c>
    </row>
    <row r="59" spans="1:6">
      <c r="A59" s="348" t="s">
        <v>49</v>
      </c>
      <c r="B59" s="348" t="s">
        <v>52</v>
      </c>
      <c r="C59" s="334">
        <v>38</v>
      </c>
      <c r="D59" s="334">
        <v>1331388</v>
      </c>
      <c r="E59" s="334">
        <v>59</v>
      </c>
      <c r="F59" s="334">
        <v>4906536</v>
      </c>
    </row>
    <row r="60" spans="1:6">
      <c r="A60" s="348" t="s">
        <v>49</v>
      </c>
      <c r="B60" s="348" t="s">
        <v>53</v>
      </c>
      <c r="C60" s="334">
        <v>29</v>
      </c>
      <c r="D60" s="334">
        <v>1295889</v>
      </c>
      <c r="E60" s="334">
        <v>50</v>
      </c>
      <c r="F60" s="334">
        <v>873375</v>
      </c>
    </row>
    <row r="61" spans="1:6">
      <c r="A61" s="348" t="s">
        <v>49</v>
      </c>
      <c r="B61" s="348" t="s">
        <v>54</v>
      </c>
      <c r="C61" s="334">
        <v>115</v>
      </c>
      <c r="D61" s="334">
        <v>18725919</v>
      </c>
      <c r="E61" s="334">
        <v>186</v>
      </c>
      <c r="F61" s="334">
        <v>2233014</v>
      </c>
    </row>
    <row r="62" spans="1:6">
      <c r="A62" s="348" t="s">
        <v>49</v>
      </c>
      <c r="B62" s="348" t="s">
        <v>55</v>
      </c>
      <c r="C62" s="334">
        <v>4</v>
      </c>
      <c r="D62" s="334">
        <v>305868</v>
      </c>
      <c r="E62" s="334">
        <v>4</v>
      </c>
      <c r="F62" s="334">
        <v>51727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27100</v>
      </c>
      <c r="E65" s="334">
        <v>0</v>
      </c>
      <c r="F65" s="334">
        <v>5077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32729783</v>
      </c>
      <c r="E73" s="475">
        <v>34050832.577035479</v>
      </c>
    </row>
    <row r="74" spans="1:6">
      <c r="A74" s="348" t="s">
        <v>64</v>
      </c>
      <c r="B74" s="348" t="s">
        <v>667</v>
      </c>
      <c r="C74" s="1294" t="s">
        <v>669</v>
      </c>
      <c r="D74" s="475">
        <v>2320837.695556127</v>
      </c>
      <c r="E74" s="475">
        <v>2378711.4281699774</v>
      </c>
    </row>
    <row r="75" spans="1:6">
      <c r="A75" s="348" t="s">
        <v>65</v>
      </c>
      <c r="B75" s="348" t="s">
        <v>666</v>
      </c>
      <c r="C75" s="1294" t="s">
        <v>670</v>
      </c>
      <c r="D75" s="475">
        <v>1559755</v>
      </c>
      <c r="E75" s="475">
        <v>1609920.7202538692</v>
      </c>
    </row>
    <row r="76" spans="1:6">
      <c r="A76" s="348" t="s">
        <v>65</v>
      </c>
      <c r="B76" s="348" t="s">
        <v>667</v>
      </c>
      <c r="C76" s="1294" t="s">
        <v>671</v>
      </c>
      <c r="D76" s="475">
        <v>121254.69555612718</v>
      </c>
      <c r="E76" s="475">
        <v>125545.37791122752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304152.60888774565</v>
      </c>
      <c r="C83" s="475">
        <v>304152.60888774565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1052.6502044248073</v>
      </c>
    </row>
    <row r="92" spans="1:6">
      <c r="A92" s="341" t="s">
        <v>69</v>
      </c>
      <c r="B92" s="342">
        <v>62.643473627785283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2975</v>
      </c>
    </row>
    <row r="98" spans="1:6">
      <c r="A98" s="348" t="s">
        <v>72</v>
      </c>
      <c r="B98" s="334">
        <v>3</v>
      </c>
    </row>
    <row r="99" spans="1:6">
      <c r="A99" s="348" t="s">
        <v>73</v>
      </c>
      <c r="B99" s="334">
        <v>8</v>
      </c>
    </row>
    <row r="100" spans="1:6">
      <c r="A100" s="348" t="s">
        <v>74</v>
      </c>
      <c r="B100" s="334">
        <v>268</v>
      </c>
    </row>
    <row r="101" spans="1:6">
      <c r="A101" s="348" t="s">
        <v>75</v>
      </c>
      <c r="B101" s="334">
        <v>38</v>
      </c>
    </row>
    <row r="102" spans="1:6">
      <c r="A102" s="348" t="s">
        <v>76</v>
      </c>
      <c r="B102" s="334">
        <v>57</v>
      </c>
    </row>
    <row r="103" spans="1:6">
      <c r="A103" s="348" t="s">
        <v>77</v>
      </c>
      <c r="B103" s="334">
        <v>91</v>
      </c>
    </row>
    <row r="104" spans="1:6">
      <c r="A104" s="348" t="s">
        <v>78</v>
      </c>
      <c r="B104" s="334">
        <v>409</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27</v>
      </c>
    </row>
    <row r="130" spans="1:6">
      <c r="A130" s="348" t="s">
        <v>295</v>
      </c>
      <c r="B130" s="334">
        <v>1</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49396.675451634357</v>
      </c>
      <c r="C3" s="43" t="s">
        <v>170</v>
      </c>
      <c r="D3" s="43"/>
      <c r="E3" s="154"/>
      <c r="F3" s="43"/>
      <c r="G3" s="43"/>
      <c r="H3" s="43"/>
      <c r="I3" s="43"/>
      <c r="J3" s="43"/>
      <c r="K3" s="96"/>
    </row>
    <row r="4" spans="1:11">
      <c r="A4" s="383" t="s">
        <v>171</v>
      </c>
      <c r="B4" s="49">
        <f>IF(ISERROR('SEAP template'!B78+'SEAP template'!C78),0,'SEAP template'!B78+'SEAP template'!C78)</f>
        <v>1115.2936780525924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0.21601019247558556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414.108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414.108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0.21601019247558556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89.45154878567979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14645.195</v>
      </c>
      <c r="C5" s="17">
        <f>IF(ISERROR('Eigen informatie GS &amp; warmtenet'!B57),0,'Eigen informatie GS &amp; warmtenet'!B57)</f>
        <v>0</v>
      </c>
      <c r="D5" s="30">
        <f>(SUM(HH_hh_gas_kWh,HH_rest_gas_kWh)/1000)*0.902</f>
        <v>53236.214988000007</v>
      </c>
      <c r="E5" s="17">
        <f>B46*B57</f>
        <v>219.55198086173263</v>
      </c>
      <c r="F5" s="17">
        <f>B51*B62</f>
        <v>0</v>
      </c>
      <c r="G5" s="18"/>
      <c r="H5" s="17"/>
      <c r="I5" s="17"/>
      <c r="J5" s="17">
        <f>B50*B61+C50*C61</f>
        <v>0</v>
      </c>
      <c r="K5" s="17"/>
      <c r="L5" s="17"/>
      <c r="M5" s="17"/>
      <c r="N5" s="17">
        <f>B48*B59+C48*C59</f>
        <v>2961.8250100258188</v>
      </c>
      <c r="O5" s="17">
        <f>B69*B70*B71</f>
        <v>51.589999999999996</v>
      </c>
      <c r="P5" s="17">
        <f>B77*B78*B79/1000-B77*B78*B79/1000/B80</f>
        <v>171.6</v>
      </c>
    </row>
    <row r="6" spans="1:16">
      <c r="A6" s="16" t="s">
        <v>624</v>
      </c>
      <c r="B6" s="788">
        <f>kWh_PV_kleiner_dan_10kW</f>
        <v>1052.6502044248073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15697.845204424808</v>
      </c>
      <c r="C8" s="21">
        <f>C5</f>
        <v>0</v>
      </c>
      <c r="D8" s="21">
        <f>D5</f>
        <v>53236.214988000007</v>
      </c>
      <c r="E8" s="21">
        <f>E5</f>
        <v>219.55198086173263</v>
      </c>
      <c r="F8" s="21">
        <f>F5</f>
        <v>0</v>
      </c>
      <c r="G8" s="21"/>
      <c r="H8" s="21"/>
      <c r="I8" s="21"/>
      <c r="J8" s="21">
        <f>J5</f>
        <v>0</v>
      </c>
      <c r="K8" s="21"/>
      <c r="L8" s="21">
        <f>L5</f>
        <v>0</v>
      </c>
      <c r="M8" s="21">
        <f>M5</f>
        <v>0</v>
      </c>
      <c r="N8" s="21">
        <f>N5</f>
        <v>2961.8250100258188</v>
      </c>
      <c r="O8" s="21">
        <f>O5</f>
        <v>51.589999999999996</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0.21601019247558556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3390.8945640597503</v>
      </c>
      <c r="C12" s="23">
        <f ca="1">C10*C8</f>
        <v>0</v>
      </c>
      <c r="D12" s="23">
        <f>D8*D10</f>
        <v>10753.715427576002</v>
      </c>
      <c r="E12" s="23">
        <f>E10*E8</f>
        <v>49.838299655613312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2975</v>
      </c>
      <c r="C18" s="166" t="s">
        <v>111</v>
      </c>
      <c r="D18" s="228"/>
      <c r="E18" s="15"/>
    </row>
    <row r="19" spans="1:7">
      <c r="A19" s="171" t="s">
        <v>72</v>
      </c>
      <c r="B19" s="37">
        <f>aantalw2001_ander</f>
        <v>3</v>
      </c>
      <c r="C19" s="166" t="s">
        <v>111</v>
      </c>
      <c r="D19" s="229"/>
      <c r="E19" s="15"/>
    </row>
    <row r="20" spans="1:7">
      <c r="A20" s="171" t="s">
        <v>73</v>
      </c>
      <c r="B20" s="37">
        <f>aantalw2001_propaan</f>
        <v>8</v>
      </c>
      <c r="C20" s="167">
        <f>IF(ISERROR(B20/SUM($B$20,$B$21,$B$22)*100),0,B20/SUM($B$20,$B$21,$B$22)*100)</f>
        <v>2.547770700636943</v>
      </c>
      <c r="D20" s="229"/>
      <c r="E20" s="15"/>
    </row>
    <row r="21" spans="1:7">
      <c r="A21" s="171" t="s">
        <v>74</v>
      </c>
      <c r="B21" s="37">
        <f>aantalw2001_elektriciteit</f>
        <v>268</v>
      </c>
      <c r="C21" s="167">
        <f>IF(ISERROR(B21/SUM($B$20,$B$21,$B$22)*100),0,B21/SUM($B$20,$B$21,$B$22)*100)</f>
        <v>85.350318471337587</v>
      </c>
      <c r="D21" s="229"/>
      <c r="E21" s="15"/>
    </row>
    <row r="22" spans="1:7">
      <c r="A22" s="171" t="s">
        <v>75</v>
      </c>
      <c r="B22" s="37">
        <f>aantalw2001_hout</f>
        <v>38</v>
      </c>
      <c r="C22" s="167">
        <f>IF(ISERROR(B22/SUM($B$20,$B$21,$B$22)*100),0,B22/SUM($B$20,$B$21,$B$22)*100)</f>
        <v>12.101910828025478</v>
      </c>
      <c r="D22" s="229"/>
      <c r="E22" s="15"/>
    </row>
    <row r="23" spans="1:7">
      <c r="A23" s="171" t="s">
        <v>76</v>
      </c>
      <c r="B23" s="37">
        <f>aantalw2001_niet_gespec</f>
        <v>57</v>
      </c>
      <c r="C23" s="166" t="s">
        <v>111</v>
      </c>
      <c r="D23" s="228"/>
      <c r="E23" s="15"/>
    </row>
    <row r="24" spans="1:7">
      <c r="A24" s="171" t="s">
        <v>77</v>
      </c>
      <c r="B24" s="37">
        <f>aantalw2001_steenkool</f>
        <v>91</v>
      </c>
      <c r="C24" s="166" t="s">
        <v>111</v>
      </c>
      <c r="D24" s="229"/>
      <c r="E24" s="15"/>
    </row>
    <row r="25" spans="1:7">
      <c r="A25" s="171" t="s">
        <v>78</v>
      </c>
      <c r="B25" s="37">
        <f>aantalw2001_stookolie</f>
        <v>409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4552</v>
      </c>
      <c r="C28" s="36"/>
      <c r="D28" s="228"/>
    </row>
    <row r="29" spans="1:7" s="15" customFormat="1">
      <c r="A29" s="230" t="s">
        <v>699</v>
      </c>
      <c r="B29" s="37">
        <f>SUM(HH_hh_gas_aantal,HH_rest_gas_aantal)</f>
        <v>4162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4162</v>
      </c>
      <c r="C32" s="167">
        <f>IF(ISERROR(B32/SUM($B$32,$B$34,$B$35,$B$36,$B$38,$B$39)*100),0,B32/SUM($B$32,$B$34,$B$35,$B$36,$B$38,$B$39)*100)</f>
        <v>91.613471274488219</v>
      </c>
      <c r="D32" s="233"/>
      <c r="G32" s="15"/>
    </row>
    <row r="33" spans="1:7">
      <c r="A33" s="171" t="s">
        <v>72</v>
      </c>
      <c r="B33" s="34" t="s">
        <v>111</v>
      </c>
      <c r="C33" s="167"/>
      <c r="D33" s="233"/>
      <c r="G33" s="15"/>
    </row>
    <row r="34" spans="1:7">
      <c r="A34" s="171" t="s">
        <v>73</v>
      </c>
      <c r="B34" s="33">
        <f>IF((($B$28-$B$32-$B$39-$B$77-$B$38)*C20/100)&lt;0,0,($B$28-$B$32-$B$39-$B$77-$B$38)*C20/100)</f>
        <v>9.7070063694267521</v>
      </c>
      <c r="C34" s="167">
        <f>IF(ISERROR(B34/SUM($B$32,$B$34,$B$35,$B$36,$B$38,$B$39)*100),0,B34/SUM($B$32,$B$34,$B$35,$B$36,$B$38,$B$39)*100)</f>
        <v>0.21366952166908984</v>
      </c>
      <c r="D34" s="233"/>
      <c r="G34" s="15"/>
    </row>
    <row r="35" spans="1:7">
      <c r="A35" s="171" t="s">
        <v>74</v>
      </c>
      <c r="B35" s="33">
        <f>IF((($B$28-$B$32-$B$39-$B$77-$B$38)*C21/100)&lt;0,0,($B$28-$B$32-$B$39-$B$77-$B$38)*C21/100)</f>
        <v>325.18471337579621</v>
      </c>
      <c r="C35" s="167">
        <f>IF(ISERROR(B35/SUM($B$32,$B$34,$B$35,$B$36,$B$38,$B$39)*100),0,B35/SUM($B$32,$B$34,$B$35,$B$36,$B$38,$B$39)*100)</f>
        <v>7.1579289759145102</v>
      </c>
      <c r="D35" s="233"/>
      <c r="G35" s="15"/>
    </row>
    <row r="36" spans="1:7">
      <c r="A36" s="171" t="s">
        <v>75</v>
      </c>
      <c r="B36" s="33">
        <f>IF((($B$28-$B$32-$B$39-$B$77-$B$38)*C22/100)&lt;0,0,($B$28-$B$32-$B$39-$B$77-$B$38)*C22/100)</f>
        <v>46.108280254777071</v>
      </c>
      <c r="C36" s="167">
        <f>IF(ISERROR(B36/SUM($B$32,$B$34,$B$35,$B$36,$B$38,$B$39)*100),0,B36/SUM($B$32,$B$34,$B$35,$B$36,$B$38,$B$39)*100)</f>
        <v>1.0149302279281769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4162</v>
      </c>
      <c r="C44" s="34" t="s">
        <v>111</v>
      </c>
      <c r="D44" s="174"/>
    </row>
    <row r="45" spans="1:7">
      <c r="A45" s="171" t="s">
        <v>72</v>
      </c>
      <c r="B45" s="33" t="str">
        <f t="shared" si="0"/>
        <v>-</v>
      </c>
      <c r="C45" s="34" t="s">
        <v>111</v>
      </c>
      <c r="D45" s="174"/>
    </row>
    <row r="46" spans="1:7">
      <c r="A46" s="171" t="s">
        <v>73</v>
      </c>
      <c r="B46" s="33">
        <f t="shared" si="0"/>
        <v>9.7070063694267521</v>
      </c>
      <c r="C46" s="34" t="s">
        <v>111</v>
      </c>
      <c r="D46" s="174"/>
    </row>
    <row r="47" spans="1:7">
      <c r="A47" s="171" t="s">
        <v>74</v>
      </c>
      <c r="B47" s="33">
        <f t="shared" si="0"/>
        <v>325.18471337579621</v>
      </c>
      <c r="C47" s="34" t="s">
        <v>111</v>
      </c>
      <c r="D47" s="174"/>
    </row>
    <row r="48" spans="1:7">
      <c r="A48" s="171" t="s">
        <v>75</v>
      </c>
      <c r="B48" s="33">
        <f t="shared" si="0"/>
        <v>46.108280254777071</v>
      </c>
      <c r="C48" s="33">
        <f>B48*10</f>
        <v>461.08280254777071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9246.6950000000015</v>
      </c>
      <c r="C5" s="17">
        <f>IF(ISERROR('Eigen informatie GS &amp; warmtenet'!B58),0,'Eigen informatie GS &amp; warmtenet'!B58)</f>
        <v>0</v>
      </c>
      <c r="D5" s="30">
        <f>SUM(D6:D12)</f>
        <v>20765.500338000002</v>
      </c>
      <c r="E5" s="17">
        <f>SUM(E6:E12)</f>
        <v>214.69327506766314</v>
      </c>
      <c r="F5" s="17">
        <f>SUM(F6:F12)</f>
        <v>2190.51163303161</v>
      </c>
      <c r="G5" s="18"/>
      <c r="H5" s="17"/>
      <c r="I5" s="17"/>
      <c r="J5" s="17">
        <f>SUM(J6:J12)</f>
        <v>0</v>
      </c>
      <c r="K5" s="17"/>
      <c r="L5" s="17"/>
      <c r="M5" s="17"/>
      <c r="N5" s="17">
        <f>SUM(N6:N12)</f>
        <v>844.30107537960271</v>
      </c>
      <c r="O5" s="17">
        <f>B38*B39*B40</f>
        <v>1.5633333333333335</v>
      </c>
      <c r="P5" s="17">
        <f>B46*B47*B48/1000-B46*B47*B48/1000/B49</f>
        <v>38.133333333333333</v>
      </c>
      <c r="R5" s="32"/>
    </row>
    <row r="6" spans="1:18">
      <c r="A6" s="32" t="s">
        <v>54</v>
      </c>
      <c r="B6" s="37">
        <f>B26</f>
        <v>2233.0140000000001</v>
      </c>
      <c r="C6" s="33"/>
      <c r="D6" s="37">
        <f>IF(ISERROR(TER_kantoor_gas_kWh/1000),0,TER_kantoor_gas_kWh/1000)*0.902</f>
        <v>16890.778938000003</v>
      </c>
      <c r="E6" s="33">
        <f>$C$26*'E Balans VL '!I12/100/3.6*1000000</f>
        <v>29.232903934389146</v>
      </c>
      <c r="F6" s="33">
        <f>$C$26*('E Balans VL '!L12+'E Balans VL '!N12)/100/3.6*1000000</f>
        <v>569.39549489529213</v>
      </c>
      <c r="G6" s="34"/>
      <c r="H6" s="33"/>
      <c r="I6" s="33"/>
      <c r="J6" s="33">
        <f>$C$26*('E Balans VL '!D12+'E Balans VL '!E12)/100/3.6*1000000</f>
        <v>0</v>
      </c>
      <c r="K6" s="33"/>
      <c r="L6" s="33"/>
      <c r="M6" s="33"/>
      <c r="N6" s="33">
        <f>$C$26*'E Balans VL '!Y12/100/3.6*1000000</f>
        <v>2.2405335550384966</v>
      </c>
      <c r="O6" s="33"/>
      <c r="P6" s="33"/>
      <c r="R6" s="32"/>
    </row>
    <row r="7" spans="1:18">
      <c r="A7" s="32" t="s">
        <v>53</v>
      </c>
      <c r="B7" s="37">
        <f t="shared" ref="B7:B12" si="0">B27</f>
        <v>873.375</v>
      </c>
      <c r="C7" s="33"/>
      <c r="D7" s="37">
        <f>IF(ISERROR(TER_horeca_gas_kWh/1000),0,TER_horeca_gas_kWh/1000)*0.902</f>
        <v>1168.8918779999999</v>
      </c>
      <c r="E7" s="33">
        <f>$C$27*'E Balans VL '!I9/100/3.6*1000000</f>
        <v>28.903399938089894</v>
      </c>
      <c r="F7" s="33">
        <f>$C$27*('E Balans VL '!L9+'E Balans VL '!N9)/100/3.6*1000000</f>
        <v>375.54790282156216</v>
      </c>
      <c r="G7" s="34"/>
      <c r="H7" s="33"/>
      <c r="I7" s="33"/>
      <c r="J7" s="33">
        <f>$C$27*('E Balans VL '!D9+'E Balans VL '!E9)/100/3.6*1000000</f>
        <v>0</v>
      </c>
      <c r="K7" s="33"/>
      <c r="L7" s="33"/>
      <c r="M7" s="33"/>
      <c r="N7" s="33">
        <f>$C$27*'E Balans VL '!Y9/100/3.6*1000000</f>
        <v>0.2102340452968213</v>
      </c>
      <c r="O7" s="33"/>
      <c r="P7" s="33"/>
      <c r="R7" s="32"/>
    </row>
    <row r="8" spans="1:18">
      <c r="A8" s="6" t="s">
        <v>52</v>
      </c>
      <c r="B8" s="37">
        <f t="shared" si="0"/>
        <v>4906.5360000000001</v>
      </c>
      <c r="C8" s="33"/>
      <c r="D8" s="37">
        <f>IF(ISERROR(TER_handel_gas_kWh/1000),0,TER_handel_gas_kWh/1000)*0.902</f>
        <v>1200.9119759999999</v>
      </c>
      <c r="E8" s="33">
        <f>$C$28*'E Balans VL '!I13/100/3.6*1000000</f>
        <v>154.857773123849</v>
      </c>
      <c r="F8" s="33">
        <f>$C$28*('E Balans VL '!L13+'E Balans VL '!N13)/100/3.6*1000000</f>
        <v>962.25810833485104</v>
      </c>
      <c r="G8" s="34"/>
      <c r="H8" s="33"/>
      <c r="I8" s="33"/>
      <c r="J8" s="33">
        <f>$C$28*('E Balans VL '!D13+'E Balans VL '!E13)/100/3.6*1000000</f>
        <v>0</v>
      </c>
      <c r="K8" s="33"/>
      <c r="L8" s="33"/>
      <c r="M8" s="33"/>
      <c r="N8" s="33">
        <f>$C$28*'E Balans VL '!Y13/100/3.6*1000000</f>
        <v>5.823105639730068</v>
      </c>
      <c r="O8" s="33"/>
      <c r="P8" s="33"/>
      <c r="R8" s="32"/>
    </row>
    <row r="9" spans="1:18">
      <c r="A9" s="32" t="s">
        <v>51</v>
      </c>
      <c r="B9" s="37">
        <f t="shared" si="0"/>
        <v>123.143</v>
      </c>
      <c r="C9" s="33"/>
      <c r="D9" s="37">
        <f>IF(ISERROR(TER_gezond_gas_kWh/1000),0,TER_gezond_gas_kWh/1000)*0.902</f>
        <v>270.44214999999997</v>
      </c>
      <c r="E9" s="33">
        <f>$C$29*'E Balans VL '!I10/100/3.6*1000000</f>
        <v>1.5765906468532979E-2</v>
      </c>
      <c r="F9" s="33">
        <f>$C$29*('E Balans VL '!L10+'E Balans VL '!N10)/100/3.6*1000000</f>
        <v>25.655848296137801</v>
      </c>
      <c r="G9" s="34"/>
      <c r="H9" s="33"/>
      <c r="I9" s="33"/>
      <c r="J9" s="33">
        <f>$C$29*('E Balans VL '!D10+'E Balans VL '!E10)/100/3.6*1000000</f>
        <v>0</v>
      </c>
      <c r="K9" s="33"/>
      <c r="L9" s="33"/>
      <c r="M9" s="33"/>
      <c r="N9" s="33">
        <f>$C$29*'E Balans VL '!Y10/100/3.6*1000000</f>
        <v>1.4463727400337727</v>
      </c>
      <c r="O9" s="33"/>
      <c r="P9" s="33"/>
      <c r="R9" s="32"/>
    </row>
    <row r="10" spans="1:18">
      <c r="A10" s="32" t="s">
        <v>50</v>
      </c>
      <c r="B10" s="37">
        <f t="shared" si="0"/>
        <v>1058.9000000000001</v>
      </c>
      <c r="C10" s="33"/>
      <c r="D10" s="37">
        <f>IF(ISERROR(TER_ander_gas_kWh/1000),0,TER_ander_gas_kWh/1000)*0.902</f>
        <v>958.58246000000008</v>
      </c>
      <c r="E10" s="33">
        <f>$C$30*'E Balans VL '!I14/100/3.6*1000000</f>
        <v>1.5923365831589511</v>
      </c>
      <c r="F10" s="33">
        <f>$C$30*('E Balans VL '!L14+'E Balans VL '!N14)/100/3.6*1000000</f>
        <v>233.77098678524999</v>
      </c>
      <c r="G10" s="34"/>
      <c r="H10" s="33"/>
      <c r="I10" s="33"/>
      <c r="J10" s="33">
        <f>$C$30*('E Balans VL '!D14+'E Balans VL '!E14)/100/3.6*1000000</f>
        <v>0</v>
      </c>
      <c r="K10" s="33"/>
      <c r="L10" s="33"/>
      <c r="M10" s="33"/>
      <c r="N10" s="33">
        <f>$C$30*'E Balans VL '!Y14/100/3.6*1000000</f>
        <v>834.48446128318221</v>
      </c>
      <c r="O10" s="33"/>
      <c r="P10" s="33"/>
      <c r="R10" s="32"/>
    </row>
    <row r="11" spans="1:18">
      <c r="A11" s="32" t="s">
        <v>55</v>
      </c>
      <c r="B11" s="37">
        <f t="shared" si="0"/>
        <v>51.726999999999997</v>
      </c>
      <c r="C11" s="33"/>
      <c r="D11" s="37">
        <f>IF(ISERROR(TER_onderwijs_gas_kWh/1000),0,TER_onderwijs_gas_kWh/1000)*0.902</f>
        <v>275.89293600000002</v>
      </c>
      <c r="E11" s="33">
        <f>$C$31*'E Balans VL '!I11/100/3.6*1000000</f>
        <v>9.1095581707616488E-2</v>
      </c>
      <c r="F11" s="33">
        <f>$C$31*('E Balans VL '!L11+'E Balans VL '!N11)/100/3.6*1000000</f>
        <v>23.88329189851693</v>
      </c>
      <c r="G11" s="34"/>
      <c r="H11" s="33"/>
      <c r="I11" s="33"/>
      <c r="J11" s="33">
        <f>$C$31*('E Balans VL '!D11+'E Balans VL '!E11)/100/3.6*1000000</f>
        <v>0</v>
      </c>
      <c r="K11" s="33"/>
      <c r="L11" s="33"/>
      <c r="M11" s="33"/>
      <c r="N11" s="33">
        <f>$C$31*'E Balans VL '!Y11/100/3.6*1000000</f>
        <v>9.6368116321236374E-2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9246.6950000000015</v>
      </c>
      <c r="C16" s="21">
        <f t="shared" ca="1" si="1"/>
        <v>0</v>
      </c>
      <c r="D16" s="21">
        <f t="shared" ca="1" si="1"/>
        <v>20765.500338000002</v>
      </c>
      <c r="E16" s="21">
        <f t="shared" si="1"/>
        <v>214.69327506766314</v>
      </c>
      <c r="F16" s="21">
        <f t="shared" ca="1" si="1"/>
        <v>2190.51163303161</v>
      </c>
      <c r="G16" s="21">
        <f t="shared" si="1"/>
        <v>0</v>
      </c>
      <c r="H16" s="21">
        <f t="shared" si="1"/>
        <v>0</v>
      </c>
      <c r="I16" s="21">
        <f t="shared" si="1"/>
        <v>0</v>
      </c>
      <c r="J16" s="21">
        <f t="shared" si="1"/>
        <v>0</v>
      </c>
      <c r="K16" s="21">
        <f t="shared" si="1"/>
        <v>0</v>
      </c>
      <c r="L16" s="21">
        <f t="shared" ca="1" si="1"/>
        <v>0</v>
      </c>
      <c r="M16" s="21">
        <f t="shared" si="1"/>
        <v>0</v>
      </c>
      <c r="N16" s="21">
        <f t="shared" ca="1" si="1"/>
        <v>844.30107537960271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0.21601019247558556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1997.3803667130348</v>
      </c>
      <c r="C20" s="23">
        <f t="shared" ref="C20:P20" ca="1" si="2">C16*C18</f>
        <v>0</v>
      </c>
      <c r="D20" s="23">
        <f t="shared" ca="1" si="2"/>
        <v>4194.6310682760004</v>
      </c>
      <c r="E20" s="23">
        <f t="shared" si="2"/>
        <v>48.735373440359531</v>
      </c>
      <c r="F20" s="23">
        <f t="shared" ca="1" si="2"/>
        <v>584.86660601943993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2233.0140000000001</v>
      </c>
      <c r="C26" s="39">
        <f>IF(ISERROR(B26*3.6/1000000/'E Balans VL '!Z12*100),0,B26*3.6/1000000/'E Balans VL '!Z12*100)</f>
        <v>4.7832894641025824E-2</v>
      </c>
      <c r="D26" s="237" t="s">
        <v>660</v>
      </c>
      <c r="F26" s="6"/>
    </row>
    <row r="27" spans="1:18">
      <c r="A27" s="231" t="s">
        <v>53</v>
      </c>
      <c r="B27" s="33">
        <f>IF(ISERROR(TER_horeca_ele_kWh/1000),0,TER_horeca_ele_kWh/1000)</f>
        <v>873.375</v>
      </c>
      <c r="C27" s="39">
        <f>IF(ISERROR(B27*3.6/1000000/'E Balans VL '!Z9*100),0,B27*3.6/1000000/'E Balans VL '!Z9*100)</f>
        <v>7.0085307929487126E-2</v>
      </c>
      <c r="D27" s="237" t="s">
        <v>660</v>
      </c>
      <c r="F27" s="6"/>
    </row>
    <row r="28" spans="1:18">
      <c r="A28" s="171" t="s">
        <v>52</v>
      </c>
      <c r="B28" s="33">
        <f>IF(ISERROR(TER_handel_ele_kWh/1000),0,TER_handel_ele_kWh/1000)</f>
        <v>4906.5360000000001</v>
      </c>
      <c r="C28" s="39">
        <f>IF(ISERROR(B28*3.6/1000000/'E Balans VL '!Z13*100),0,B28*3.6/1000000/'E Balans VL '!Z13*100)</f>
        <v>0.14471466923202783</v>
      </c>
      <c r="D28" s="237" t="s">
        <v>660</v>
      </c>
      <c r="F28" s="6"/>
    </row>
    <row r="29" spans="1:18">
      <c r="A29" s="231" t="s">
        <v>51</v>
      </c>
      <c r="B29" s="33">
        <f>IF(ISERROR(TER_gezond_ele_kWh/1000),0,TER_gezond_ele_kWh/1000)</f>
        <v>123.143</v>
      </c>
      <c r="C29" s="39">
        <f>IF(ISERROR(B29*3.6/1000000/'E Balans VL '!Z10*100),0,B29*3.6/1000000/'E Balans VL '!Z10*100)</f>
        <v>1.3148370812361485E-2</v>
      </c>
      <c r="D29" s="237" t="s">
        <v>660</v>
      </c>
      <c r="F29" s="6"/>
    </row>
    <row r="30" spans="1:18">
      <c r="A30" s="231" t="s">
        <v>50</v>
      </c>
      <c r="B30" s="33">
        <f>IF(ISERROR(TER_ander_ele_kWh/1000),0,TER_ander_ele_kWh/1000)</f>
        <v>1058.9000000000001</v>
      </c>
      <c r="C30" s="39">
        <f>IF(ISERROR(B30*3.6/1000000/'E Balans VL '!Z14*100),0,B30*3.6/1000000/'E Balans VL '!Z14*100)</f>
        <v>7.9982875132574779E-2</v>
      </c>
      <c r="D30" s="237" t="s">
        <v>660</v>
      </c>
      <c r="F30" s="6"/>
    </row>
    <row r="31" spans="1:18">
      <c r="A31" s="231" t="s">
        <v>55</v>
      </c>
      <c r="B31" s="33">
        <f>IF(ISERROR(TER_onderwijs_ele_kWh/1000),0,TER_onderwijs_ele_kWh/1000)</f>
        <v>51.726999999999997</v>
      </c>
      <c r="C31" s="39">
        <f>IF(ISERROR(B31*3.6/1000000/'E Balans VL '!Z11*100),0,B31*3.6/1000000/'E Balans VL '!Z11*100)</f>
        <v>1.0445408080661078E-2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23497.119999999999</v>
      </c>
      <c r="C5" s="17">
        <f>IF(ISERROR('Eigen informatie GS &amp; warmtenet'!B59),0,'Eigen informatie GS &amp; warmtenet'!B59)</f>
        <v>0</v>
      </c>
      <c r="D5" s="30">
        <f>SUM(D6:D15)</f>
        <v>52298.617558000005</v>
      </c>
      <c r="E5" s="17">
        <f>SUM(E6:E15)</f>
        <v>1343.5727391092432</v>
      </c>
      <c r="F5" s="17">
        <f>SUM(F6:F15)</f>
        <v>5397.702084647407</v>
      </c>
      <c r="G5" s="18"/>
      <c r="H5" s="17"/>
      <c r="I5" s="17"/>
      <c r="J5" s="17">
        <f>SUM(J6:J15)</f>
        <v>180.37093077373439</v>
      </c>
      <c r="K5" s="17"/>
      <c r="L5" s="17"/>
      <c r="M5" s="17"/>
      <c r="N5" s="17">
        <f>SUM(N6:N15)</f>
        <v>4672.8778062045631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23.65</v>
      </c>
      <c r="C8" s="33"/>
      <c r="D8" s="37">
        <f>IF( ISERROR(IND_metaal_Gas_kWH/1000),0,IND_metaal_Gas_kWH/1000)*0.902</f>
        <v>2383.56657</v>
      </c>
      <c r="E8" s="33">
        <f>C30*'E Balans VL '!I18/100/3.6*1000000</f>
        <v>0.85099854609996739</v>
      </c>
      <c r="F8" s="33">
        <f>C30*'E Balans VL '!L18/100/3.6*1000000+C30*'E Balans VL '!N18/100/3.6*1000000</f>
        <v>10.327188349483828</v>
      </c>
      <c r="G8" s="34"/>
      <c r="H8" s="33"/>
      <c r="I8" s="33"/>
      <c r="J8" s="40">
        <f>C30*'E Balans VL '!D18/100/3.6*1000000+C30*'E Balans VL '!E18/100/3.6*1000000</f>
        <v>0</v>
      </c>
      <c r="K8" s="33"/>
      <c r="L8" s="33"/>
      <c r="M8" s="33"/>
      <c r="N8" s="33">
        <f>C30*'E Balans VL '!Y18/100/3.6*1000000</f>
        <v>1.1853219281220302</v>
      </c>
      <c r="O8" s="33"/>
      <c r="P8" s="33"/>
      <c r="R8" s="32"/>
    </row>
    <row r="9" spans="1:18">
      <c r="A9" s="6" t="s">
        <v>33</v>
      </c>
      <c r="B9" s="37">
        <f t="shared" si="0"/>
        <v>477.68200000000002</v>
      </c>
      <c r="C9" s="33"/>
      <c r="D9" s="37">
        <f>IF( ISERROR(IND_andere_gas_kWh/1000),0,IND_andere_gas_kWh/1000)*0.902</f>
        <v>478.92772400000001</v>
      </c>
      <c r="E9" s="33">
        <f>C31*'E Balans VL '!I19/100/3.6*1000000</f>
        <v>121.89363854203317</v>
      </c>
      <c r="F9" s="33">
        <f>C31*'E Balans VL '!L19/100/3.6*1000000+C31*'E Balans VL '!N19/100/3.6*1000000</f>
        <v>411.24829802505337</v>
      </c>
      <c r="G9" s="34"/>
      <c r="H9" s="33"/>
      <c r="I9" s="33"/>
      <c r="J9" s="40">
        <f>C31*'E Balans VL '!D19/100/3.6*1000000+C31*'E Balans VL '!E19/100/3.6*1000000</f>
        <v>0</v>
      </c>
      <c r="K9" s="33"/>
      <c r="L9" s="33"/>
      <c r="M9" s="33"/>
      <c r="N9" s="33">
        <f>C31*'E Balans VL '!Y19/100/3.6*1000000</f>
        <v>149.38752029999648</v>
      </c>
      <c r="O9" s="33"/>
      <c r="P9" s="33"/>
      <c r="R9" s="32"/>
    </row>
    <row r="10" spans="1:18">
      <c r="A10" s="6" t="s">
        <v>41</v>
      </c>
      <c r="B10" s="37">
        <f t="shared" si="0"/>
        <v>164.95599999999999</v>
      </c>
      <c r="C10" s="33"/>
      <c r="D10" s="37">
        <f>IF( ISERROR(IND_voed_gas_kWh/1000),0,IND_voed_gas_kWh/1000)*0.902</f>
        <v>258.16141999999996</v>
      </c>
      <c r="E10" s="33">
        <f>C32*'E Balans VL '!I20/100/3.6*1000000</f>
        <v>4.1934080231495496</v>
      </c>
      <c r="F10" s="33">
        <f>C32*'E Balans VL '!L20/100/3.6*1000000+C32*'E Balans VL '!N20/100/3.6*1000000</f>
        <v>37.327066596892102</v>
      </c>
      <c r="G10" s="34"/>
      <c r="H10" s="33"/>
      <c r="I10" s="33"/>
      <c r="J10" s="40">
        <f>C32*'E Balans VL '!D20/100/3.6*1000000+C32*'E Balans VL '!E20/100/3.6*1000000</f>
        <v>0</v>
      </c>
      <c r="K10" s="33"/>
      <c r="L10" s="33"/>
      <c r="M10" s="33"/>
      <c r="N10" s="33">
        <f>C32*'E Balans VL '!Y20/100/3.6*1000000</f>
        <v>61.862971308252916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680.09900000000005</v>
      </c>
      <c r="C12" s="33"/>
      <c r="D12" s="37">
        <f>IF( ISERROR(IND_min_gas_kWh/1000),0,IND_min_gas_kWh/1000)*0.902</f>
        <v>53.900813999999997</v>
      </c>
      <c r="E12" s="33">
        <f>C34*'E Balans VL '!I22/100/3.6*1000000</f>
        <v>14.450399270777819</v>
      </c>
      <c r="F12" s="33">
        <f>C34*'E Balans VL '!L22/100/3.6*1000000+C34*'E Balans VL '!N22/100/3.6*1000000</f>
        <v>110.96394772074633</v>
      </c>
      <c r="G12" s="34"/>
      <c r="H12" s="33"/>
      <c r="I12" s="33"/>
      <c r="J12" s="40">
        <f>C34*'E Balans VL '!D22/100/3.6*1000000+C34*'E Balans VL '!E22/100/3.6*1000000</f>
        <v>0.79237880218685708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22150.733</v>
      </c>
      <c r="C15" s="33"/>
      <c r="D15" s="37">
        <f>IF( ISERROR(IND_rest_gas_kWh/1000),0,IND_rest_gas_kWh/1000)*0.902</f>
        <v>49124.061030000004</v>
      </c>
      <c r="E15" s="33">
        <f>C37*'E Balans VL '!I15/100/3.6*1000000</f>
        <v>1202.1842947271828</v>
      </c>
      <c r="F15" s="33">
        <f>C37*'E Balans VL '!L15/100/3.6*1000000+C37*'E Balans VL '!N15/100/3.6*1000000</f>
        <v>4827.8355839552314</v>
      </c>
      <c r="G15" s="34"/>
      <c r="H15" s="33"/>
      <c r="I15" s="33"/>
      <c r="J15" s="40">
        <f>C37*'E Balans VL '!D15/100/3.6*1000000+C37*'E Balans VL '!E15/100/3.6*1000000</f>
        <v>179.57855197154754</v>
      </c>
      <c r="K15" s="33"/>
      <c r="L15" s="33"/>
      <c r="M15" s="33"/>
      <c r="N15" s="33">
        <f>C37*'E Balans VL '!Y15/100/3.6*1000000</f>
        <v>4460.4419926681912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23497.119999999999</v>
      </c>
      <c r="C18" s="21">
        <f>C5+C16</f>
        <v>0</v>
      </c>
      <c r="D18" s="21">
        <f>MAX((D5+D16),0)</f>
        <v>52298.617558000005</v>
      </c>
      <c r="E18" s="21">
        <f>MAX((E5+E16),0)</f>
        <v>1343.5727391092432</v>
      </c>
      <c r="F18" s="21">
        <f>MAX((F5+F16),0)</f>
        <v>5397.702084647407</v>
      </c>
      <c r="G18" s="21"/>
      <c r="H18" s="21"/>
      <c r="I18" s="21"/>
      <c r="J18" s="21">
        <f>MAX((J5+J16),0)</f>
        <v>180.37093077373439</v>
      </c>
      <c r="K18" s="21"/>
      <c r="L18" s="21">
        <f>MAX((L5+L16),0)</f>
        <v>0</v>
      </c>
      <c r="M18" s="21"/>
      <c r="N18" s="21">
        <f>MAX((N5+N16),0)</f>
        <v>4672.8778062045631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0.21601019247558556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5075.6174138219312</v>
      </c>
      <c r="C22" s="23">
        <f ca="1">C18*C20</f>
        <v>0</v>
      </c>
      <c r="D22" s="23">
        <f>D18*D20</f>
        <v>10564.320746716001</v>
      </c>
      <c r="E22" s="23">
        <f>E18*E20</f>
        <v>304.99101177779824</v>
      </c>
      <c r="F22" s="23">
        <f>F18*F20</f>
        <v>1441.1864566008578</v>
      </c>
      <c r="G22" s="23"/>
      <c r="H22" s="23"/>
      <c r="I22" s="23"/>
      <c r="J22" s="23">
        <f>J18*J20</f>
        <v>63.851309493901972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23.65</v>
      </c>
      <c r="C30" s="39">
        <f>IF(ISERROR(B30*3.6/1000000/'E Balans VL '!Z18*100),0,B30*3.6/1000000/'E Balans VL '!Z18*100)</f>
        <v>5.0109279573633831E-3</v>
      </c>
      <c r="D30" s="237" t="s">
        <v>660</v>
      </c>
    </row>
    <row r="31" spans="1:18">
      <c r="A31" s="6" t="s">
        <v>33</v>
      </c>
      <c r="B31" s="37">
        <f>IF( ISERROR(IND_ander_ele_kWh/1000),0,IND_ander_ele_kWh/1000)</f>
        <v>477.68200000000002</v>
      </c>
      <c r="C31" s="39">
        <f>IF(ISERROR(B31*3.6/1000000/'E Balans VL '!Z19*100),0,B31*3.6/1000000/'E Balans VL '!Z19*100)</f>
        <v>2.0106720035863591E-2</v>
      </c>
      <c r="D31" s="237" t="s">
        <v>660</v>
      </c>
    </row>
    <row r="32" spans="1:18">
      <c r="A32" s="171" t="s">
        <v>41</v>
      </c>
      <c r="B32" s="37">
        <f>IF( ISERROR(IND_voed_ele_kWh/1000),0,IND_voed_ele_kWh/1000)</f>
        <v>164.95599999999999</v>
      </c>
      <c r="C32" s="39">
        <f>IF(ISERROR(B32*3.6/1000000/'E Balans VL '!Z20*100),0,B32*3.6/1000000/'E Balans VL '!Z20*100)</f>
        <v>2.755776614877874E-2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680.09900000000005</v>
      </c>
      <c r="C34" s="39">
        <f>IF(ISERROR(B34*3.6/1000000/'E Balans VL '!Z22*100),0,B34*3.6/1000000/'E Balans VL '!Z22*100)</f>
        <v>8.6206216013074405E-2</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22150.733</v>
      </c>
      <c r="C37" s="39">
        <f>IF(ISERROR(B37*3.6/1000000/'E Balans VL '!Z15*100),0,B37*3.6/1000000/'E Balans VL '!Z15*100)</f>
        <v>0.17883144466594084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51.59</v>
      </c>
      <c r="C5" s="17">
        <f>'Eigen informatie GS &amp; warmtenet'!B60</f>
        <v>0</v>
      </c>
      <c r="D5" s="30">
        <f>IF(ISERROR(SUM(LB_lb_gas_kWh,LB_rest_gas_kWh)/1000),0,SUM(LB_lb_gas_kWh,LB_rest_gas_kWh)/1000)*0.902</f>
        <v>80.255449999999996</v>
      </c>
      <c r="E5" s="17">
        <f>B17*'E Balans VL '!I25/3.6*1000000/100</f>
        <v>1.3303080173012831</v>
      </c>
      <c r="F5" s="17">
        <f>B17*('E Balans VL '!L25/3.6*1000000+'E Balans VL '!N25/3.6*1000000)/100</f>
        <v>188.57127483823743</v>
      </c>
      <c r="G5" s="18"/>
      <c r="H5" s="17"/>
      <c r="I5" s="17"/>
      <c r="J5" s="17">
        <f>('E Balans VL '!D25+'E Balans VL '!E25)/3.6*1000000*landbouw!B17/100</f>
        <v>7.4270621763615461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51.59</v>
      </c>
      <c r="C8" s="21">
        <f>C5+C6</f>
        <v>0</v>
      </c>
      <c r="D8" s="21">
        <f>MAX((D5+D6),0)</f>
        <v>80.255449999999996</v>
      </c>
      <c r="E8" s="21">
        <f>MAX((E5+E6),0)</f>
        <v>1.3303080173012831</v>
      </c>
      <c r="F8" s="21">
        <f>MAX((F5+F6),0)</f>
        <v>188.57127483823743</v>
      </c>
      <c r="G8" s="21"/>
      <c r="H8" s="21"/>
      <c r="I8" s="21"/>
      <c r="J8" s="21">
        <f>MAX((J5+J6),0)</f>
        <v>7.4270621763615461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0.21601019247558556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11.14396582981546</v>
      </c>
      <c r="C12" s="23">
        <f ca="1">C8*C10</f>
        <v>0</v>
      </c>
      <c r="D12" s="23">
        <f>D8*D10</f>
        <v>16.211600900000001</v>
      </c>
      <c r="E12" s="23">
        <f>E8*E10</f>
        <v>0.30197991992739126</v>
      </c>
      <c r="F12" s="23">
        <f>F8*F10</f>
        <v>50.348530381809397</v>
      </c>
      <c r="G12" s="23"/>
      <c r="H12" s="23"/>
      <c r="I12" s="23"/>
      <c r="J12" s="23">
        <f>J8*J10</f>
        <v>2.6291800104319871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7.2745317244975547E-3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2.9357008740615906E-2</v>
      </c>
      <c r="C29" s="247">
        <f>B29*'GWP N2O_CH4'!B4</f>
        <v>9.1006727095909312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6.6069222729000383E-6</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2.8926889954368131E-5</v>
      </c>
      <c r="C5" s="463" t="s">
        <v>211</v>
      </c>
      <c r="D5" s="448">
        <f>SUM(D6:D11)</f>
        <v>5.9493107079891484E-5</v>
      </c>
      <c r="E5" s="448">
        <f>SUM(E6:E11)</f>
        <v>2.3275710022204916E-4</v>
      </c>
      <c r="F5" s="461" t="s">
        <v>211</v>
      </c>
      <c r="G5" s="448">
        <f>SUM(G6:G11)</f>
        <v>7.8798252520695694E-2</v>
      </c>
      <c r="H5" s="448">
        <f>SUM(H6:H11)</f>
        <v>1.6076178246532197E-2</v>
      </c>
      <c r="I5" s="463" t="s">
        <v>211</v>
      </c>
      <c r="J5" s="463" t="s">
        <v>211</v>
      </c>
      <c r="K5" s="463" t="s">
        <v>211</v>
      </c>
      <c r="L5" s="463" t="s">
        <v>211</v>
      </c>
      <c r="M5" s="448">
        <f>SUM(M6:M11)</f>
        <v>2.9642253289882832E-3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2.7611069915008736E-5</v>
      </c>
      <c r="C6" s="449"/>
      <c r="D6" s="892">
        <f>vkm_2011_GW_PW*SUMIFS(TableVerdeelsleutelVkm[CNG],TableVerdeelsleutelVkm[Voertuigtype],"Lichte voertuigen")*SUMIFS(TableECFTransport[EnergieConsumptieFactor (PJ per km)],TableECFTransport[Index],CONCATENATE($A6,"_CNG_CNG"))</f>
        <v>5.4863679571380038E-5</v>
      </c>
      <c r="E6" s="892">
        <f>vkm_2011_GW_PW*SUMIFS(TableVerdeelsleutelVkm[LPG],TableVerdeelsleutelVkm[Voertuigtype],"Lichte voertuigen")*SUMIFS(TableECFTransport[EnergieConsumptieFactor (PJ per km)],TableECFTransport[Index],CONCATENATE($A6,"_LPG_LPG"))</f>
        <v>2.1590824626816903E-4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5.1335572718653862E-2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1.4853248597282577E-2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2.0625047918558202E-3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2.2238725592723968E-2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7.1840582604285201E-6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7.0070821648496773E-4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1.3158200393593947E-6</v>
      </c>
      <c r="C8" s="449"/>
      <c r="D8" s="451">
        <f>vkm_2011_NGW_PW*SUMIFS(TableVerdeelsleutelVkm[CNG],TableVerdeelsleutelVkm[Voertuigtype],"Lichte voertuigen")*SUMIFS(TableECFTransport[EnergieConsumptieFactor (PJ per km)],TableECFTransport[Index],CONCATENATE($A8,"_CNG_CNG"))</f>
        <v>4.6294275085114465E-6</v>
      </c>
      <c r="E8" s="451">
        <f>vkm_2011_NGW_PW*SUMIFS(TableVerdeelsleutelVkm[LPG],TableVerdeelsleutelVkm[Voertuigtype],"Lichte voertuigen")*SUMIFS(TableECFTransport[EnergieConsumptieFactor (PJ per km)],TableECFTransport[Index],CONCATENATE($A8,"_LPG_LPG"))</f>
        <v>1.6848853953880131E-5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3.7409192162901452E-3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1.2152925112240099E-3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1.542849371138782E-4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1.4830349930277256E-3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4.5307976517991686E-7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4.6727383533617539E-5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8.0352472095467036</v>
      </c>
      <c r="C14" s="21"/>
      <c r="D14" s="21">
        <f t="shared" ref="D14:M14" si="0">((D5)*10^9/3600)+D12</f>
        <v>16.525863077747633</v>
      </c>
      <c r="E14" s="21">
        <f t="shared" si="0"/>
        <v>64.654750061680318</v>
      </c>
      <c r="F14" s="21"/>
      <c r="G14" s="21">
        <f t="shared" si="0"/>
        <v>21888.403477971027</v>
      </c>
      <c r="H14" s="21">
        <f t="shared" si="0"/>
        <v>4465.6050684811662</v>
      </c>
      <c r="I14" s="21"/>
      <c r="J14" s="21"/>
      <c r="K14" s="21"/>
      <c r="L14" s="21"/>
      <c r="M14" s="21">
        <f t="shared" si="0"/>
        <v>823.39592471896765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0.21601019247558556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1.7356952963230952</v>
      </c>
      <c r="C18" s="23"/>
      <c r="D18" s="23">
        <f t="shared" ref="D18:M18" si="1">D14*D16</f>
        <v>3.3382243417050224</v>
      </c>
      <c r="E18" s="23">
        <f t="shared" si="1"/>
        <v>14.676628264001433</v>
      </c>
      <c r="F18" s="23"/>
      <c r="G18" s="23">
        <f t="shared" si="1"/>
        <v>5844.2037286182649</v>
      </c>
      <c r="H18" s="23">
        <f t="shared" si="1"/>
        <v>1111.9356620518104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3.9540661856188476E-3</v>
      </c>
      <c r="H50" s="321">
        <f t="shared" si="2"/>
        <v>0</v>
      </c>
      <c r="I50" s="321">
        <f t="shared" si="2"/>
        <v>0</v>
      </c>
      <c r="J50" s="321">
        <f t="shared" si="2"/>
        <v>0</v>
      </c>
      <c r="K50" s="321">
        <f t="shared" si="2"/>
        <v>0</v>
      </c>
      <c r="L50" s="321">
        <f t="shared" si="2"/>
        <v>0</v>
      </c>
      <c r="M50" s="321">
        <f t="shared" si="2"/>
        <v>1.2264628711185089E-4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3.9540661856188476E-3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1.2264628711185089E-4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1098.3517182274577</v>
      </c>
      <c r="H54" s="21">
        <f t="shared" si="3"/>
        <v>0</v>
      </c>
      <c r="I54" s="21">
        <f t="shared" si="3"/>
        <v>0</v>
      </c>
      <c r="J54" s="21">
        <f t="shared" si="3"/>
        <v>0</v>
      </c>
      <c r="K54" s="21">
        <f t="shared" si="3"/>
        <v>0</v>
      </c>
      <c r="L54" s="21">
        <f t="shared" si="3"/>
        <v>0</v>
      </c>
      <c r="M54" s="21">
        <f t="shared" si="3"/>
        <v>34.068413086625249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0.21601019247558556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293.2599087667312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9660.8030000000017</v>
      </c>
      <c r="D10" s="1012">
        <f ca="1">tertiair!C16</f>
        <v>0</v>
      </c>
      <c r="E10" s="1012">
        <f ca="1">tertiair!D16</f>
        <v>20765.500338000002</v>
      </c>
      <c r="F10" s="1012">
        <f>tertiair!E16</f>
        <v>214.69327506766314</v>
      </c>
      <c r="G10" s="1012">
        <f ca="1">tertiair!F16</f>
        <v>2190.51163303161</v>
      </c>
      <c r="H10" s="1012">
        <f>tertiair!G16</f>
        <v>0</v>
      </c>
      <c r="I10" s="1012">
        <f>tertiair!H16</f>
        <v>0</v>
      </c>
      <c r="J10" s="1012">
        <f>tertiair!I16</f>
        <v>0</v>
      </c>
      <c r="K10" s="1012">
        <f>tertiair!J16</f>
        <v>0</v>
      </c>
      <c r="L10" s="1012">
        <f>tertiair!K16</f>
        <v>0</v>
      </c>
      <c r="M10" s="1012">
        <f ca="1">tertiair!L16</f>
        <v>0</v>
      </c>
      <c r="N10" s="1012">
        <f>tertiair!M16</f>
        <v>0</v>
      </c>
      <c r="O10" s="1012">
        <f ca="1">tertiair!N16</f>
        <v>844.30107537960271</v>
      </c>
      <c r="P10" s="1012">
        <f>tertiair!O16</f>
        <v>1.5633333333333335</v>
      </c>
      <c r="Q10" s="1013">
        <f>tertiair!P16</f>
        <v>38.133333333333333</v>
      </c>
      <c r="R10" s="700">
        <f ca="1">SUM(C10:Q10)</f>
        <v>33715.505988145545</v>
      </c>
      <c r="S10" s="67"/>
    </row>
    <row r="11" spans="1:19" s="473" customFormat="1">
      <c r="A11" s="809" t="s">
        <v>225</v>
      </c>
      <c r="B11" s="814"/>
      <c r="C11" s="1012">
        <f>huishoudens!B8</f>
        <v>15697.845204424808</v>
      </c>
      <c r="D11" s="1012">
        <f>huishoudens!C8</f>
        <v>0</v>
      </c>
      <c r="E11" s="1012">
        <f>huishoudens!D8</f>
        <v>53236.214988000007</v>
      </c>
      <c r="F11" s="1012">
        <f>huishoudens!E8</f>
        <v>219.55198086173263</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2961.8250100258188</v>
      </c>
      <c r="P11" s="1012">
        <f>huishoudens!O8</f>
        <v>51.589999999999996</v>
      </c>
      <c r="Q11" s="1013">
        <f>huishoudens!P8</f>
        <v>171.6</v>
      </c>
      <c r="R11" s="700">
        <f>SUM(C11:Q11)</f>
        <v>72338.627183312376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23497.119999999999</v>
      </c>
      <c r="D13" s="1012">
        <f>industrie!C18</f>
        <v>0</v>
      </c>
      <c r="E13" s="1012">
        <f>industrie!D18</f>
        <v>52298.617558000005</v>
      </c>
      <c r="F13" s="1012">
        <f>industrie!E18</f>
        <v>1343.5727391092432</v>
      </c>
      <c r="G13" s="1012">
        <f>industrie!F18</f>
        <v>5397.702084647407</v>
      </c>
      <c r="H13" s="1012">
        <f>industrie!G18</f>
        <v>0</v>
      </c>
      <c r="I13" s="1012">
        <f>industrie!H18</f>
        <v>0</v>
      </c>
      <c r="J13" s="1012">
        <f>industrie!I18</f>
        <v>0</v>
      </c>
      <c r="K13" s="1012">
        <f>industrie!J18</f>
        <v>180.37093077373439</v>
      </c>
      <c r="L13" s="1012">
        <f>industrie!K18</f>
        <v>0</v>
      </c>
      <c r="M13" s="1012">
        <f>industrie!L18</f>
        <v>0</v>
      </c>
      <c r="N13" s="1012">
        <f>industrie!M18</f>
        <v>0</v>
      </c>
      <c r="O13" s="1012">
        <f>industrie!N18</f>
        <v>4672.8778062045631</v>
      </c>
      <c r="P13" s="1012">
        <f>industrie!O18</f>
        <v>0</v>
      </c>
      <c r="Q13" s="1013">
        <f>industrie!P18</f>
        <v>0</v>
      </c>
      <c r="R13" s="700">
        <f>SUM(C13:Q13)</f>
        <v>87390.261118734939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48855.768204424807</v>
      </c>
      <c r="D16" s="732">
        <f t="shared" ref="D16:R16" ca="1" si="0">SUM(D9:D15)</f>
        <v>0</v>
      </c>
      <c r="E16" s="732">
        <f t="shared" ca="1" si="0"/>
        <v>126300.332884</v>
      </c>
      <c r="F16" s="732">
        <f t="shared" si="0"/>
        <v>1777.8179950386389</v>
      </c>
      <c r="G16" s="732">
        <f t="shared" ca="1" si="0"/>
        <v>7588.2137176790166</v>
      </c>
      <c r="H16" s="732">
        <f t="shared" si="0"/>
        <v>0</v>
      </c>
      <c r="I16" s="732">
        <f t="shared" si="0"/>
        <v>0</v>
      </c>
      <c r="J16" s="732">
        <f t="shared" si="0"/>
        <v>0</v>
      </c>
      <c r="K16" s="732">
        <f t="shared" si="0"/>
        <v>180.37093077373439</v>
      </c>
      <c r="L16" s="732">
        <f t="shared" si="0"/>
        <v>0</v>
      </c>
      <c r="M16" s="732">
        <f t="shared" ca="1" si="0"/>
        <v>0</v>
      </c>
      <c r="N16" s="732">
        <f t="shared" si="0"/>
        <v>0</v>
      </c>
      <c r="O16" s="732">
        <f t="shared" ca="1" si="0"/>
        <v>8479.0038916099838</v>
      </c>
      <c r="P16" s="732">
        <f t="shared" si="0"/>
        <v>53.153333333333329</v>
      </c>
      <c r="Q16" s="732">
        <f t="shared" si="0"/>
        <v>209.73333333333332</v>
      </c>
      <c r="R16" s="732">
        <f t="shared" ca="1" si="0"/>
        <v>193444.39429019287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1098.3517182274577</v>
      </c>
      <c r="I19" s="1012">
        <f>transport!H54</f>
        <v>0</v>
      </c>
      <c r="J19" s="1012">
        <f>transport!I54</f>
        <v>0</v>
      </c>
      <c r="K19" s="1012">
        <f>transport!J54</f>
        <v>0</v>
      </c>
      <c r="L19" s="1012">
        <f>transport!K54</f>
        <v>0</v>
      </c>
      <c r="M19" s="1012">
        <f>transport!L54</f>
        <v>0</v>
      </c>
      <c r="N19" s="1012">
        <f>transport!M54</f>
        <v>34.068413086625249</v>
      </c>
      <c r="O19" s="1012">
        <f>transport!N54</f>
        <v>0</v>
      </c>
      <c r="P19" s="1012">
        <f>transport!O54</f>
        <v>0</v>
      </c>
      <c r="Q19" s="1013">
        <f>transport!P54</f>
        <v>0</v>
      </c>
      <c r="R19" s="700">
        <f>SUM(C19:Q19)</f>
        <v>1132.4201313140829</v>
      </c>
      <c r="S19" s="67"/>
    </row>
    <row r="20" spans="1:19" s="473" customFormat="1">
      <c r="A20" s="809" t="s">
        <v>307</v>
      </c>
      <c r="B20" s="814"/>
      <c r="C20" s="1012">
        <f>transport!B14</f>
        <v>8.0352472095467036</v>
      </c>
      <c r="D20" s="1012">
        <f>transport!C14</f>
        <v>0</v>
      </c>
      <c r="E20" s="1012">
        <f>transport!D14</f>
        <v>16.525863077747633</v>
      </c>
      <c r="F20" s="1012">
        <f>transport!E14</f>
        <v>64.654750061680318</v>
      </c>
      <c r="G20" s="1012">
        <f>transport!F14</f>
        <v>0</v>
      </c>
      <c r="H20" s="1012">
        <f>transport!G14</f>
        <v>21888.403477971027</v>
      </c>
      <c r="I20" s="1012">
        <f>transport!H14</f>
        <v>4465.6050684811662</v>
      </c>
      <c r="J20" s="1012">
        <f>transport!I14</f>
        <v>0</v>
      </c>
      <c r="K20" s="1012">
        <f>transport!J14</f>
        <v>0</v>
      </c>
      <c r="L20" s="1012">
        <f>transport!K14</f>
        <v>0</v>
      </c>
      <c r="M20" s="1012">
        <f>transport!L14</f>
        <v>0</v>
      </c>
      <c r="N20" s="1012">
        <f>transport!M14</f>
        <v>823.39592471896765</v>
      </c>
      <c r="O20" s="1012">
        <f>transport!N14</f>
        <v>0</v>
      </c>
      <c r="P20" s="1012">
        <f>transport!O14</f>
        <v>0</v>
      </c>
      <c r="Q20" s="1013">
        <f>transport!P14</f>
        <v>0</v>
      </c>
      <c r="R20" s="700">
        <f>SUM(C20:Q20)</f>
        <v>27266.620331520135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8.0352472095467036</v>
      </c>
      <c r="D22" s="812">
        <f t="shared" ref="D22:R22" si="1">SUM(D18:D21)</f>
        <v>0</v>
      </c>
      <c r="E22" s="812">
        <f t="shared" si="1"/>
        <v>16.525863077747633</v>
      </c>
      <c r="F22" s="812">
        <f t="shared" si="1"/>
        <v>64.654750061680318</v>
      </c>
      <c r="G22" s="812">
        <f t="shared" si="1"/>
        <v>0</v>
      </c>
      <c r="H22" s="812">
        <f t="shared" si="1"/>
        <v>22986.755196198486</v>
      </c>
      <c r="I22" s="812">
        <f t="shared" si="1"/>
        <v>4465.6050684811662</v>
      </c>
      <c r="J22" s="812">
        <f t="shared" si="1"/>
        <v>0</v>
      </c>
      <c r="K22" s="812">
        <f t="shared" si="1"/>
        <v>0</v>
      </c>
      <c r="L22" s="812">
        <f t="shared" si="1"/>
        <v>0</v>
      </c>
      <c r="M22" s="812">
        <f t="shared" si="1"/>
        <v>0</v>
      </c>
      <c r="N22" s="812">
        <f t="shared" si="1"/>
        <v>857.46433780559289</v>
      </c>
      <c r="O22" s="812">
        <f t="shared" si="1"/>
        <v>0</v>
      </c>
      <c r="P22" s="812">
        <f t="shared" si="1"/>
        <v>0</v>
      </c>
      <c r="Q22" s="812">
        <f t="shared" si="1"/>
        <v>0</v>
      </c>
      <c r="R22" s="812">
        <f t="shared" si="1"/>
        <v>28399.040462834218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51.59</v>
      </c>
      <c r="D24" s="1012">
        <f>+landbouw!C8</f>
        <v>0</v>
      </c>
      <c r="E24" s="1012">
        <f>+landbouw!D8</f>
        <v>80.255449999999996</v>
      </c>
      <c r="F24" s="1012">
        <f>+landbouw!E8</f>
        <v>1.3303080173012831</v>
      </c>
      <c r="G24" s="1012">
        <f>+landbouw!F8</f>
        <v>188.57127483823743</v>
      </c>
      <c r="H24" s="1012">
        <f>+landbouw!G8</f>
        <v>0</v>
      </c>
      <c r="I24" s="1012">
        <f>+landbouw!H8</f>
        <v>0</v>
      </c>
      <c r="J24" s="1012">
        <f>+landbouw!I8</f>
        <v>0</v>
      </c>
      <c r="K24" s="1012">
        <f>+landbouw!J8</f>
        <v>7.4270621763615461</v>
      </c>
      <c r="L24" s="1012">
        <f>+landbouw!K8</f>
        <v>0</v>
      </c>
      <c r="M24" s="1012">
        <f>+landbouw!L8</f>
        <v>0</v>
      </c>
      <c r="N24" s="1012">
        <f>+landbouw!M8</f>
        <v>0</v>
      </c>
      <c r="O24" s="1012">
        <f>+landbouw!N8</f>
        <v>0</v>
      </c>
      <c r="P24" s="1012">
        <f>+landbouw!O8</f>
        <v>0</v>
      </c>
      <c r="Q24" s="1013">
        <f>+landbouw!P8</f>
        <v>0</v>
      </c>
      <c r="R24" s="700">
        <f>SUM(C24:Q24)</f>
        <v>329.17409503190026</v>
      </c>
      <c r="S24" s="67"/>
    </row>
    <row r="25" spans="1:19" s="473" customFormat="1" ht="15" thickBot="1">
      <c r="A25" s="831" t="s">
        <v>848</v>
      </c>
      <c r="B25" s="1015"/>
      <c r="C25" s="1016">
        <f>IF(Onbekend_ele_kWh="---",0,Onbekend_ele_kWh)/1000+IF(REST_rest_ele_kWh="---",0,REST_rest_ele_kWh)/1000</f>
        <v>481.28199999999998</v>
      </c>
      <c r="D25" s="1016"/>
      <c r="E25" s="1016">
        <f>IF(onbekend_gas_kWh="---",0,onbekend_gas_kWh)/1000+IF(REST_rest_gas_kWh="---",0,REST_rest_gas_kWh)/1000</f>
        <v>866.66899999999998</v>
      </c>
      <c r="F25" s="1016"/>
      <c r="G25" s="1016"/>
      <c r="H25" s="1016"/>
      <c r="I25" s="1016"/>
      <c r="J25" s="1016"/>
      <c r="K25" s="1016"/>
      <c r="L25" s="1016"/>
      <c r="M25" s="1016"/>
      <c r="N25" s="1016"/>
      <c r="O25" s="1016"/>
      <c r="P25" s="1016"/>
      <c r="Q25" s="1017"/>
      <c r="R25" s="700">
        <f>SUM(C25:Q25)</f>
        <v>1347.951</v>
      </c>
      <c r="S25" s="67"/>
    </row>
    <row r="26" spans="1:19" s="473" customFormat="1" ht="15.75" thickBot="1">
      <c r="A26" s="705" t="s">
        <v>849</v>
      </c>
      <c r="B26" s="817"/>
      <c r="C26" s="812">
        <f>SUM(C24:C25)</f>
        <v>532.87199999999996</v>
      </c>
      <c r="D26" s="812">
        <f t="shared" ref="D26:R26" si="2">SUM(D24:D25)</f>
        <v>0</v>
      </c>
      <c r="E26" s="812">
        <f t="shared" si="2"/>
        <v>946.92444999999998</v>
      </c>
      <c r="F26" s="812">
        <f t="shared" si="2"/>
        <v>1.3303080173012831</v>
      </c>
      <c r="G26" s="812">
        <f t="shared" si="2"/>
        <v>188.57127483823743</v>
      </c>
      <c r="H26" s="812">
        <f t="shared" si="2"/>
        <v>0</v>
      </c>
      <c r="I26" s="812">
        <f t="shared" si="2"/>
        <v>0</v>
      </c>
      <c r="J26" s="812">
        <f t="shared" si="2"/>
        <v>0</v>
      </c>
      <c r="K26" s="812">
        <f t="shared" si="2"/>
        <v>7.4270621763615461</v>
      </c>
      <c r="L26" s="812">
        <f t="shared" si="2"/>
        <v>0</v>
      </c>
      <c r="M26" s="812">
        <f t="shared" si="2"/>
        <v>0</v>
      </c>
      <c r="N26" s="812">
        <f t="shared" si="2"/>
        <v>0</v>
      </c>
      <c r="O26" s="812">
        <f t="shared" si="2"/>
        <v>0</v>
      </c>
      <c r="P26" s="812">
        <f t="shared" si="2"/>
        <v>0</v>
      </c>
      <c r="Q26" s="812">
        <f t="shared" si="2"/>
        <v>0</v>
      </c>
      <c r="R26" s="812">
        <f t="shared" si="2"/>
        <v>1677.1250950319004</v>
      </c>
      <c r="S26" s="67"/>
    </row>
    <row r="27" spans="1:19" s="473" customFormat="1" ht="17.25" thickTop="1" thickBot="1">
      <c r="A27" s="706" t="s">
        <v>116</v>
      </c>
      <c r="B27" s="805"/>
      <c r="C27" s="707">
        <f ca="1">C22+C16+C26</f>
        <v>49396.675451634357</v>
      </c>
      <c r="D27" s="707">
        <f t="shared" ref="D27:R27" ca="1" si="3">D22+D16+D26</f>
        <v>0</v>
      </c>
      <c r="E27" s="707">
        <f t="shared" ca="1" si="3"/>
        <v>127263.78319707776</v>
      </c>
      <c r="F27" s="707">
        <f t="shared" si="3"/>
        <v>1843.8030531176205</v>
      </c>
      <c r="G27" s="707">
        <f t="shared" ca="1" si="3"/>
        <v>7776.7849925172541</v>
      </c>
      <c r="H27" s="707">
        <f t="shared" si="3"/>
        <v>22986.755196198486</v>
      </c>
      <c r="I27" s="707">
        <f t="shared" si="3"/>
        <v>4465.6050684811662</v>
      </c>
      <c r="J27" s="707">
        <f t="shared" si="3"/>
        <v>0</v>
      </c>
      <c r="K27" s="707">
        <f t="shared" si="3"/>
        <v>187.79799295009593</v>
      </c>
      <c r="L27" s="707">
        <f t="shared" si="3"/>
        <v>0</v>
      </c>
      <c r="M27" s="707">
        <f t="shared" ca="1" si="3"/>
        <v>0</v>
      </c>
      <c r="N27" s="707">
        <f t="shared" si="3"/>
        <v>857.46433780559289</v>
      </c>
      <c r="O27" s="707">
        <f t="shared" ca="1" si="3"/>
        <v>8479.0038916099838</v>
      </c>
      <c r="P27" s="707">
        <f t="shared" si="3"/>
        <v>53.153333333333329</v>
      </c>
      <c r="Q27" s="707">
        <f t="shared" si="3"/>
        <v>209.73333333333332</v>
      </c>
      <c r="R27" s="707">
        <f t="shared" ca="1" si="3"/>
        <v>223520.55984805897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2086.8319154987148</v>
      </c>
      <c r="D40" s="1012">
        <f ca="1">tertiair!C20</f>
        <v>0</v>
      </c>
      <c r="E40" s="1012">
        <f ca="1">tertiair!D20</f>
        <v>4194.6310682760004</v>
      </c>
      <c r="F40" s="1012">
        <f>tertiair!E20</f>
        <v>48.735373440359531</v>
      </c>
      <c r="G40" s="1012">
        <f ca="1">tertiair!F20</f>
        <v>584.86660601943993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6915.0649632345148</v>
      </c>
    </row>
    <row r="41" spans="1:18">
      <c r="A41" s="822" t="s">
        <v>225</v>
      </c>
      <c r="B41" s="829"/>
      <c r="C41" s="1012">
        <f ca="1">huishoudens!B12</f>
        <v>3390.8945640597503</v>
      </c>
      <c r="D41" s="1012">
        <f ca="1">huishoudens!C12</f>
        <v>0</v>
      </c>
      <c r="E41" s="1012">
        <f>huishoudens!D12</f>
        <v>10753.715427576002</v>
      </c>
      <c r="F41" s="1012">
        <f>huishoudens!E12</f>
        <v>49.838299655613312</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14194.448291291366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5075.6174138219312</v>
      </c>
      <c r="D43" s="1012">
        <f ca="1">industrie!C22</f>
        <v>0</v>
      </c>
      <c r="E43" s="1012">
        <f>industrie!D22</f>
        <v>10564.320746716001</v>
      </c>
      <c r="F43" s="1012">
        <f>industrie!E22</f>
        <v>304.99101177779824</v>
      </c>
      <c r="G43" s="1012">
        <f>industrie!F22</f>
        <v>1441.1864566008578</v>
      </c>
      <c r="H43" s="1012">
        <f>industrie!G22</f>
        <v>0</v>
      </c>
      <c r="I43" s="1012">
        <f>industrie!H22</f>
        <v>0</v>
      </c>
      <c r="J43" s="1012">
        <f>industrie!I22</f>
        <v>0</v>
      </c>
      <c r="K43" s="1012">
        <f>industrie!J22</f>
        <v>63.851309493901972</v>
      </c>
      <c r="L43" s="1012">
        <f>industrie!K22</f>
        <v>0</v>
      </c>
      <c r="M43" s="1012">
        <f>industrie!L22</f>
        <v>0</v>
      </c>
      <c r="N43" s="1012">
        <f>industrie!M22</f>
        <v>0</v>
      </c>
      <c r="O43" s="1012">
        <f>industrie!N22</f>
        <v>0</v>
      </c>
      <c r="P43" s="1012">
        <f>industrie!O22</f>
        <v>0</v>
      </c>
      <c r="Q43" s="774">
        <f>industrie!P22</f>
        <v>0</v>
      </c>
      <c r="R43" s="849">
        <f t="shared" ca="1" si="4"/>
        <v>17449.966938410489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10553.343893380395</v>
      </c>
      <c r="D46" s="732">
        <f t="shared" ref="D46:Q46" ca="1" si="5">SUM(D39:D45)</f>
        <v>0</v>
      </c>
      <c r="E46" s="732">
        <f t="shared" ca="1" si="5"/>
        <v>25512.667242568001</v>
      </c>
      <c r="F46" s="732">
        <f t="shared" si="5"/>
        <v>403.56468487377106</v>
      </c>
      <c r="G46" s="732">
        <f t="shared" ca="1" si="5"/>
        <v>2026.0530626202976</v>
      </c>
      <c r="H46" s="732">
        <f t="shared" si="5"/>
        <v>0</v>
      </c>
      <c r="I46" s="732">
        <f t="shared" si="5"/>
        <v>0</v>
      </c>
      <c r="J46" s="732">
        <f t="shared" si="5"/>
        <v>0</v>
      </c>
      <c r="K46" s="732">
        <f t="shared" si="5"/>
        <v>63.851309493901972</v>
      </c>
      <c r="L46" s="732">
        <f t="shared" si="5"/>
        <v>0</v>
      </c>
      <c r="M46" s="732">
        <f t="shared" ca="1" si="5"/>
        <v>0</v>
      </c>
      <c r="N46" s="732">
        <f t="shared" si="5"/>
        <v>0</v>
      </c>
      <c r="O46" s="732">
        <f t="shared" ca="1" si="5"/>
        <v>0</v>
      </c>
      <c r="P46" s="732">
        <f t="shared" si="5"/>
        <v>0</v>
      </c>
      <c r="Q46" s="732">
        <f t="shared" si="5"/>
        <v>0</v>
      </c>
      <c r="R46" s="732">
        <f ca="1">SUM(R39:R45)</f>
        <v>38559.480192936375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293.2599087667312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293.2599087667312</v>
      </c>
    </row>
    <row r="50" spans="1:18">
      <c r="A50" s="825" t="s">
        <v>307</v>
      </c>
      <c r="B50" s="835"/>
      <c r="C50" s="703">
        <f ca="1">transport!B18</f>
        <v>1.7356952963230952</v>
      </c>
      <c r="D50" s="703">
        <f>transport!C18</f>
        <v>0</v>
      </c>
      <c r="E50" s="703">
        <f>transport!D18</f>
        <v>3.3382243417050224</v>
      </c>
      <c r="F50" s="703">
        <f>transport!E18</f>
        <v>14.676628264001433</v>
      </c>
      <c r="G50" s="703">
        <f>transport!F18</f>
        <v>0</v>
      </c>
      <c r="H50" s="703">
        <f>transport!G18</f>
        <v>5844.2037286182649</v>
      </c>
      <c r="I50" s="703">
        <f>transport!H18</f>
        <v>1111.9356620518104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6975.8899385721043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1.7356952963230952</v>
      </c>
      <c r="D52" s="732">
        <f t="shared" ref="D52:Q52" ca="1" si="6">SUM(D48:D51)</f>
        <v>0</v>
      </c>
      <c r="E52" s="732">
        <f t="shared" si="6"/>
        <v>3.3382243417050224</v>
      </c>
      <c r="F52" s="732">
        <f t="shared" si="6"/>
        <v>14.676628264001433</v>
      </c>
      <c r="G52" s="732">
        <f t="shared" si="6"/>
        <v>0</v>
      </c>
      <c r="H52" s="732">
        <f t="shared" si="6"/>
        <v>6137.4636373849962</v>
      </c>
      <c r="I52" s="732">
        <f t="shared" si="6"/>
        <v>1111.9356620518104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7269.1498473388356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11.14396582981546</v>
      </c>
      <c r="D54" s="703">
        <f ca="1">+landbouw!C12</f>
        <v>0</v>
      </c>
      <c r="E54" s="703">
        <f>+landbouw!D12</f>
        <v>16.211600900000001</v>
      </c>
      <c r="F54" s="703">
        <f>+landbouw!E12</f>
        <v>0.30197991992739126</v>
      </c>
      <c r="G54" s="703">
        <f>+landbouw!F12</f>
        <v>50.348530381809397</v>
      </c>
      <c r="H54" s="703">
        <f>+landbouw!G12</f>
        <v>0</v>
      </c>
      <c r="I54" s="703">
        <f>+landbouw!H12</f>
        <v>0</v>
      </c>
      <c r="J54" s="703">
        <f>+landbouw!I12</f>
        <v>0</v>
      </c>
      <c r="K54" s="703">
        <f>+landbouw!J12</f>
        <v>2.6291800104319871</v>
      </c>
      <c r="L54" s="703">
        <f>+landbouw!K12</f>
        <v>0</v>
      </c>
      <c r="M54" s="703">
        <f>+landbouw!L12</f>
        <v>0</v>
      </c>
      <c r="N54" s="703">
        <f>+landbouw!M12</f>
        <v>0</v>
      </c>
      <c r="O54" s="703">
        <f>+landbouw!N12</f>
        <v>0</v>
      </c>
      <c r="P54" s="703">
        <f>+landbouw!O12</f>
        <v>0</v>
      </c>
      <c r="Q54" s="704">
        <f>+landbouw!P12</f>
        <v>0</v>
      </c>
      <c r="R54" s="731">
        <f ca="1">SUM(C54:Q54)</f>
        <v>80.635257041984232</v>
      </c>
    </row>
    <row r="55" spans="1:18" ht="15" thickBot="1">
      <c r="A55" s="825" t="s">
        <v>848</v>
      </c>
      <c r="B55" s="835"/>
      <c r="C55" s="703">
        <f ca="1">C25*'EF ele_warmte'!B12</f>
        <v>103.96181745503476</v>
      </c>
      <c r="D55" s="703"/>
      <c r="E55" s="703">
        <f>E25*EF_CO2_aardgas</f>
        <v>175.067138</v>
      </c>
      <c r="F55" s="703"/>
      <c r="G55" s="703"/>
      <c r="H55" s="703"/>
      <c r="I55" s="703"/>
      <c r="J55" s="703"/>
      <c r="K55" s="703"/>
      <c r="L55" s="703"/>
      <c r="M55" s="703"/>
      <c r="N55" s="703"/>
      <c r="O55" s="703"/>
      <c r="P55" s="703"/>
      <c r="Q55" s="704"/>
      <c r="R55" s="731">
        <f ca="1">SUM(C55:Q55)</f>
        <v>279.02895545503475</v>
      </c>
    </row>
    <row r="56" spans="1:18" ht="15.75" thickBot="1">
      <c r="A56" s="823" t="s">
        <v>849</v>
      </c>
      <c r="B56" s="836"/>
      <c r="C56" s="732">
        <f ca="1">SUM(C54:C55)</f>
        <v>115.10578328485022</v>
      </c>
      <c r="D56" s="732">
        <f t="shared" ref="D56:Q56" ca="1" si="7">SUM(D54:D55)</f>
        <v>0</v>
      </c>
      <c r="E56" s="732">
        <f t="shared" si="7"/>
        <v>191.27873890000001</v>
      </c>
      <c r="F56" s="732">
        <f t="shared" si="7"/>
        <v>0.30197991992739126</v>
      </c>
      <c r="G56" s="732">
        <f t="shared" si="7"/>
        <v>50.348530381809397</v>
      </c>
      <c r="H56" s="732">
        <f t="shared" si="7"/>
        <v>0</v>
      </c>
      <c r="I56" s="732">
        <f t="shared" si="7"/>
        <v>0</v>
      </c>
      <c r="J56" s="732">
        <f t="shared" si="7"/>
        <v>0</v>
      </c>
      <c r="K56" s="732">
        <f t="shared" si="7"/>
        <v>2.6291800104319871</v>
      </c>
      <c r="L56" s="732">
        <f t="shared" si="7"/>
        <v>0</v>
      </c>
      <c r="M56" s="732">
        <f t="shared" si="7"/>
        <v>0</v>
      </c>
      <c r="N56" s="732">
        <f t="shared" si="7"/>
        <v>0</v>
      </c>
      <c r="O56" s="732">
        <f t="shared" si="7"/>
        <v>0</v>
      </c>
      <c r="P56" s="732">
        <f t="shared" si="7"/>
        <v>0</v>
      </c>
      <c r="Q56" s="733">
        <f t="shared" si="7"/>
        <v>0</v>
      </c>
      <c r="R56" s="734">
        <f ca="1">SUM(R54:R55)</f>
        <v>359.66421249701898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10670.18537196157</v>
      </c>
      <c r="D61" s="740">
        <f t="shared" ref="D61:Q61" ca="1" si="8">D46+D52+D56</f>
        <v>0</v>
      </c>
      <c r="E61" s="740">
        <f t="shared" ca="1" si="8"/>
        <v>25707.284205809705</v>
      </c>
      <c r="F61" s="740">
        <f t="shared" si="8"/>
        <v>418.54329305769988</v>
      </c>
      <c r="G61" s="740">
        <f t="shared" ca="1" si="8"/>
        <v>2076.4015930021069</v>
      </c>
      <c r="H61" s="740">
        <f t="shared" si="8"/>
        <v>6137.4636373849962</v>
      </c>
      <c r="I61" s="740">
        <f t="shared" si="8"/>
        <v>1111.9356620518104</v>
      </c>
      <c r="J61" s="740">
        <f t="shared" si="8"/>
        <v>0</v>
      </c>
      <c r="K61" s="740">
        <f t="shared" si="8"/>
        <v>66.48048950433396</v>
      </c>
      <c r="L61" s="740">
        <f t="shared" si="8"/>
        <v>0</v>
      </c>
      <c r="M61" s="740">
        <f t="shared" ca="1" si="8"/>
        <v>0</v>
      </c>
      <c r="N61" s="740">
        <f t="shared" si="8"/>
        <v>0</v>
      </c>
      <c r="O61" s="740">
        <f t="shared" ca="1" si="8"/>
        <v>0</v>
      </c>
      <c r="P61" s="740">
        <f t="shared" si="8"/>
        <v>0</v>
      </c>
      <c r="Q61" s="740">
        <f t="shared" si="8"/>
        <v>0</v>
      </c>
      <c r="R61" s="740">
        <f ca="1">R46+R52+R56</f>
        <v>46188.294252772226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0.21601019247558556</v>
      </c>
      <c r="D63" s="781">
        <f t="shared" ca="1" si="9"/>
        <v>0</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1115.2936780525924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1115.2936780525924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1115.2936780525924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1115.2936780525924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15697.845204424808</v>
      </c>
      <c r="C4" s="477">
        <f>huishoudens!C8</f>
        <v>0</v>
      </c>
      <c r="D4" s="477">
        <f>huishoudens!D8</f>
        <v>53236.214988000007</v>
      </c>
      <c r="E4" s="477">
        <f>huishoudens!E8</f>
        <v>219.55198086173263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2961.8250100258188</v>
      </c>
      <c r="O4" s="477">
        <f>huishoudens!O8</f>
        <v>51.589999999999996</v>
      </c>
      <c r="P4" s="478">
        <f>huishoudens!P8</f>
        <v>171.6</v>
      </c>
      <c r="Q4" s="479">
        <f>SUM(B4:P4)</f>
        <v>72338.627183312376</v>
      </c>
    </row>
    <row r="5" spans="1:17">
      <c r="A5" s="476" t="s">
        <v>156</v>
      </c>
      <c r="B5" s="477">
        <f ca="1">tertiair!B16</f>
        <v>9246.6950000000015</v>
      </c>
      <c r="C5" s="477">
        <f ca="1">tertiair!C16</f>
        <v>0</v>
      </c>
      <c r="D5" s="477">
        <f ca="1">tertiair!D16</f>
        <v>20765.500338000002</v>
      </c>
      <c r="E5" s="477">
        <f>tertiair!E16</f>
        <v>214.69327506766314</v>
      </c>
      <c r="F5" s="477">
        <f ca="1">tertiair!F16</f>
        <v>2190.51163303161</v>
      </c>
      <c r="G5" s="477">
        <f>tertiair!G16</f>
        <v>0</v>
      </c>
      <c r="H5" s="477">
        <f>tertiair!H16</f>
        <v>0</v>
      </c>
      <c r="I5" s="477">
        <f>tertiair!I16</f>
        <v>0</v>
      </c>
      <c r="J5" s="477">
        <f>tertiair!J16</f>
        <v>0</v>
      </c>
      <c r="K5" s="477">
        <f>tertiair!K16</f>
        <v>0</v>
      </c>
      <c r="L5" s="477">
        <f ca="1">tertiair!L16</f>
        <v>0</v>
      </c>
      <c r="M5" s="477">
        <f>tertiair!M16</f>
        <v>0</v>
      </c>
      <c r="N5" s="477">
        <f ca="1">tertiair!N16</f>
        <v>844.30107537960271</v>
      </c>
      <c r="O5" s="477">
        <f>tertiair!O16</f>
        <v>1.5633333333333335</v>
      </c>
      <c r="P5" s="478">
        <f>tertiair!P16</f>
        <v>38.133333333333333</v>
      </c>
      <c r="Q5" s="476">
        <f t="shared" ref="Q5:Q14" ca="1" si="0">SUM(B5:P5)</f>
        <v>33301.397988145545</v>
      </c>
    </row>
    <row r="6" spans="1:17">
      <c r="A6" s="476" t="s">
        <v>194</v>
      </c>
      <c r="B6" s="477">
        <f>'openbare verlichting'!B8</f>
        <v>414.108</v>
      </c>
      <c r="C6" s="477"/>
      <c r="D6" s="477"/>
      <c r="E6" s="477"/>
      <c r="F6" s="477"/>
      <c r="G6" s="477"/>
      <c r="H6" s="477"/>
      <c r="I6" s="477"/>
      <c r="J6" s="477"/>
      <c r="K6" s="477"/>
      <c r="L6" s="477"/>
      <c r="M6" s="477"/>
      <c r="N6" s="477"/>
      <c r="O6" s="477"/>
      <c r="P6" s="478"/>
      <c r="Q6" s="476">
        <f t="shared" si="0"/>
        <v>414.108</v>
      </c>
    </row>
    <row r="7" spans="1:17">
      <c r="A7" s="476" t="s">
        <v>112</v>
      </c>
      <c r="B7" s="477">
        <f>landbouw!B8</f>
        <v>51.59</v>
      </c>
      <c r="C7" s="477">
        <f>landbouw!C8</f>
        <v>0</v>
      </c>
      <c r="D7" s="477">
        <f>landbouw!D8</f>
        <v>80.255449999999996</v>
      </c>
      <c r="E7" s="477">
        <f>landbouw!E8</f>
        <v>1.3303080173012831</v>
      </c>
      <c r="F7" s="477">
        <f>landbouw!F8</f>
        <v>188.57127483823743</v>
      </c>
      <c r="G7" s="477">
        <f>landbouw!G8</f>
        <v>0</v>
      </c>
      <c r="H7" s="477">
        <f>landbouw!H8</f>
        <v>0</v>
      </c>
      <c r="I7" s="477">
        <f>landbouw!I8</f>
        <v>0</v>
      </c>
      <c r="J7" s="477">
        <f>landbouw!J8</f>
        <v>7.4270621763615461</v>
      </c>
      <c r="K7" s="477">
        <f>landbouw!K8</f>
        <v>0</v>
      </c>
      <c r="L7" s="477">
        <f>landbouw!L8</f>
        <v>0</v>
      </c>
      <c r="M7" s="477">
        <f>landbouw!M8</f>
        <v>0</v>
      </c>
      <c r="N7" s="477">
        <f>landbouw!N8</f>
        <v>0</v>
      </c>
      <c r="O7" s="477">
        <f>landbouw!O8</f>
        <v>0</v>
      </c>
      <c r="P7" s="478">
        <f>landbouw!P8</f>
        <v>0</v>
      </c>
      <c r="Q7" s="476">
        <f t="shared" si="0"/>
        <v>329.17409503190026</v>
      </c>
    </row>
    <row r="8" spans="1:17">
      <c r="A8" s="476" t="s">
        <v>638</v>
      </c>
      <c r="B8" s="477">
        <f>industrie!B18</f>
        <v>23497.119999999999</v>
      </c>
      <c r="C8" s="477">
        <f>industrie!C18</f>
        <v>0</v>
      </c>
      <c r="D8" s="477">
        <f>industrie!D18</f>
        <v>52298.617558000005</v>
      </c>
      <c r="E8" s="477">
        <f>industrie!E18</f>
        <v>1343.5727391092432</v>
      </c>
      <c r="F8" s="477">
        <f>industrie!F18</f>
        <v>5397.702084647407</v>
      </c>
      <c r="G8" s="477">
        <f>industrie!G18</f>
        <v>0</v>
      </c>
      <c r="H8" s="477">
        <f>industrie!H18</f>
        <v>0</v>
      </c>
      <c r="I8" s="477">
        <f>industrie!I18</f>
        <v>0</v>
      </c>
      <c r="J8" s="477">
        <f>industrie!J18</f>
        <v>180.37093077373439</v>
      </c>
      <c r="K8" s="477">
        <f>industrie!K18</f>
        <v>0</v>
      </c>
      <c r="L8" s="477">
        <f>industrie!L18</f>
        <v>0</v>
      </c>
      <c r="M8" s="477">
        <f>industrie!M18</f>
        <v>0</v>
      </c>
      <c r="N8" s="477">
        <f>industrie!N18</f>
        <v>4672.8778062045631</v>
      </c>
      <c r="O8" s="477">
        <f>industrie!O18</f>
        <v>0</v>
      </c>
      <c r="P8" s="478">
        <f>industrie!P18</f>
        <v>0</v>
      </c>
      <c r="Q8" s="476">
        <f t="shared" si="0"/>
        <v>87390.261118734939</v>
      </c>
    </row>
    <row r="9" spans="1:17" s="482" customFormat="1">
      <c r="A9" s="480" t="s">
        <v>564</v>
      </c>
      <c r="B9" s="481">
        <f>transport!B14</f>
        <v>8.0352472095467036</v>
      </c>
      <c r="C9" s="481">
        <f>transport!C14</f>
        <v>0</v>
      </c>
      <c r="D9" s="481">
        <f>transport!D14</f>
        <v>16.525863077747633</v>
      </c>
      <c r="E9" s="481">
        <f>transport!E14</f>
        <v>64.654750061680318</v>
      </c>
      <c r="F9" s="481">
        <f>transport!F14</f>
        <v>0</v>
      </c>
      <c r="G9" s="481">
        <f>transport!G14</f>
        <v>21888.403477971027</v>
      </c>
      <c r="H9" s="481">
        <f>transport!H14</f>
        <v>4465.6050684811662</v>
      </c>
      <c r="I9" s="481">
        <f>transport!I14</f>
        <v>0</v>
      </c>
      <c r="J9" s="481">
        <f>transport!J14</f>
        <v>0</v>
      </c>
      <c r="K9" s="481">
        <f>transport!K14</f>
        <v>0</v>
      </c>
      <c r="L9" s="481">
        <f>transport!L14</f>
        <v>0</v>
      </c>
      <c r="M9" s="481">
        <f>transport!M14</f>
        <v>823.39592471896765</v>
      </c>
      <c r="N9" s="481">
        <f>transport!N14</f>
        <v>0</v>
      </c>
      <c r="O9" s="481">
        <f>transport!O14</f>
        <v>0</v>
      </c>
      <c r="P9" s="481">
        <f>transport!P14</f>
        <v>0</v>
      </c>
      <c r="Q9" s="480">
        <f>SUM(B9:P9)</f>
        <v>27266.620331520135</v>
      </c>
    </row>
    <row r="10" spans="1:17">
      <c r="A10" s="476" t="s">
        <v>554</v>
      </c>
      <c r="B10" s="477">
        <f>transport!B54</f>
        <v>0</v>
      </c>
      <c r="C10" s="477">
        <f>transport!C54</f>
        <v>0</v>
      </c>
      <c r="D10" s="477">
        <f>transport!D54</f>
        <v>0</v>
      </c>
      <c r="E10" s="477">
        <f>transport!E54</f>
        <v>0</v>
      </c>
      <c r="F10" s="477">
        <f>transport!F54</f>
        <v>0</v>
      </c>
      <c r="G10" s="477">
        <f>transport!G54</f>
        <v>1098.3517182274577</v>
      </c>
      <c r="H10" s="477">
        <f>transport!H54</f>
        <v>0</v>
      </c>
      <c r="I10" s="477">
        <f>transport!I54</f>
        <v>0</v>
      </c>
      <c r="J10" s="477">
        <f>transport!J54</f>
        <v>0</v>
      </c>
      <c r="K10" s="477">
        <f>transport!K54</f>
        <v>0</v>
      </c>
      <c r="L10" s="477">
        <f>transport!L54</f>
        <v>0</v>
      </c>
      <c r="M10" s="477">
        <f>transport!M54</f>
        <v>34.068413086625249</v>
      </c>
      <c r="N10" s="477">
        <f>transport!N54</f>
        <v>0</v>
      </c>
      <c r="O10" s="477">
        <f>transport!O54</f>
        <v>0</v>
      </c>
      <c r="P10" s="478">
        <f>transport!P54</f>
        <v>0</v>
      </c>
      <c r="Q10" s="476">
        <f t="shared" si="0"/>
        <v>1132.4201313140829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481.28199999999998</v>
      </c>
      <c r="C14" s="484"/>
      <c r="D14" s="484">
        <f>'SEAP template'!E25</f>
        <v>866.66899999999998</v>
      </c>
      <c r="E14" s="484"/>
      <c r="F14" s="484"/>
      <c r="G14" s="484"/>
      <c r="H14" s="484"/>
      <c r="I14" s="484"/>
      <c r="J14" s="484"/>
      <c r="K14" s="484"/>
      <c r="L14" s="484"/>
      <c r="M14" s="484"/>
      <c r="N14" s="484"/>
      <c r="O14" s="484"/>
      <c r="P14" s="485"/>
      <c r="Q14" s="476">
        <f t="shared" si="0"/>
        <v>1347.951</v>
      </c>
    </row>
    <row r="15" spans="1:17" s="486" customFormat="1">
      <c r="A15" s="1038" t="s">
        <v>558</v>
      </c>
      <c r="B15" s="978">
        <f ca="1">SUM(B4:B14)</f>
        <v>49396.675451634357</v>
      </c>
      <c r="C15" s="978">
        <f t="shared" ref="C15:Q15" ca="1" si="1">SUM(C4:C14)</f>
        <v>0</v>
      </c>
      <c r="D15" s="978">
        <f t="shared" ca="1" si="1"/>
        <v>127263.78319707775</v>
      </c>
      <c r="E15" s="978">
        <f t="shared" si="1"/>
        <v>1843.8030531176205</v>
      </c>
      <c r="F15" s="978">
        <f t="shared" ca="1" si="1"/>
        <v>7776.7849925172541</v>
      </c>
      <c r="G15" s="978">
        <f t="shared" si="1"/>
        <v>22986.755196198486</v>
      </c>
      <c r="H15" s="978">
        <f t="shared" si="1"/>
        <v>4465.6050684811662</v>
      </c>
      <c r="I15" s="978">
        <f t="shared" si="1"/>
        <v>0</v>
      </c>
      <c r="J15" s="978">
        <f t="shared" si="1"/>
        <v>187.79799295009593</v>
      </c>
      <c r="K15" s="978">
        <f t="shared" si="1"/>
        <v>0</v>
      </c>
      <c r="L15" s="978">
        <f t="shared" ca="1" si="1"/>
        <v>0</v>
      </c>
      <c r="M15" s="978">
        <f t="shared" si="1"/>
        <v>857.46433780559289</v>
      </c>
      <c r="N15" s="978">
        <f t="shared" ca="1" si="1"/>
        <v>8479.0038916099838</v>
      </c>
      <c r="O15" s="978">
        <f t="shared" si="1"/>
        <v>53.153333333333329</v>
      </c>
      <c r="P15" s="978">
        <f t="shared" si="1"/>
        <v>209.73333333333332</v>
      </c>
      <c r="Q15" s="978">
        <f t="shared" ca="1" si="1"/>
        <v>223520.55984805897</v>
      </c>
    </row>
    <row r="17" spans="1:17">
      <c r="A17" s="487" t="s">
        <v>559</v>
      </c>
      <c r="B17" s="786">
        <f ca="1">huishoudens!B10</f>
        <v>0.21601019247558556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3390.8945640597503</v>
      </c>
      <c r="C22" s="477">
        <f t="shared" ref="C22:C32" ca="1" si="3">C4*$C$17</f>
        <v>0</v>
      </c>
      <c r="D22" s="477">
        <f t="shared" ref="D22:D32" si="4">D4*$D$17</f>
        <v>10753.715427576002</v>
      </c>
      <c r="E22" s="477">
        <f t="shared" ref="E22:E32" si="5">E4*$E$17</f>
        <v>49.838299655613312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14194.448291291366</v>
      </c>
    </row>
    <row r="23" spans="1:17">
      <c r="A23" s="476" t="s">
        <v>156</v>
      </c>
      <c r="B23" s="477">
        <f t="shared" ca="1" si="2"/>
        <v>1997.3803667130348</v>
      </c>
      <c r="C23" s="477">
        <f t="shared" ca="1" si="3"/>
        <v>0</v>
      </c>
      <c r="D23" s="477">
        <f t="shared" ca="1" si="4"/>
        <v>4194.6310682760004</v>
      </c>
      <c r="E23" s="477">
        <f t="shared" si="5"/>
        <v>48.735373440359531</v>
      </c>
      <c r="F23" s="477">
        <f t="shared" ca="1" si="6"/>
        <v>584.86660601943993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6825.6134144488351</v>
      </c>
    </row>
    <row r="24" spans="1:17">
      <c r="A24" s="476" t="s">
        <v>194</v>
      </c>
      <c r="B24" s="477">
        <f t="shared" ca="1" si="2"/>
        <v>89.45154878567979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89.45154878567979</v>
      </c>
    </row>
    <row r="25" spans="1:17">
      <c r="A25" s="476" t="s">
        <v>112</v>
      </c>
      <c r="B25" s="477">
        <f t="shared" ca="1" si="2"/>
        <v>11.14396582981546</v>
      </c>
      <c r="C25" s="477">
        <f t="shared" ca="1" si="3"/>
        <v>0</v>
      </c>
      <c r="D25" s="477">
        <f t="shared" si="4"/>
        <v>16.211600900000001</v>
      </c>
      <c r="E25" s="477">
        <f t="shared" si="5"/>
        <v>0.30197991992739126</v>
      </c>
      <c r="F25" s="477">
        <f t="shared" si="6"/>
        <v>50.348530381809397</v>
      </c>
      <c r="G25" s="477">
        <f t="shared" si="7"/>
        <v>0</v>
      </c>
      <c r="H25" s="477">
        <f t="shared" si="8"/>
        <v>0</v>
      </c>
      <c r="I25" s="477">
        <f t="shared" si="9"/>
        <v>0</v>
      </c>
      <c r="J25" s="477">
        <f t="shared" si="10"/>
        <v>2.6291800104319871</v>
      </c>
      <c r="K25" s="477">
        <f t="shared" si="11"/>
        <v>0</v>
      </c>
      <c r="L25" s="477">
        <f t="shared" si="12"/>
        <v>0</v>
      </c>
      <c r="M25" s="477">
        <f t="shared" si="13"/>
        <v>0</v>
      </c>
      <c r="N25" s="477">
        <f t="shared" si="14"/>
        <v>0</v>
      </c>
      <c r="O25" s="477">
        <f t="shared" si="15"/>
        <v>0</v>
      </c>
      <c r="P25" s="478">
        <f t="shared" si="16"/>
        <v>0</v>
      </c>
      <c r="Q25" s="476">
        <f t="shared" ca="1" si="17"/>
        <v>80.635257041984232</v>
      </c>
    </row>
    <row r="26" spans="1:17">
      <c r="A26" s="476" t="s">
        <v>638</v>
      </c>
      <c r="B26" s="477">
        <f t="shared" ca="1" si="2"/>
        <v>5075.6174138219312</v>
      </c>
      <c r="C26" s="477">
        <f t="shared" ca="1" si="3"/>
        <v>0</v>
      </c>
      <c r="D26" s="477">
        <f t="shared" si="4"/>
        <v>10564.320746716001</v>
      </c>
      <c r="E26" s="477">
        <f t="shared" si="5"/>
        <v>304.99101177779824</v>
      </c>
      <c r="F26" s="477">
        <f t="shared" si="6"/>
        <v>1441.1864566008578</v>
      </c>
      <c r="G26" s="477">
        <f t="shared" si="7"/>
        <v>0</v>
      </c>
      <c r="H26" s="477">
        <f t="shared" si="8"/>
        <v>0</v>
      </c>
      <c r="I26" s="477">
        <f t="shared" si="9"/>
        <v>0</v>
      </c>
      <c r="J26" s="477">
        <f t="shared" si="10"/>
        <v>63.851309493901972</v>
      </c>
      <c r="K26" s="477">
        <f t="shared" si="11"/>
        <v>0</v>
      </c>
      <c r="L26" s="477">
        <f t="shared" si="12"/>
        <v>0</v>
      </c>
      <c r="M26" s="477">
        <f t="shared" si="13"/>
        <v>0</v>
      </c>
      <c r="N26" s="477">
        <f t="shared" si="14"/>
        <v>0</v>
      </c>
      <c r="O26" s="477">
        <f t="shared" si="15"/>
        <v>0</v>
      </c>
      <c r="P26" s="478">
        <f t="shared" si="16"/>
        <v>0</v>
      </c>
      <c r="Q26" s="476">
        <f t="shared" ca="1" si="17"/>
        <v>17449.966938410489</v>
      </c>
    </row>
    <row r="27" spans="1:17" s="482" customFormat="1">
      <c r="A27" s="480" t="s">
        <v>564</v>
      </c>
      <c r="B27" s="780">
        <f t="shared" ca="1" si="2"/>
        <v>1.7356952963230952</v>
      </c>
      <c r="C27" s="481">
        <f t="shared" ca="1" si="3"/>
        <v>0</v>
      </c>
      <c r="D27" s="481">
        <f t="shared" si="4"/>
        <v>3.3382243417050224</v>
      </c>
      <c r="E27" s="481">
        <f t="shared" si="5"/>
        <v>14.676628264001433</v>
      </c>
      <c r="F27" s="481">
        <f t="shared" si="6"/>
        <v>0</v>
      </c>
      <c r="G27" s="481">
        <f t="shared" si="7"/>
        <v>5844.2037286182649</v>
      </c>
      <c r="H27" s="481">
        <f t="shared" si="8"/>
        <v>1111.9356620518104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6975.8899385721043</v>
      </c>
    </row>
    <row r="28" spans="1:17">
      <c r="A28" s="476" t="s">
        <v>554</v>
      </c>
      <c r="B28" s="477">
        <f t="shared" ca="1" si="2"/>
        <v>0</v>
      </c>
      <c r="C28" s="477">
        <f t="shared" ca="1" si="3"/>
        <v>0</v>
      </c>
      <c r="D28" s="477">
        <f t="shared" si="4"/>
        <v>0</v>
      </c>
      <c r="E28" s="477">
        <f t="shared" si="5"/>
        <v>0</v>
      </c>
      <c r="F28" s="477">
        <f t="shared" si="6"/>
        <v>0</v>
      </c>
      <c r="G28" s="477">
        <f t="shared" si="7"/>
        <v>293.2599087667312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293.2599087667312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103.96181745503476</v>
      </c>
      <c r="C32" s="477">
        <f t="shared" ca="1" si="3"/>
        <v>0</v>
      </c>
      <c r="D32" s="477">
        <f t="shared" si="4"/>
        <v>175.067138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279.02895545503475</v>
      </c>
    </row>
    <row r="33" spans="1:17" s="486" customFormat="1">
      <c r="A33" s="1038" t="s">
        <v>558</v>
      </c>
      <c r="B33" s="978">
        <f ca="1">SUM(B22:B32)</f>
        <v>10670.18537196157</v>
      </c>
      <c r="C33" s="978">
        <f t="shared" ref="C33:Q33" ca="1" si="18">SUM(C22:C32)</f>
        <v>0</v>
      </c>
      <c r="D33" s="978">
        <f t="shared" ca="1" si="18"/>
        <v>25707.284205809705</v>
      </c>
      <c r="E33" s="978">
        <f t="shared" si="18"/>
        <v>418.54329305769988</v>
      </c>
      <c r="F33" s="978">
        <f t="shared" ca="1" si="18"/>
        <v>2076.4015930021069</v>
      </c>
      <c r="G33" s="978">
        <f t="shared" si="18"/>
        <v>6137.4636373849962</v>
      </c>
      <c r="H33" s="978">
        <f t="shared" si="18"/>
        <v>1111.9356620518104</v>
      </c>
      <c r="I33" s="978">
        <f t="shared" si="18"/>
        <v>0</v>
      </c>
      <c r="J33" s="978">
        <f t="shared" si="18"/>
        <v>66.48048950433396</v>
      </c>
      <c r="K33" s="978">
        <f t="shared" si="18"/>
        <v>0</v>
      </c>
      <c r="L33" s="978">
        <f t="shared" ca="1" si="18"/>
        <v>0</v>
      </c>
      <c r="M33" s="978">
        <f t="shared" si="18"/>
        <v>0</v>
      </c>
      <c r="N33" s="978">
        <f t="shared" ca="1" si="18"/>
        <v>0</v>
      </c>
      <c r="O33" s="978">
        <f t="shared" si="18"/>
        <v>0</v>
      </c>
      <c r="P33" s="978">
        <f t="shared" si="18"/>
        <v>0</v>
      </c>
      <c r="Q33" s="978">
        <f t="shared" ca="1" si="18"/>
        <v>46188.294252772226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1115.2936780525924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1115.2936780525924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0.21601019247558556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0.21601019247558556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2019-08-12T08:22:11Z</dcterms:modified>
</cp:coreProperties>
</file>