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<sst xmlns="http://schemas.openxmlformats.org/spreadsheetml/2006/main" count="2401" uniqueCount="897">
  <si>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</si>
  <si>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</si>
  <si>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</si>
  <si>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</si>
  <si>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</si>
  <si>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</si>
  <si>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</si>
  <si>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</si>
  <si>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</si>
  <si>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</si>
  <si>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</si>
  <si>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</si>
  <si>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</si>
  <si>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</si>
  <si>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</si>
  <si>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</si>
  <si>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</si>
  <si>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</si>
  <si>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</si>
  <si>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</si>
  <si>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</si>
  <si>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</si>
  <si>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</si>
  <si>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</si>
  <si>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</si>
  <si>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</si>
  <si>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</si>
  <si>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</si>
  <si>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</si>
  <si>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</si>
  <si>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</si>
  <si>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</si>
  <si>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</si>
  <si>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</si>
  <si>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</si>
  <si>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</si>
  <si>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</si>
  <si>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</si>
  <si>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</si>
  <si>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</si>
  <si>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</si>
  <si>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</si>
  <si>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</si>
  <si>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</si>
  <si>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</si>
  <si>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</si>
  <si>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</si>
  <si>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</si>
  <si>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</si>
  <si>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</si>
  <si>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</si>
  <si>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</si>
  <si>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</si>
  <si>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</si>
  <si>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</si>
  <si>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</si>
  <si>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</si>
  <si>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</si>
  <si>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</si>
  <si>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</si>
  <si>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</si>
  <si>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</si>
  <si>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</si>
  <si>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</si>
  <si>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</si>
  <si>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</si>
  <si>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</si>
  <si>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</si>
  <si>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</si>
  <si>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</si>
  <si>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</si>
  <si>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</si>
  <si>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</si>
  <si>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</si>
  <si>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</si>
  <si>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</si>
  <si>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</si>
  <si>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</si>
  <si>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</si>
  <si>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</si>
  <si>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</si>
  <si>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</si>
  <si>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</si>
  <si>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</si>
  <si>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</si>
  <si>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</si>
  <si>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</si>
  <si>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</si>
  <si>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</si>
  <si>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</si>
  <si>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</si>
  <si>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</si>
  <si>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</si>
  <si>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</si>
  <si>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</si>
  <si>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</si>
  <si>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</si>
  <si>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</si>
  <si>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</si>
  <si>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</si>
  <si>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</si>
  <si>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</si>
  <si>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</si>
  <si>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</si>
  <si>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</si>
  <si>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</si>
  <si>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</si>
  <si>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</si>
  <si>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</si>
  <si>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</si>
  <si>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</si>
  <si>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</si>
  <si>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</si>
  <si>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</si>
  <si>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</si>
  <si>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</si>
  <si>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</si>
  <si>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</si>
  <si>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</si>
  <si>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</si>
  <si>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</si>
  <si>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</si>
  <si>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</si>
  <si>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</si>
  <si>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</si>
  <si>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</si>
  <si>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</si>
  <si>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</si>
  <si>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</si>
  <si>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</si>
  <si>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</si>
  <si>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</si>
  <si>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</si>
  <si>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</si>
  <si>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</si>
  <si>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</si>
  <si>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</si>
  <si>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</si>
  <si>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</si>
  <si>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</si>
  <si>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</si>
  <si>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</si>
  <si>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</si>
  <si>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</si>
  <si>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</si>
  <si>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</si>
  <si>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</si>
  <si>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</si>
  <si>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</si>
  <si>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</si>
  <si>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</si>
  <si>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</si>
  <si>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</si>
  <si>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</si>
  <si>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</si>
  <si>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</si>
  <si>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</si>
  <si>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</si>
  <si>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</si>
  <si>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</si>
  <si>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</si>
  <si>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</si>
  <si>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</si>
  <si>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</si>
  <si>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</si>
  <si>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</si>
  <si>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</si>
  <si>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</si>
  <si>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</si>
  <si>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</si>
  <si>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</si>
  <si>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</si>
  <si>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</si>
  <si>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</si>
  <si>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</si>
  <si>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</si>
  <si>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</si>
  <si>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</si>
  <si>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</si>
  <si>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</si>
  <si>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</si>
  <si>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</si>
  <si>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</si>
  <si>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</si>
  <si>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</si>
  <si>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</si>
  <si>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</si>
  <si>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</si>
  <si>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</si>
  <si>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</si>
  <si>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</si>
  <si>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</si>
  <si>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</si>
  <si>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</si>
  <si>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</si>
  <si>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</si>
  <si>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</si>
  <si>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</si>
  <si>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</si>
  <si>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</si>
  <si>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</si>
  <si>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</si>
  <si>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</si>
  <si>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</si>
  <si>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</si>
  <si>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</si>
  <si>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</si>
  <si>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</si>
  <si>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</si>
  <si>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</si>
  <si>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</si>
  <si>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</si>
  <si>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</si>
  <si>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</si>
  <si>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</si>
  <si>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</si>
  <si>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</si>
  <si>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</si>
  <si>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</si>
  <si>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</si>
  <si>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</si>
  <si>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</si>
  <si>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</si>
  <si>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</si>
  <si>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</si>
  <si>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</si>
  <si>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</si>
  <si>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</si>
  <si>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</si>
  <si>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</si>
  <si>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</si>
  <si>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</si>
  <si>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</si>
  <si>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</si>
  <si>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</si>
  <si>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</si>
  <si>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</si>
  <si>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</si>
  <si>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</si>
  <si>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</si>
  <si>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</si>
  <si>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</si>
  <si>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</si>
  <si>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</si>
  <si>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</si>
  <si>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</si>
  <si>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</si>
  <si>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</si>
  <si>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</si>
  <si>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</si>
  <si>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</si>
  <si>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</si>
  <si>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</si>
  <si>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</si>
  <si>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</si>
  <si>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</si>
  <si>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</si>
  <si>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</si>
  <si>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</si>
  <si>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</si>
  <si>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</si>
  <si>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</si>
  <si>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</si>
  <si>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</si>
  <si>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</si>
  <si>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</si>
  <si>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</si>
  <si>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</si>
  <si>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</si>
  <si>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</si>
  <si>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</si>
  <si>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</si>
  <si>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</si>
  <si>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</si>
  <si>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</si>
  <si>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</si>
  <si>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</si>
  <si>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</si>
  <si>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</si>
  <si>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</si>
  <si>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</si>
  <si>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</si>
  <si>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</si>
  <si>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</si>
  <si>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</si>
  <si>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</si>
  <si>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</si>
  <si>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</si>
  <si>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</si>
  <si>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</si>
  <si>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</si>
  <si>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</si>
  <si>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</si>
  <si>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</si>
  <si>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</si>
  <si>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</si>
  <si>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</si>
  <si>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</si>
  <si>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</si>
  <si>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</si>
  <si>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</si>
  <si>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</si>
  <si>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</si>
  <si>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</si>
  <si>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</si>
  <si>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</si>
  <si>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</si>
  <si>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</si>
  <si>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</si>
  <si>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</si>
  <si>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</si>
  <si>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</si>
  <si>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</si>
  <si>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</si>
  <si>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</si>
  <si>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</si>
  <si>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</si>
  <si>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</si>
  <si>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</si>
  <si>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</si>
  <si>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</si>
  <si>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</si>
  <si>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</si>
  <si>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</si>
  <si>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</si>
  <si>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</si>
  <si>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</si>
  <si>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</si>
  <si>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</si>
  <si>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</si>
  <si>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</si>
  <si>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</si>
  <si>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</si>
  <si>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</si>
  <si>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</si>
  <si>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</si>
  <si>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</si>
  <si>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</si>
  <si>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</si>
  <si>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</si>
  <si>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</si>
  <si>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</si>
  <si>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</si>
  <si>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</si>
  <si>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</si>
  <si>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</si>
  <si>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</si>
  <si>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</si>
  <si>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</si>
  <si>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</si>
  <si>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</si>
  <si>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</si>
  <si>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</si>
  <si>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</si>
  <si>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</si>
  <si>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</si>
  <si>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</si>
  <si>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</si>
  <si>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</si>
  <si>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</si>
  <si>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</si>
  <si>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</si>
  <si>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</si>
  <si>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</si>
  <si>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</si>
  <si>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</si>
  <si>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</si>
  <si>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</si>
  <si>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</si>
  <si>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</si>
  <si>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</si>
  <si>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</si>
  <si>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</si>
  <si>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</si>
  <si>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</si>
  <si>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</si>
  <si>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</si>
  <si>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</si>
  <si>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</si>
  <si>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</si>
  <si>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</si>
  <si>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</si>
  <si>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</si>
  <si>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</si>
  <si>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</si>
  <si>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</si>
  <si>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</si>
  <si>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</si>
  <si>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</si>
  <si>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</si>
  <si>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</si>
  <si>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</si>
  <si>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</si>
  <si>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</si>
  <si>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</si>
  <si>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</si>
  <si>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</si>
  <si>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</si>
  <si>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</si>
  <si>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</si>
  <si>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</si>
  <si>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</si>
  <si>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</si>
  <si>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</si>
  <si>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</si>
  <si>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</si>
  <si>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</si>
  <si>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</si>
  <si>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</si>
  <si>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</si>
  <si>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</si>
  <si>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</si>
  <si>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</si>
  <si>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</si>
  <si>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</si>
  <si>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</si>
  <si>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</si>
  <si>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</si>
  <si>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</si>
  <si>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</si>
  <si>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</si>
  <si>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</si>
  <si>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</si>
  <si>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</si>
  <si>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</si>
  <si>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</si>
  <si>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</si>
  <si>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</si>
  <si>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</si>
  <si>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</si>
  <si>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</si>
  <si>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</si>
  <si>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</si>
  <si>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</si>
  <si>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</si>
  <si>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</si>
  <si>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</si>
  <si>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</si>
  <si>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</si>
  <si>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</si>
  <si>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</si>
  <si>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</si>
  <si>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</si>
  <si>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</si>
  <si>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</si>
  <si>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</si>
  <si>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</si>
  <si>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</si>
  <si>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</si>
  <si>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</si>
  <si>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</si>
  <si>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</si>
  <si>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</si>
  <si>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</si>
  <si>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</si>
  <si>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</si>
  <si>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</si>
  <si>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</si>
  <si>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</si>
  <si>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</si>
  <si>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</si>
  <si>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</si>
  <si>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</si>
  <si>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</si>
  <si>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</si>
  <si>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</si>
  <si>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</si>
  <si>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</si>
  <si>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</si>
  <si>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</si>
  <si>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</si>
  <si>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</si>
  <si>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</si>
  <si>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</si>
  <si>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</si>
  <si>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</si>
  <si>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</si>
  <si>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</si>
  <si>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</si>
  <si>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</si>
  <si>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</si>
  <si>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</si>
  <si>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</si>
  <si>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</si>
  <si>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</si>
  <si>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</si>
  <si>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</si>
  <si>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</si>
  <si>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</si>
  <si>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</si>
  <si>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</si>
  <si>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</si>
  <si>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</si>
  <si>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</si>
  <si>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</si>
  <si>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</si>
  <si>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</si>
  <si>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</si>
  <si>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</si>
  <si>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</si>
  <si>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</si>
  <si>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</si>
  <si>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</si>
  <si>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</si>
  <si>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</si>
  <si>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</si>
  <si>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</si>
  <si>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</si>
  <si>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</si>
  <si>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</si>
  <si>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</si>
  <si>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</si>
  <si>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</si>
  <si>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</si>
  <si>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</si>
  <si>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</si>
  <si>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</si>
  <si>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</si>
  <si>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</si>
  <si>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</si>
  <si>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</si>
  <si>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</si>
  <si>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</si>
  <si>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</si>
  <si>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</si>
  <si>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</si>
  <si>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</si>
  <si>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</si>
  <si>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</si>
  <si>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</si>
  <si>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</si>
  <si>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</si>
  <si>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</si>
  <si>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</si>
  <si>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</si>
  <si>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</si>
  <si>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</si>
  <si>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</si>
  <si>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</si>
  <si>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</si>
  <si>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</si>
  <si>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</si>
  <si>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</si>
  <si>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</si>
  <si>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</si>
  <si>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</si>
  <si>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</si>
  <si>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</si>
  <si>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</si>
  <si>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</si>
  <si>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</si>
  <si>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</si>
  <si>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</si>
  <si>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</si>
  <si>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</si>
  <si>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</si>
  <si>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</si>
  <si>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</si>
  <si>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</si>
  <si>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</si>
  <si>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</si>
  <si>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</si>
  <si>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</si>
  <si>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</si>
  <si>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</si>
  <si>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</si>
  <si>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</si>
  <si>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</si>
  <si>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</si>
  <si>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</si>
  <si>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</si>
  <si>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</si>
  <si>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</si>
  <si>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</si>
  <si>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</si>
  <si>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</si>
  <si>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</si>
  <si>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</si>
  <si>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</si>
  <si>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</si>
  <si>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</si>
  <si>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</si>
  <si>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</si>
  <si>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</si>
  <si>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</si>
  <si>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</si>
  <si>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</si>
  <si>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</si>
  <si>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</si>
  <si>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</si>
  <si>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</si>
  <si>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</si>
  <si>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</si>
  <si>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</si>
  <si>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</si>
  <si>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</si>
  <si>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</si>
  <si>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</si>
  <si>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</si>
  <si>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</si>
  <si>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</si>
  <si>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</si>
  <si>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</si>
  <si>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</si>
  <si>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</si>
  <si>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</si>
  <si>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</si>
  <si>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</si>
  <si>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</si>
  <si>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</si>
  <si>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</si>
  <si>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</si>
  <si>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</si>
  <si>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</si>
  <si>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</si>
  <si>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</si>
  <si>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</si>
  <si>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</si>
  <si>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</si>
  <si>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</si>
  <si>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</si>
  <si>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</si>
  <si>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</si>
  <si>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</si>
  <si>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</si>
  <si>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</si>
  <si>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</si>
  <si>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</si>
  <si>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</si>
  <si>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</si>
  <si>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</si>
  <si>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</si>
  <si>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</si>
  <si>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</si>
  <si>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</si>
  <si>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</si>
  <si>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</si>
  <si>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</si>
  <si>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</si>
  <si>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</si>
  <si>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</si>
  <si>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</si>
  <si>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</si>
  <si>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</si>
  <si>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</si>
  <si>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</si>
  <si>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</si>
  <si>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</si>
  <si>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</si>
  <si>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</si>
  <si>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</si>
  <si>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</si>
  <si>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</si>
  <si>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</si>
  <si>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</si>
  <si>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</si>
  <si>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</si>
  <si>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</si>
  <si>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</si>
  <si>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</si>
  <si>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</si>
  <si>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</si>
  <si>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</si>
  <si>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</si>
  <si>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</si>
  <si>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</si>
  <si>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</si>
  <si>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</si>
  <si>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</si>
  <si>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</si>
  <si>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</si>
  <si>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</si>
  <si>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</si>
  <si>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</si>
  <si>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</si>
  <si>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</si>
  <si>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</si>
  <si>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</si>
  <si>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</si>
  <si>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</si>
  <si>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</si>
  <si>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</si>
  <si>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</si>
  <si>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</si>
  <si>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</si>
  <si>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</si>
  <si>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</si>
  <si>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</si>
  <si>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</si>
  <si>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</si>
  <si>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</si>
  <si>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</si>
  <si>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</si>
  <si>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</si>
  <si>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</si>
  <si>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</si>
  <si>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</si>
  <si>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</si>
  <si>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</si>
  <si>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</si>
  <si>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</si>
  <si>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</si>
  <si>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</si>
  <si>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</si>
  <si>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</si>
  <si>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</si>
  <si>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</si>
  <si>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</si>
  <si>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</si>
  <si>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</si>
  <si>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</si>
  <si>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</si>
  <si>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</si>
  <si>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</si>
  <si>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</si>
  <si>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</si>
  <si>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</si>
  <si>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</si>
  <si>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</si>
  <si>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</si>
  <si>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</si>
  <si>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</si>
  <si>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</si>
  <si>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</si>
  <si>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</si>
  <si>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</si>
  <si>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</si>
  <si>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</si>
  <si>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</si>
  <si>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</si>
  <si>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</si>
  <si>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</si>
  <si>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</si>
  <si>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</si>
  <si>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</si>
  <si>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</si>
  <si>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</si>
  <si>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</si>
  <si>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</si>
  <si>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</si>
  <si>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</si>
  <si>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</si>
  <si>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</si>
  <si>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</si>
  <si>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</si>
  <si>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</si>
  <si>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</si>
  <si>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</si>
  <si>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</si>
  <si>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</si>
  <si>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</si>
  <si>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</si>
  <si>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</si>
  <si>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</si>
  <si>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</si>
  <si>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</si>
  <si>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</si>
  <si>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</si>
  <si>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</si>
  <si>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</si>
  <si>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</si>
  <si>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</si>
  <si>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</si>
  <si>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</si>
  <si>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</si>
  <si>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</si>
  <si>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</si>
  <si>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</si>
  <si>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</si>
  <si>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</si>
  <si>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</si>
  <si>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</si>
  <si>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</si>
  <si>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</si>
  <si>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</si>
  <si>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</si>
  <si>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</si>
  <si>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</si>
  <si>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</si>
  <si>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</si>
  <si>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</si>
  <si>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</si>
  <si>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</si>
  <si>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</si>
  <si>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</si>
  <si>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</si>
  <si>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</si>
  <si>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</si>
  <si>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</si>
  <si>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</si>
  <si>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</si>
  <si>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</si>
  <si>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</si>
  <si>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</si>
  <si>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</si>
  <si>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</si>
  <si>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</si>
  <si>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</si>
  <si>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</si>
  <si>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</si>
  <si>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</si>
  <si>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</si>
  <si>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</si>
  <si>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</si>
  <si>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</si>
  <si>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</si>
  <si>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</si>
  <si>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</si>
  <si>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</si>
  <si>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</si>
  <si>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</si>
  <si>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</si>
  <si>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</si>
  <si>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</si>
  <si>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</si>
  <si>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</si>
  <si>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</si>
  <si>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</si>
  <si>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</si>
  <si>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</si>
  <si>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</si>
  <si>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</si>
  <si>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</si>
  <si>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</si>
  <si>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</si>
  <si>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</si>
  <si>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</si>
  <si>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</si>
  <si>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</si>
  <si>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</si>
  <si>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</si>
  <si>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</si>
  <si>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</si>
  <si>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</si>
  <si>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</si>
  <si>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</si>
  <si>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</si>
  <si>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</si>
  <si>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</si>
  <si>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</si>
  <si>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</si>
  <si>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</si>
  <si>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</si>
  <si>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</si>
  <si>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</si>
  <si>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</si>
  <si>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</si>
  <si>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</si>
  <si>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</si>
  <si>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</si>
  <si>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</si>
  <si>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</si>
  <si>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</si>
  <si>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</si>
  <si>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</si>
  <si>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</si>
  <si>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</si>
  <si>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</si>
  <si>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</si>
  <si>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</si>
  <si>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</si>
  <si>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</si>
  <si>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</si>
  <si>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</si>
  <si>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</si>
  <si>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</si>
  <si>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</si>
  <si>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</si>
  <si>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</si>
  <si>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</si>
  <si>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</si>
  <si>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</si>
  <si>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</si>
  <si>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</si>
  <si>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</si>
  <si>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</si>
  <si>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</si>
  <si>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</si>
  <si>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</si>
  <si>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</si>
  <si>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</si>
  <si>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</si>
  <si>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11016</t>
  </si>
  <si>
    <t>ESSEN</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</si>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</sst>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157927.35865334002</c:v>
                </c:pt>
                <c:pt idx="1">
                  <c:v>32617.319025828077</c:v>
                </c:pt>
                <c:pt idx="2">
                  <c:v>1191.78</c:v>
                </c:pt>
                <c:pt idx="3">
                  <c:v>14275.902162135553</c:v>
                </c:pt>
                <c:pt idx="4">
                  <c:v>62986.650554260959</c:v>
                </c:pt>
                <c:pt idx="5">
                  <c:v>58310.648355548547</c:v>
                </c:pt>
                <c:pt idx="6">
                  <c:v>591.88289481935658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59840"/>
        <c:axId val="183461376"/>
      </c:barChart>
      <c:catAx>
        <c:axId val="183459840"/>
        <c:scaling>
          <c:orientation val="minMax"/>
        </c:scaling>
        <c:axPos val="b"/>
        <c:numFmt formatCode="General" sourceLinked="0"/>
        <c:tickLblPos val="nextTo"/>
        <c:crossAx val="183461376"/>
        <c:crosses val="autoZero"/>
        <c:auto val="1"/>
        <c:lblAlgn val="ctr"/>
        <c:lblOffset val="100"/>
      </c:catAx>
      <c:valAx>
        <c:axId val="183461376"/>
        <c:scaling>
          <c:orientation val="minMax"/>
        </c:scaling>
        <c:axPos val="l"/>
        <c:majorGridlines/>
        <c:numFmt formatCode="#,##0" sourceLinked="1"/>
        <c:tickLblPos val="nextTo"/>
        <c:crossAx val="183459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157927.35865334002</c:v>
                </c:pt>
                <c:pt idx="1">
                  <c:v>32617.319025828077</c:v>
                </c:pt>
                <c:pt idx="2">
                  <c:v>1191.78</c:v>
                </c:pt>
                <c:pt idx="3">
                  <c:v>14275.902162135553</c:v>
                </c:pt>
                <c:pt idx="4">
                  <c:v>62986.650554260959</c:v>
                </c:pt>
                <c:pt idx="5">
                  <c:v>58310.648355548547</c:v>
                </c:pt>
                <c:pt idx="6">
                  <c:v>591.88289481935658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28743.434226439647</c:v>
                </c:pt>
                <c:pt idx="2">
                  <c:v>6406.8863608696747</c:v>
                </c:pt>
                <c:pt idx="3">
                  <c:v>232.76457639966847</c:v>
                </c:pt>
                <c:pt idx="4">
                  <c:v>3604.2337208549343</c:v>
                </c:pt>
                <c:pt idx="5">
                  <c:v>11656.986628221443</c:v>
                </c:pt>
                <c:pt idx="6">
                  <c:v>14882.091323300483</c:v>
                </c:pt>
                <c:pt idx="7">
                  <c:v>153.27838046634935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84416"/>
        <c:axId val="183959936"/>
      </c:barChart>
      <c:catAx>
        <c:axId val="183884416"/>
        <c:scaling>
          <c:orientation val="minMax"/>
        </c:scaling>
        <c:axPos val="b"/>
        <c:numFmt formatCode="General" sourceLinked="0"/>
        <c:tickLblPos val="nextTo"/>
        <c:crossAx val="183959936"/>
        <c:crosses val="autoZero"/>
        <c:auto val="1"/>
        <c:lblAlgn val="ctr"/>
        <c:lblOffset val="100"/>
      </c:catAx>
      <c:valAx>
        <c:axId val="183959936"/>
        <c:scaling>
          <c:orientation val="minMax"/>
        </c:scaling>
        <c:axPos val="l"/>
        <c:majorGridlines/>
        <c:numFmt formatCode="#,##0" sourceLinked="1"/>
        <c:tickLblPos val="nextTo"/>
        <c:crossAx val="183884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28743.434226439647</c:v>
                </c:pt>
                <c:pt idx="2">
                  <c:v>6406.8863608696747</c:v>
                </c:pt>
                <c:pt idx="3">
                  <c:v>232.76457639966847</c:v>
                </c:pt>
                <c:pt idx="4">
                  <c:v>3604.2337208549343</c:v>
                </c:pt>
                <c:pt idx="5">
                  <c:v>11656.986628221443</c:v>
                </c:pt>
                <c:pt idx="6">
                  <c:v>14882.091323300483</c:v>
                </c:pt>
                <c:pt idx="7">
                  <c:v>153.27838046634935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11016</v>
      </c>
      <c r="B6" s="415"/>
      <c r="C6" s="416"/>
    </row>
    <row r="7" spans="1:7" s="413" customFormat="1" ht="15.75" customHeight="1">
      <c r="A7" s="417" t="str">
        <f>txtMunicipality</f>
        <v>ESSEN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0.19530834247903847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0.19530834247903847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11016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7319</v>
      </c>
      <c r="C9" s="342">
        <v>7757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2654.24</v>
      </c>
    </row>
    <row r="15" spans="1:6">
      <c r="A15" s="348" t="s">
        <v>184</v>
      </c>
      <c r="B15" s="334">
        <v>603</v>
      </c>
    </row>
    <row r="16" spans="1:6">
      <c r="A16" s="348" t="s">
        <v>6</v>
      </c>
      <c r="B16" s="334">
        <v>3871</v>
      </c>
    </row>
    <row r="17" spans="1:6">
      <c r="A17" s="348" t="s">
        <v>7</v>
      </c>
      <c r="B17" s="334">
        <v>322</v>
      </c>
    </row>
    <row r="18" spans="1:6">
      <c r="A18" s="348" t="s">
        <v>8</v>
      </c>
      <c r="B18" s="334">
        <v>2159</v>
      </c>
    </row>
    <row r="19" spans="1:6">
      <c r="A19" s="348" t="s">
        <v>9</v>
      </c>
      <c r="B19" s="334">
        <v>2319</v>
      </c>
    </row>
    <row r="20" spans="1:6">
      <c r="A20" s="348" t="s">
        <v>10</v>
      </c>
      <c r="B20" s="334">
        <v>841</v>
      </c>
    </row>
    <row r="21" spans="1:6">
      <c r="A21" s="348" t="s">
        <v>11</v>
      </c>
      <c r="B21" s="334">
        <v>6181</v>
      </c>
    </row>
    <row r="22" spans="1:6">
      <c r="A22" s="348" t="s">
        <v>12</v>
      </c>
      <c r="B22" s="334">
        <v>21614</v>
      </c>
    </row>
    <row r="23" spans="1:6">
      <c r="A23" s="348" t="s">
        <v>13</v>
      </c>
      <c r="B23" s="334">
        <v>153</v>
      </c>
    </row>
    <row r="24" spans="1:6">
      <c r="A24" s="348" t="s">
        <v>14</v>
      </c>
      <c r="B24" s="334">
        <v>8</v>
      </c>
    </row>
    <row r="25" spans="1:6">
      <c r="A25" s="348" t="s">
        <v>15</v>
      </c>
      <c r="B25" s="334">
        <v>1000</v>
      </c>
    </row>
    <row r="26" spans="1:6">
      <c r="A26" s="348" t="s">
        <v>16</v>
      </c>
      <c r="B26" s="334">
        <v>44</v>
      </c>
    </row>
    <row r="27" spans="1:6">
      <c r="A27" s="348" t="s">
        <v>17</v>
      </c>
      <c r="B27" s="334">
        <v>21</v>
      </c>
    </row>
    <row r="28" spans="1:6" s="356" customFormat="1">
      <c r="A28" s="355" t="s">
        <v>18</v>
      </c>
      <c r="B28" s="355">
        <v>346233</v>
      </c>
    </row>
    <row r="29" spans="1:6">
      <c r="A29" s="355" t="s">
        <v>884</v>
      </c>
      <c r="B29" s="355">
        <v>208</v>
      </c>
      <c r="C29" s="356"/>
      <c r="D29" s="356"/>
      <c r="E29" s="356"/>
      <c r="F29" s="356"/>
    </row>
    <row r="30" spans="1:6">
      <c r="A30" s="355" t="s">
        <v>885</v>
      </c>
      <c r="B30" s="341">
        <v>46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199165.61707000001</v>
      </c>
      <c r="E38" s="334">
        <v>0</v>
      </c>
      <c r="F38" s="334">
        <v>2161</v>
      </c>
    </row>
    <row r="39" spans="1:6">
      <c r="A39" s="348" t="s">
        <v>30</v>
      </c>
      <c r="B39" s="348" t="s">
        <v>31</v>
      </c>
      <c r="C39" s="334">
        <v>3886</v>
      </c>
      <c r="D39" s="334">
        <v>68201106.642000005</v>
      </c>
      <c r="E39" s="334">
        <v>7550</v>
      </c>
      <c r="F39" s="334">
        <v>32955900</v>
      </c>
    </row>
    <row r="40" spans="1:6">
      <c r="A40" s="348" t="s">
        <v>30</v>
      </c>
      <c r="B40" s="348" t="s">
        <v>29</v>
      </c>
      <c r="C40" s="334">
        <v>1</v>
      </c>
      <c r="D40" s="334">
        <v>17335.049552</v>
      </c>
      <c r="E40" s="334">
        <v>0</v>
      </c>
      <c r="F40" s="334">
        <v>0</v>
      </c>
    </row>
    <row r="41" spans="1:6">
      <c r="A41" s="348" t="s">
        <v>32</v>
      </c>
      <c r="B41" s="348" t="s">
        <v>33</v>
      </c>
      <c r="C41" s="334">
        <v>53</v>
      </c>
      <c r="D41" s="334">
        <v>1158740.6782</v>
      </c>
      <c r="E41" s="334">
        <v>158</v>
      </c>
      <c r="F41" s="334">
        <v>18344781</v>
      </c>
    </row>
    <row r="42" spans="1:6">
      <c r="A42" s="348" t="s">
        <v>32</v>
      </c>
      <c r="B42" s="348" t="s">
        <v>34</v>
      </c>
      <c r="C42" s="334">
        <v>0</v>
      </c>
      <c r="D42" s="334">
        <v>0</v>
      </c>
      <c r="E42" s="334">
        <v>0</v>
      </c>
      <c r="F42" s="334">
        <v>0</v>
      </c>
    </row>
    <row r="43" spans="1:6">
      <c r="A43" s="348" t="s">
        <v>32</v>
      </c>
      <c r="B43" s="348" t="s">
        <v>35</v>
      </c>
      <c r="C43" s="334">
        <v>0</v>
      </c>
      <c r="D43" s="334">
        <v>0</v>
      </c>
      <c r="E43" s="334">
        <v>3</v>
      </c>
      <c r="F43" s="334">
        <v>18392</v>
      </c>
    </row>
    <row r="44" spans="1:6">
      <c r="A44" s="348" t="s">
        <v>32</v>
      </c>
      <c r="B44" s="348" t="s">
        <v>36</v>
      </c>
      <c r="C44" s="334">
        <v>3</v>
      </c>
      <c r="D44" s="334">
        <v>95311.071081000002</v>
      </c>
      <c r="E44" s="334">
        <v>32</v>
      </c>
      <c r="F44" s="334">
        <v>1999181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1837958</v>
      </c>
    </row>
    <row r="48" spans="1:6">
      <c r="A48" s="348" t="s">
        <v>32</v>
      </c>
      <c r="B48" s="348" t="s">
        <v>29</v>
      </c>
      <c r="C48" s="334">
        <v>31</v>
      </c>
      <c r="D48" s="334">
        <v>1358008.2841</v>
      </c>
      <c r="E48" s="334">
        <v>4</v>
      </c>
      <c r="F48" s="334">
        <v>280423</v>
      </c>
    </row>
    <row r="49" spans="1:6">
      <c r="A49" s="348" t="s">
        <v>32</v>
      </c>
      <c r="B49" s="348" t="s">
        <v>40</v>
      </c>
      <c r="C49" s="334">
        <v>0</v>
      </c>
      <c r="D49" s="334">
        <v>0</v>
      </c>
      <c r="E49" s="334">
        <v>0</v>
      </c>
      <c r="F49" s="334">
        <v>0</v>
      </c>
    </row>
    <row r="50" spans="1:6">
      <c r="A50" s="348" t="s">
        <v>32</v>
      </c>
      <c r="B50" s="348" t="s">
        <v>41</v>
      </c>
      <c r="C50" s="334">
        <v>7</v>
      </c>
      <c r="D50" s="334">
        <v>541574.80339000002</v>
      </c>
      <c r="E50" s="334">
        <v>15</v>
      </c>
      <c r="F50" s="334">
        <v>4147462</v>
      </c>
    </row>
    <row r="51" spans="1:6">
      <c r="A51" s="348" t="s">
        <v>42</v>
      </c>
      <c r="B51" s="348" t="s">
        <v>43</v>
      </c>
      <c r="C51" s="334">
        <v>6</v>
      </c>
      <c r="D51" s="334">
        <v>179393.11241</v>
      </c>
      <c r="E51" s="334">
        <v>126</v>
      </c>
      <c r="F51" s="334">
        <v>2892785</v>
      </c>
    </row>
    <row r="52" spans="1:6">
      <c r="A52" s="348" t="s">
        <v>42</v>
      </c>
      <c r="B52" s="348" t="s">
        <v>29</v>
      </c>
      <c r="C52" s="334">
        <v>5</v>
      </c>
      <c r="D52" s="334">
        <v>104455.55487000001</v>
      </c>
      <c r="E52" s="334">
        <v>0</v>
      </c>
      <c r="F52" s="334">
        <v>0</v>
      </c>
    </row>
    <row r="53" spans="1:6">
      <c r="A53" s="348" t="s">
        <v>44</v>
      </c>
      <c r="B53" s="348" t="s">
        <v>45</v>
      </c>
      <c r="C53" s="334">
        <v>62</v>
      </c>
      <c r="D53" s="334">
        <v>1165747.2172999999</v>
      </c>
      <c r="E53" s="334">
        <v>0</v>
      </c>
      <c r="F53" s="334">
        <v>0</v>
      </c>
    </row>
    <row r="54" spans="1:6">
      <c r="A54" s="348" t="s">
        <v>46</v>
      </c>
      <c r="B54" s="348" t="s">
        <v>47</v>
      </c>
      <c r="C54" s="334">
        <v>0</v>
      </c>
      <c r="D54" s="334">
        <v>0</v>
      </c>
      <c r="E54" s="334">
        <v>3</v>
      </c>
      <c r="F54" s="334">
        <v>1191780</v>
      </c>
    </row>
    <row r="55" spans="1:6">
      <c r="A55" s="348" t="s">
        <v>46</v>
      </c>
      <c r="B55" s="348" t="s">
        <v>29</v>
      </c>
      <c r="C55" s="334">
        <v>0</v>
      </c>
      <c r="D55" s="334">
        <v>0</v>
      </c>
      <c r="E55" s="334">
        <v>0</v>
      </c>
      <c r="F55" s="334">
        <v>0</v>
      </c>
    </row>
    <row r="56" spans="1:6">
      <c r="A56" s="348" t="s">
        <v>48</v>
      </c>
      <c r="B56" s="348" t="s">
        <v>29</v>
      </c>
      <c r="C56" s="334">
        <v>0</v>
      </c>
      <c r="D56" s="334">
        <v>0</v>
      </c>
      <c r="E56" s="334">
        <v>169</v>
      </c>
      <c r="F56" s="334">
        <v>810264</v>
      </c>
    </row>
    <row r="57" spans="1:6">
      <c r="A57" s="348" t="s">
        <v>49</v>
      </c>
      <c r="B57" s="348" t="s">
        <v>50</v>
      </c>
      <c r="C57" s="334">
        <v>31</v>
      </c>
      <c r="D57" s="334">
        <v>2145442.9682</v>
      </c>
      <c r="E57" s="334">
        <v>92</v>
      </c>
      <c r="F57" s="334">
        <v>1971827</v>
      </c>
    </row>
    <row r="58" spans="1:6">
      <c r="A58" s="348" t="s">
        <v>49</v>
      </c>
      <c r="B58" s="348" t="s">
        <v>51</v>
      </c>
      <c r="C58" s="334">
        <v>12</v>
      </c>
      <c r="D58" s="334">
        <v>261618.24332000001</v>
      </c>
      <c r="E58" s="334">
        <v>24</v>
      </c>
      <c r="F58" s="334">
        <v>795317</v>
      </c>
    </row>
    <row r="59" spans="1:6">
      <c r="A59" s="348" t="s">
        <v>49</v>
      </c>
      <c r="B59" s="348" t="s">
        <v>52</v>
      </c>
      <c r="C59" s="334">
        <v>43</v>
      </c>
      <c r="D59" s="334">
        <v>1899259.2959</v>
      </c>
      <c r="E59" s="334">
        <v>181</v>
      </c>
      <c r="F59" s="334">
        <v>4412133</v>
      </c>
    </row>
    <row r="60" spans="1:6">
      <c r="A60" s="348" t="s">
        <v>49</v>
      </c>
      <c r="B60" s="348" t="s">
        <v>53</v>
      </c>
      <c r="C60" s="334">
        <v>46</v>
      </c>
      <c r="D60" s="334">
        <v>1867890.6076</v>
      </c>
      <c r="E60" s="334">
        <v>73</v>
      </c>
      <c r="F60" s="334">
        <v>1529677</v>
      </c>
    </row>
    <row r="61" spans="1:6">
      <c r="A61" s="348" t="s">
        <v>49</v>
      </c>
      <c r="B61" s="348" t="s">
        <v>54</v>
      </c>
      <c r="C61" s="334">
        <v>85</v>
      </c>
      <c r="D61" s="334">
        <v>2407790.6318000001</v>
      </c>
      <c r="E61" s="334">
        <v>362</v>
      </c>
      <c r="F61" s="334">
        <v>3593382</v>
      </c>
    </row>
    <row r="62" spans="1:6">
      <c r="A62" s="348" t="s">
        <v>49</v>
      </c>
      <c r="B62" s="348" t="s">
        <v>55</v>
      </c>
      <c r="C62" s="334">
        <v>9</v>
      </c>
      <c r="D62" s="334">
        <v>1644541.3167000001</v>
      </c>
      <c r="E62" s="334">
        <v>21</v>
      </c>
      <c r="F62" s="334">
        <v>700801</v>
      </c>
    </row>
    <row r="63" spans="1:6">
      <c r="A63" s="348" t="s">
        <v>49</v>
      </c>
      <c r="B63" s="348" t="s">
        <v>29</v>
      </c>
      <c r="C63" s="334">
        <v>94</v>
      </c>
      <c r="D63" s="334">
        <v>5768404.4305999996</v>
      </c>
      <c r="E63" s="334">
        <v>0</v>
      </c>
      <c r="F63" s="334">
        <v>0</v>
      </c>
    </row>
    <row r="64" spans="1:6">
      <c r="A64" s="348" t="s">
        <v>56</v>
      </c>
      <c r="B64" s="348" t="s">
        <v>57</v>
      </c>
      <c r="C64" s="334">
        <v>0</v>
      </c>
      <c r="D64" s="334">
        <v>0</v>
      </c>
      <c r="E64" s="334">
        <v>0</v>
      </c>
      <c r="F64" s="334">
        <v>0</v>
      </c>
    </row>
    <row r="65" spans="1:6">
      <c r="A65" s="348" t="s">
        <v>56</v>
      </c>
      <c r="B65" s="348" t="s">
        <v>29</v>
      </c>
      <c r="C65" s="334">
        <v>3</v>
      </c>
      <c r="D65" s="334">
        <v>321014.26951999997</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47200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33589884</v>
      </c>
      <c r="E73" s="475">
        <v>34310690.543950804</v>
      </c>
    </row>
    <row r="74" spans="1:6">
      <c r="A74" s="348" t="s">
        <v>64</v>
      </c>
      <c r="B74" s="348" t="s">
        <v>667</v>
      </c>
      <c r="C74" s="1294" t="s">
        <v>669</v>
      </c>
      <c r="D74" s="475">
        <v>1634429.1618215332</v>
      </c>
      <c r="E74" s="475">
        <v>1662739.7669202674</v>
      </c>
    </row>
    <row r="75" spans="1:6">
      <c r="A75" s="348" t="s">
        <v>65</v>
      </c>
      <c r="B75" s="348" t="s">
        <v>666</v>
      </c>
      <c r="C75" s="1294" t="s">
        <v>670</v>
      </c>
      <c r="D75" s="475">
        <v>33628741</v>
      </c>
      <c r="E75" s="475">
        <v>34245430.859904625</v>
      </c>
    </row>
    <row r="76" spans="1:6">
      <c r="A76" s="348" t="s">
        <v>65</v>
      </c>
      <c r="B76" s="348" t="s">
        <v>667</v>
      </c>
      <c r="C76" s="1294" t="s">
        <v>671</v>
      </c>
      <c r="D76" s="475">
        <v>1008897.1618215332</v>
      </c>
      <c r="E76" s="475">
        <v>1024844.4277034677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158971.67635693346</v>
      </c>
      <c r="C83" s="475">
        <v>158971.67635693346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3615.8951547957604</v>
      </c>
    </row>
    <row r="91" spans="1:6">
      <c r="A91" s="348" t="s">
        <v>68</v>
      </c>
      <c r="B91" s="334">
        <v>3696.9611959671174</v>
      </c>
    </row>
    <row r="92" spans="1:6">
      <c r="A92" s="341" t="s">
        <v>69</v>
      </c>
      <c r="B92" s="342">
        <v>2082.5360683571439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1669</v>
      </c>
    </row>
    <row r="98" spans="1:6">
      <c r="A98" s="348" t="s">
        <v>72</v>
      </c>
      <c r="B98" s="334">
        <v>6</v>
      </c>
    </row>
    <row r="99" spans="1:6">
      <c r="A99" s="348" t="s">
        <v>73</v>
      </c>
      <c r="B99" s="334">
        <v>290</v>
      </c>
    </row>
    <row r="100" spans="1:6">
      <c r="A100" s="348" t="s">
        <v>74</v>
      </c>
      <c r="B100" s="334">
        <v>730</v>
      </c>
    </row>
    <row r="101" spans="1:6">
      <c r="A101" s="348" t="s">
        <v>75</v>
      </c>
      <c r="B101" s="334">
        <v>169</v>
      </c>
    </row>
    <row r="102" spans="1:6">
      <c r="A102" s="348" t="s">
        <v>76</v>
      </c>
      <c r="B102" s="334">
        <v>69</v>
      </c>
    </row>
    <row r="103" spans="1:6">
      <c r="A103" s="348" t="s">
        <v>77</v>
      </c>
      <c r="B103" s="334">
        <v>176</v>
      </c>
    </row>
    <row r="104" spans="1:6">
      <c r="A104" s="348" t="s">
        <v>78</v>
      </c>
      <c r="B104" s="334">
        <v>2931</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5</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81194.775888770935</v>
      </c>
      <c r="C3" s="43" t="s">
        <v>170</v>
      </c>
      <c r="D3" s="43"/>
      <c r="E3" s="154"/>
      <c r="F3" s="43"/>
      <c r="G3" s="43"/>
      <c r="H3" s="43"/>
      <c r="I3" s="43"/>
      <c r="J3" s="43"/>
      <c r="K3" s="96"/>
    </row>
    <row r="4" spans="1:11">
      <c r="A4" s="383" t="s">
        <v>171</v>
      </c>
      <c r="B4" s="49">
        <f>IF(ISERROR('SEAP template'!B78+'SEAP template'!C78),0,'SEAP template'!B78+'SEAP template'!C78)</f>
        <v>9439.0424191200218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0.19530834247903847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1191.78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1191.78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0.19530834247903847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232.76457639966847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32955.9</v>
      </c>
      <c r="C5" s="17">
        <f>IF(ISERROR('Eigen informatie GS &amp; warmtenet'!B57),0,'Eigen informatie GS &amp; warmtenet'!B57)</f>
        <v>0</v>
      </c>
      <c r="D5" s="30">
        <f>(SUM(HH_hh_gas_kWh,HH_rest_gas_kWh)/1000)*0.902</f>
        <v>61533.034405779901</v>
      </c>
      <c r="E5" s="17">
        <f>B46*B57</f>
        <v>13566.319428913343</v>
      </c>
      <c r="F5" s="17">
        <f>B51*B62</f>
        <v>22755.045688427606</v>
      </c>
      <c r="G5" s="18"/>
      <c r="H5" s="17"/>
      <c r="I5" s="17"/>
      <c r="J5" s="17">
        <f>B50*B61+C50*C61</f>
        <v>0</v>
      </c>
      <c r="K5" s="17"/>
      <c r="L5" s="17"/>
      <c r="M5" s="17"/>
      <c r="N5" s="17">
        <f>B48*B59+C48*C59</f>
        <v>22453.247934252053</v>
      </c>
      <c r="O5" s="17">
        <f>B69*B70*B71</f>
        <v>242.31666666666666</v>
      </c>
      <c r="P5" s="17">
        <f>B77*B78*B79/1000-B77*B78*B79/1000/B80</f>
        <v>724.5333333333333</v>
      </c>
    </row>
    <row r="6" spans="1:16">
      <c r="A6" s="16" t="s">
        <v>624</v>
      </c>
      <c r="B6" s="788">
        <f>kWh_PV_kleiner_dan_10kW</f>
        <v>3696.9611959671174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36652.861195967118</v>
      </c>
      <c r="C8" s="21">
        <f>C5</f>
        <v>0</v>
      </c>
      <c r="D8" s="21">
        <f>D5</f>
        <v>61533.034405779901</v>
      </c>
      <c r="E8" s="21">
        <f>E5</f>
        <v>13566.319428913343</v>
      </c>
      <c r="F8" s="21">
        <f>F5</f>
        <v>22755.045688427606</v>
      </c>
      <c r="G8" s="21"/>
      <c r="H8" s="21"/>
      <c r="I8" s="21"/>
      <c r="J8" s="21">
        <f>J5</f>
        <v>0</v>
      </c>
      <c r="K8" s="21"/>
      <c r="L8" s="21">
        <f>L5</f>
        <v>0</v>
      </c>
      <c r="M8" s="21">
        <f>M5</f>
        <v>0</v>
      </c>
      <c r="N8" s="21">
        <f>N5</f>
        <v>22453.247934252053</v>
      </c>
      <c r="O8" s="21">
        <f>O5</f>
        <v>242.31666666666666</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0.19530834247903847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7158.6095672986057</v>
      </c>
      <c r="C12" s="23">
        <f ca="1">C10*C8</f>
        <v>0</v>
      </c>
      <c r="D12" s="23">
        <f>D8*D10</f>
        <v>12429.67294996754</v>
      </c>
      <c r="E12" s="23">
        <f>E10*E8</f>
        <v>3079.554510363329</v>
      </c>
      <c r="F12" s="23">
        <f>F10*F8</f>
        <v>6075.597198810171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1669</v>
      </c>
      <c r="C18" s="166" t="s">
        <v>111</v>
      </c>
      <c r="D18" s="228"/>
      <c r="E18" s="15"/>
    </row>
    <row r="19" spans="1:7">
      <c r="A19" s="171" t="s">
        <v>72</v>
      </c>
      <c r="B19" s="37">
        <f>aantalw2001_ander</f>
        <v>6</v>
      </c>
      <c r="C19" s="166" t="s">
        <v>111</v>
      </c>
      <c r="D19" s="229"/>
      <c r="E19" s="15"/>
    </row>
    <row r="20" spans="1:7">
      <c r="A20" s="171" t="s">
        <v>73</v>
      </c>
      <c r="B20" s="37">
        <f>aantalw2001_propaan</f>
        <v>290</v>
      </c>
      <c r="C20" s="167">
        <f>IF(ISERROR(B20/SUM($B$20,$B$21,$B$22)*100),0,B20/SUM($B$20,$B$21,$B$22)*100)</f>
        <v>24.390243902439025</v>
      </c>
      <c r="D20" s="229"/>
      <c r="E20" s="15"/>
    </row>
    <row r="21" spans="1:7">
      <c r="A21" s="171" t="s">
        <v>74</v>
      </c>
      <c r="B21" s="37">
        <f>aantalw2001_elektriciteit</f>
        <v>730</v>
      </c>
      <c r="C21" s="167">
        <f>IF(ISERROR(B21/SUM($B$20,$B$21,$B$22)*100),0,B21/SUM($B$20,$B$21,$B$22)*100)</f>
        <v>61.396131202691336</v>
      </c>
      <c r="D21" s="229"/>
      <c r="E21" s="15"/>
    </row>
    <row r="22" spans="1:7">
      <c r="A22" s="171" t="s">
        <v>75</v>
      </c>
      <c r="B22" s="37">
        <f>aantalw2001_hout</f>
        <v>169</v>
      </c>
      <c r="C22" s="167">
        <f>IF(ISERROR(B22/SUM($B$20,$B$21,$B$22)*100),0,B22/SUM($B$20,$B$21,$B$22)*100)</f>
        <v>14.213624894869639</v>
      </c>
      <c r="D22" s="229"/>
      <c r="E22" s="15"/>
    </row>
    <row r="23" spans="1:7">
      <c r="A23" s="171" t="s">
        <v>76</v>
      </c>
      <c r="B23" s="37">
        <f>aantalw2001_niet_gespec</f>
        <v>69</v>
      </c>
      <c r="C23" s="166" t="s">
        <v>111</v>
      </c>
      <c r="D23" s="228"/>
      <c r="E23" s="15"/>
    </row>
    <row r="24" spans="1:7">
      <c r="A24" s="171" t="s">
        <v>77</v>
      </c>
      <c r="B24" s="37">
        <f>aantalw2001_steenkool</f>
        <v>176</v>
      </c>
      <c r="C24" s="166" t="s">
        <v>111</v>
      </c>
      <c r="D24" s="229"/>
      <c r="E24" s="15"/>
    </row>
    <row r="25" spans="1:7">
      <c r="A25" s="171" t="s">
        <v>78</v>
      </c>
      <c r="B25" s="37">
        <f>aantalw2001_stookolie</f>
        <v>2931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7319</v>
      </c>
      <c r="C28" s="36"/>
      <c r="D28" s="228"/>
    </row>
    <row r="29" spans="1:7" s="15" customFormat="1">
      <c r="A29" s="230" t="s">
        <v>699</v>
      </c>
      <c r="B29" s="37">
        <f>SUM(HH_hh_gas_aantal,HH_rest_gas_aantal)</f>
        <v>3887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3887</v>
      </c>
      <c r="C32" s="167">
        <f>IF(ISERROR(B32/SUM($B$32,$B$34,$B$35,$B$36,$B$38,$B$39)*100),0,B32/SUM($B$32,$B$34,$B$35,$B$36,$B$38,$B$39)*100)</f>
        <v>53.385523966488115</v>
      </c>
      <c r="D32" s="233"/>
      <c r="G32" s="15"/>
    </row>
    <row r="33" spans="1:7">
      <c r="A33" s="171" t="s">
        <v>72</v>
      </c>
      <c r="B33" s="34" t="s">
        <v>111</v>
      </c>
      <c r="C33" s="167"/>
      <c r="D33" s="233"/>
      <c r="G33" s="15"/>
    </row>
    <row r="34" spans="1:7">
      <c r="A34" s="171" t="s">
        <v>73</v>
      </c>
      <c r="B34" s="33">
        <f>IF((($B$28-$B$32-$B$39-$B$77-$B$38)*C20/100)&lt;0,0,($B$28-$B$32-$B$39-$B$77-$B$38)*C20/100)</f>
        <v>599.80487804878044</v>
      </c>
      <c r="C34" s="167">
        <f>IF(ISERROR(B34/SUM($B$32,$B$34,$B$35,$B$36,$B$38,$B$39)*100),0,B34/SUM($B$32,$B$34,$B$35,$B$36,$B$38,$B$39)*100)</f>
        <v>8.2379464091303429</v>
      </c>
      <c r="D34" s="233"/>
      <c r="G34" s="15"/>
    </row>
    <row r="35" spans="1:7">
      <c r="A35" s="171" t="s">
        <v>74</v>
      </c>
      <c r="B35" s="33">
        <f>IF((($B$28-$B$32-$B$39-$B$77-$B$38)*C21/100)&lt;0,0,($B$28-$B$32-$B$39-$B$77-$B$38)*C21/100)</f>
        <v>1509.8536585365853</v>
      </c>
      <c r="C35" s="167">
        <f>IF(ISERROR(B35/SUM($B$32,$B$34,$B$35,$B$36,$B$38,$B$39)*100),0,B35/SUM($B$32,$B$34,$B$35,$B$36,$B$38,$B$39)*100)</f>
        <v>20.736899581603971</v>
      </c>
      <c r="D35" s="233"/>
      <c r="G35" s="15"/>
    </row>
    <row r="36" spans="1:7">
      <c r="A36" s="171" t="s">
        <v>75</v>
      </c>
      <c r="B36" s="33">
        <f>IF((($B$28-$B$32-$B$39-$B$77-$B$38)*C22/100)&lt;0,0,($B$28-$B$32-$B$39-$B$77-$B$38)*C22/100)</f>
        <v>349.54146341463411</v>
      </c>
      <c r="C36" s="167">
        <f>IF(ISERROR(B36/SUM($B$32,$B$34,$B$35,$B$36,$B$38,$B$39)*100),0,B36/SUM($B$32,$B$34,$B$35,$B$36,$B$38,$B$39)*100)</f>
        <v>4.8007342867000968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934.8</v>
      </c>
      <c r="C39" s="167">
        <f>IF(ISERROR(B39/SUM($B$32,$B$34,$B$35,$B$36,$B$38,$B$39)*100),0,B39/SUM($B$32,$B$34,$B$35,$B$36,$B$38,$B$39)*100)</f>
        <v>12.838895756077459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3887</v>
      </c>
      <c r="C44" s="34" t="s">
        <v>111</v>
      </c>
      <c r="D44" s="174"/>
    </row>
    <row r="45" spans="1:7">
      <c r="A45" s="171" t="s">
        <v>72</v>
      </c>
      <c r="B45" s="33" t="str">
        <f t="shared" si="0"/>
        <v>-</v>
      </c>
      <c r="C45" s="34" t="s">
        <v>111</v>
      </c>
      <c r="D45" s="174"/>
    </row>
    <row r="46" spans="1:7">
      <c r="A46" s="171" t="s">
        <v>73</v>
      </c>
      <c r="B46" s="33">
        <f t="shared" si="0"/>
        <v>599.80487804878044</v>
      </c>
      <c r="C46" s="34" t="s">
        <v>111</v>
      </c>
      <c r="D46" s="174"/>
    </row>
    <row r="47" spans="1:7">
      <c r="A47" s="171" t="s">
        <v>74</v>
      </c>
      <c r="B47" s="33">
        <f t="shared" si="0"/>
        <v>1509.8536585365853</v>
      </c>
      <c r="C47" s="34" t="s">
        <v>111</v>
      </c>
      <c r="D47" s="174"/>
    </row>
    <row r="48" spans="1:7">
      <c r="A48" s="171" t="s">
        <v>75</v>
      </c>
      <c r="B48" s="33">
        <f t="shared" si="0"/>
        <v>349.54146341463411</v>
      </c>
      <c r="C48" s="33">
        <f>B48*10</f>
        <v>3495.4146341463411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934.8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13003.136999999997</v>
      </c>
      <c r="C5" s="17">
        <f>IF(ISERROR('Eigen informatie GS &amp; warmtenet'!B58),0,'Eigen informatie GS &amp; warmtenet'!B58)</f>
        <v>0</v>
      </c>
      <c r="D5" s="30">
        <f>SUM(D6:D12)</f>
        <v>14427.442639696241</v>
      </c>
      <c r="E5" s="17">
        <f>SUM(E6:E12)</f>
        <v>241.2196170228209</v>
      </c>
      <c r="F5" s="17">
        <f>SUM(F6:F12)</f>
        <v>3363.9137081984886</v>
      </c>
      <c r="G5" s="18"/>
      <c r="H5" s="17"/>
      <c r="I5" s="17"/>
      <c r="J5" s="17">
        <f>SUM(J6:J12)</f>
        <v>0</v>
      </c>
      <c r="K5" s="17"/>
      <c r="L5" s="17"/>
      <c r="M5" s="17"/>
      <c r="N5" s="17">
        <f>SUM(N6:N12)</f>
        <v>1573.7893942438629</v>
      </c>
      <c r="O5" s="17">
        <f>B38*B39*B40</f>
        <v>7.8166666666666664</v>
      </c>
      <c r="P5" s="17">
        <f>B46*B47*B48/1000-B46*B47*B48/1000/B49</f>
        <v>0</v>
      </c>
      <c r="R5" s="32"/>
    </row>
    <row r="6" spans="1:18">
      <c r="A6" s="32" t="s">
        <v>54</v>
      </c>
      <c r="B6" s="37">
        <f>B26</f>
        <v>3593.3820000000001</v>
      </c>
      <c r="C6" s="33"/>
      <c r="D6" s="37">
        <f>IF(ISERROR(TER_kantoor_gas_kWh/1000),0,TER_kantoor_gas_kWh/1000)*0.902</f>
        <v>2171.8271498836002</v>
      </c>
      <c r="E6" s="33">
        <f>$C$26*'E Balans VL '!I12/100/3.6*1000000</f>
        <v>47.041796784777496</v>
      </c>
      <c r="F6" s="33">
        <f>$C$26*('E Balans VL '!L12+'E Balans VL '!N12)/100/3.6*1000000</f>
        <v>916.27527737749756</v>
      </c>
      <c r="G6" s="34"/>
      <c r="H6" s="33"/>
      <c r="I6" s="33"/>
      <c r="J6" s="33">
        <f>$C$26*('E Balans VL '!D12+'E Balans VL '!E12)/100/3.6*1000000</f>
        <v>0</v>
      </c>
      <c r="K6" s="33"/>
      <c r="L6" s="33"/>
      <c r="M6" s="33"/>
      <c r="N6" s="33">
        <f>$C$26*'E Balans VL '!Y12/100/3.6*1000000</f>
        <v>3.6054825214133648</v>
      </c>
      <c r="O6" s="33"/>
      <c r="P6" s="33"/>
      <c r="R6" s="32"/>
    </row>
    <row r="7" spans="1:18">
      <c r="A7" s="32" t="s">
        <v>53</v>
      </c>
      <c r="B7" s="37">
        <f t="shared" ref="B7:B12" si="0">B27</f>
        <v>1529.6769999999999</v>
      </c>
      <c r="C7" s="33"/>
      <c r="D7" s="37">
        <f>IF(ISERROR(TER_horeca_gas_kWh/1000),0,TER_horeca_gas_kWh/1000)*0.902</f>
        <v>1684.8373280552</v>
      </c>
      <c r="E7" s="33">
        <f>$C$27*'E Balans VL '!I9/100/3.6*1000000</f>
        <v>50.623003986944354</v>
      </c>
      <c r="F7" s="33">
        <f>$C$27*('E Balans VL '!L9+'E Balans VL '!N9)/100/3.6*1000000</f>
        <v>657.75524756762979</v>
      </c>
      <c r="G7" s="34"/>
      <c r="H7" s="33"/>
      <c r="I7" s="33"/>
      <c r="J7" s="33">
        <f>$C$27*('E Balans VL '!D9+'E Balans VL '!E9)/100/3.6*1000000</f>
        <v>0</v>
      </c>
      <c r="K7" s="33"/>
      <c r="L7" s="33"/>
      <c r="M7" s="33"/>
      <c r="N7" s="33">
        <f>$C$27*'E Balans VL '!Y9/100/3.6*1000000</f>
        <v>0.36821546724775234</v>
      </c>
      <c r="O7" s="33"/>
      <c r="P7" s="33"/>
      <c r="R7" s="32"/>
    </row>
    <row r="8" spans="1:18">
      <c r="A8" s="6" t="s">
        <v>52</v>
      </c>
      <c r="B8" s="37">
        <f t="shared" si="0"/>
        <v>4412.1329999999998</v>
      </c>
      <c r="C8" s="33"/>
      <c r="D8" s="37">
        <f>IF(ISERROR(TER_handel_gas_kWh/1000),0,TER_handel_gas_kWh/1000)*0.902</f>
        <v>1713.1318849018</v>
      </c>
      <c r="E8" s="33">
        <f>$C$28*'E Balans VL '!I13/100/3.6*1000000</f>
        <v>139.25365901855142</v>
      </c>
      <c r="F8" s="33">
        <f>$C$28*('E Balans VL '!L13+'E Balans VL '!N13)/100/3.6*1000000</f>
        <v>865.29697413853091</v>
      </c>
      <c r="G8" s="34"/>
      <c r="H8" s="33"/>
      <c r="I8" s="33"/>
      <c r="J8" s="33">
        <f>$C$28*('E Balans VL '!D13+'E Balans VL '!E13)/100/3.6*1000000</f>
        <v>0</v>
      </c>
      <c r="K8" s="33"/>
      <c r="L8" s="33"/>
      <c r="M8" s="33"/>
      <c r="N8" s="33">
        <f>$C$28*'E Balans VL '!Y13/100/3.6*1000000</f>
        <v>5.2363452658941334</v>
      </c>
      <c r="O8" s="33"/>
      <c r="P8" s="33"/>
      <c r="R8" s="32"/>
    </row>
    <row r="9" spans="1:18">
      <c r="A9" s="32" t="s">
        <v>51</v>
      </c>
      <c r="B9" s="37">
        <f t="shared" si="0"/>
        <v>795.31700000000001</v>
      </c>
      <c r="C9" s="33"/>
      <c r="D9" s="37">
        <f>IF(ISERROR(TER_gezond_gas_kWh/1000),0,TER_gezond_gas_kWh/1000)*0.902</f>
        <v>235.97965547464003</v>
      </c>
      <c r="E9" s="33">
        <f>$C$29*'E Balans VL '!I10/100/3.6*1000000</f>
        <v>0.10182384248259536</v>
      </c>
      <c r="F9" s="33">
        <f>$C$29*('E Balans VL '!L10+'E Balans VL '!N10)/100/3.6*1000000</f>
        <v>165.69786589038293</v>
      </c>
      <c r="G9" s="34"/>
      <c r="H9" s="33"/>
      <c r="I9" s="33"/>
      <c r="J9" s="33">
        <f>$C$29*('E Balans VL '!D10+'E Balans VL '!E10)/100/3.6*1000000</f>
        <v>0</v>
      </c>
      <c r="K9" s="33"/>
      <c r="L9" s="33"/>
      <c r="M9" s="33"/>
      <c r="N9" s="33">
        <f>$C$29*'E Balans VL '!Y10/100/3.6*1000000</f>
        <v>9.3413740812343367</v>
      </c>
      <c r="O9" s="33"/>
      <c r="P9" s="33"/>
      <c r="R9" s="32"/>
    </row>
    <row r="10" spans="1:18">
      <c r="A10" s="32" t="s">
        <v>50</v>
      </c>
      <c r="B10" s="37">
        <f t="shared" si="0"/>
        <v>1971.827</v>
      </c>
      <c r="C10" s="33"/>
      <c r="D10" s="37">
        <f>IF(ISERROR(TER_ander_gas_kWh/1000),0,TER_ander_gas_kWh/1000)*0.902</f>
        <v>1935.1895573163999</v>
      </c>
      <c r="E10" s="33">
        <f>$C$30*'E Balans VL '!I14/100/3.6*1000000</f>
        <v>2.965164102144267</v>
      </c>
      <c r="F10" s="33">
        <f>$C$30*('E Balans VL '!L14+'E Balans VL '!N14)/100/3.6*1000000</f>
        <v>435.31584055132583</v>
      </c>
      <c r="G10" s="34"/>
      <c r="H10" s="33"/>
      <c r="I10" s="33"/>
      <c r="J10" s="33">
        <f>$C$30*('E Balans VL '!D14+'E Balans VL '!E14)/100/3.6*1000000</f>
        <v>0</v>
      </c>
      <c r="K10" s="33"/>
      <c r="L10" s="33"/>
      <c r="M10" s="33"/>
      <c r="N10" s="33">
        <f>$C$30*'E Balans VL '!Y14/100/3.6*1000000</f>
        <v>1553.9323749538514</v>
      </c>
      <c r="O10" s="33"/>
      <c r="P10" s="33"/>
      <c r="R10" s="32"/>
    </row>
    <row r="11" spans="1:18">
      <c r="A11" s="32" t="s">
        <v>55</v>
      </c>
      <c r="B11" s="37">
        <f t="shared" si="0"/>
        <v>700.80100000000004</v>
      </c>
      <c r="C11" s="33"/>
      <c r="D11" s="37">
        <f>IF(ISERROR(TER_onderwijs_gas_kWh/1000),0,TER_onderwijs_gas_kWh/1000)*0.902</f>
        <v>1483.3762676634001</v>
      </c>
      <c r="E11" s="33">
        <f>$C$31*'E Balans VL '!I11/100/3.6*1000000</f>
        <v>1.2341692879208024</v>
      </c>
      <c r="F11" s="33">
        <f>$C$31*('E Balans VL '!L11+'E Balans VL '!N11)/100/3.6*1000000</f>
        <v>323.57250267312168</v>
      </c>
      <c r="G11" s="34"/>
      <c r="H11" s="33"/>
      <c r="I11" s="33"/>
      <c r="J11" s="33">
        <f>$C$31*('E Balans VL '!D11+'E Balans VL '!E11)/100/3.6*1000000</f>
        <v>0</v>
      </c>
      <c r="K11" s="33"/>
      <c r="L11" s="33"/>
      <c r="M11" s="33"/>
      <c r="N11" s="33">
        <f>$C$31*'E Balans VL '!Y11/100/3.6*1000000</f>
        <v>1.3056019542219495</v>
      </c>
      <c r="O11" s="33"/>
      <c r="P11" s="33"/>
      <c r="R11" s="32"/>
    </row>
    <row r="12" spans="1:18">
      <c r="A12" s="32" t="s">
        <v>260</v>
      </c>
      <c r="B12" s="37">
        <f t="shared" si="0"/>
        <v>0</v>
      </c>
      <c r="C12" s="33"/>
      <c r="D12" s="37">
        <f>IF(ISERROR(TER_rest_gas_kWh/1000),0,TER_rest_gas_kWh/1000)*0.902</f>
        <v>5203.1007964011997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13003.136999999997</v>
      </c>
      <c r="C16" s="21">
        <f t="shared" ca="1" si="1"/>
        <v>0</v>
      </c>
      <c r="D16" s="21">
        <f t="shared" ca="1" si="1"/>
        <v>14427.442639696241</v>
      </c>
      <c r="E16" s="21">
        <f t="shared" si="1"/>
        <v>241.2196170228209</v>
      </c>
      <c r="F16" s="21">
        <f t="shared" ca="1" si="1"/>
        <v>3363.9137081984886</v>
      </c>
      <c r="G16" s="21">
        <f t="shared" si="1"/>
        <v>0</v>
      </c>
      <c r="H16" s="21">
        <f t="shared" si="1"/>
        <v>0</v>
      </c>
      <c r="I16" s="21">
        <f t="shared" si="1"/>
        <v>0</v>
      </c>
      <c r="J16" s="21">
        <f t="shared" si="1"/>
        <v>0</v>
      </c>
      <c r="K16" s="21">
        <f t="shared" si="1"/>
        <v>0</v>
      </c>
      <c r="L16" s="21">
        <f t="shared" ca="1" si="1"/>
        <v>0</v>
      </c>
      <c r="M16" s="21">
        <f t="shared" si="1"/>
        <v>0</v>
      </c>
      <c r="N16" s="21">
        <f t="shared" ca="1" si="1"/>
        <v>1573.7893942438629</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0.19530834247903847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2539.6211344978565</v>
      </c>
      <c r="C20" s="23">
        <f t="shared" ref="C20:P20" ca="1" si="2">C16*C18</f>
        <v>0</v>
      </c>
      <c r="D20" s="23">
        <f t="shared" ca="1" si="2"/>
        <v>2914.3434132186408</v>
      </c>
      <c r="E20" s="23">
        <f t="shared" si="2"/>
        <v>54.756853064180348</v>
      </c>
      <c r="F20" s="23">
        <f t="shared" ca="1" si="2"/>
        <v>898.16496008899651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3593.3820000000001</v>
      </c>
      <c r="C26" s="39">
        <f>IF(ISERROR(B26*3.6/1000000/'E Balans VL '!Z12*100),0,B26*3.6/1000000/'E Balans VL '!Z12*100)</f>
        <v>7.6973034029772611E-2</v>
      </c>
      <c r="D26" s="237" t="s">
        <v>660</v>
      </c>
      <c r="F26" s="6"/>
    </row>
    <row r="27" spans="1:18">
      <c r="A27" s="231" t="s">
        <v>53</v>
      </c>
      <c r="B27" s="33">
        <f>IF(ISERROR(TER_horeca_ele_kWh/1000),0,TER_horeca_ele_kWh/1000)</f>
        <v>1529.6769999999999</v>
      </c>
      <c r="C27" s="39">
        <f>IF(ISERROR(B27*3.6/1000000/'E Balans VL '!Z9*100),0,B27*3.6/1000000/'E Balans VL '!Z9*100)</f>
        <v>0.12275126214702055</v>
      </c>
      <c r="D27" s="237" t="s">
        <v>660</v>
      </c>
      <c r="F27" s="6"/>
    </row>
    <row r="28" spans="1:18">
      <c r="A28" s="171" t="s">
        <v>52</v>
      </c>
      <c r="B28" s="33">
        <f>IF(ISERROR(TER_handel_ele_kWh/1000),0,TER_handel_ele_kWh/1000)</f>
        <v>4412.1329999999998</v>
      </c>
      <c r="C28" s="39">
        <f>IF(ISERROR(B28*3.6/1000000/'E Balans VL '!Z13*100),0,B28*3.6/1000000/'E Balans VL '!Z13*100)</f>
        <v>0.13013261651452565</v>
      </c>
      <c r="D28" s="237" t="s">
        <v>660</v>
      </c>
      <c r="F28" s="6"/>
    </row>
    <row r="29" spans="1:18">
      <c r="A29" s="231" t="s">
        <v>51</v>
      </c>
      <c r="B29" s="33">
        <f>IF(ISERROR(TER_gezond_ele_kWh/1000),0,TER_gezond_ele_kWh/1000)</f>
        <v>795.31700000000001</v>
      </c>
      <c r="C29" s="39">
        <f>IF(ISERROR(B29*3.6/1000000/'E Balans VL '!Z10*100),0,B29*3.6/1000000/'E Balans VL '!Z10*100)</f>
        <v>8.491853235161477E-2</v>
      </c>
      <c r="D29" s="237" t="s">
        <v>660</v>
      </c>
      <c r="F29" s="6"/>
    </row>
    <row r="30" spans="1:18">
      <c r="A30" s="231" t="s">
        <v>50</v>
      </c>
      <c r="B30" s="33">
        <f>IF(ISERROR(TER_ander_ele_kWh/1000),0,TER_ander_ele_kWh/1000)</f>
        <v>1971.827</v>
      </c>
      <c r="C30" s="39">
        <f>IF(ISERROR(B30*3.6/1000000/'E Balans VL '!Z14*100),0,B30*3.6/1000000/'E Balans VL '!Z14*100)</f>
        <v>0.14893983636230002</v>
      </c>
      <c r="D30" s="237" t="s">
        <v>660</v>
      </c>
      <c r="F30" s="6"/>
    </row>
    <row r="31" spans="1:18">
      <c r="A31" s="231" t="s">
        <v>55</v>
      </c>
      <c r="B31" s="33">
        <f>IF(ISERROR(TER_onderwijs_ele_kWh/1000),0,TER_onderwijs_ele_kWh/1000)</f>
        <v>700.80100000000004</v>
      </c>
      <c r="C31" s="39">
        <f>IF(ISERROR(B31*3.6/1000000/'E Balans VL '!Z11*100),0,B31*3.6/1000000/'E Balans VL '!Z11*100)</f>
        <v>0.14151511644470713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26628.196999999996</v>
      </c>
      <c r="C5" s="17">
        <f>IF(ISERROR('Eigen informatie GS &amp; warmtenet'!B59),0,'Eigen informatie GS &amp; warmtenet'!B59)</f>
        <v>0</v>
      </c>
      <c r="D5" s="30">
        <f>SUM(D6:D15)</f>
        <v>2844.5786227674421</v>
      </c>
      <c r="E5" s="17">
        <f>SUM(E6:E15)</f>
        <v>4881.6456419785891</v>
      </c>
      <c r="F5" s="17">
        <f>SUM(F6:F15)</f>
        <v>17712.276358649175</v>
      </c>
      <c r="G5" s="18"/>
      <c r="H5" s="17"/>
      <c r="I5" s="17"/>
      <c r="J5" s="17">
        <f>SUM(J6:J15)</f>
        <v>125.31462897922601</v>
      </c>
      <c r="K5" s="17"/>
      <c r="L5" s="17"/>
      <c r="M5" s="17"/>
      <c r="N5" s="17">
        <f>SUM(N6:N15)</f>
        <v>10794.638301886531</v>
      </c>
      <c r="O5" s="17">
        <f>B43*B44*B45</f>
        <v>0</v>
      </c>
      <c r="P5" s="17">
        <f>B51*B52*B53/1000-B51*B52*B53/1000/B54</f>
        <v>0</v>
      </c>
      <c r="R5" s="32"/>
    </row>
    <row r="6" spans="1:18">
      <c r="A6" s="6" t="s">
        <v>35</v>
      </c>
      <c r="B6" s="37">
        <f>IF( ISERROR(IND_ijzer_ele_kWh/1000),0,IND_ijzer_ele_kWh/1000)</f>
        <v>18.391999999999999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1999.181</v>
      </c>
      <c r="C8" s="33"/>
      <c r="D8" s="37">
        <f>IF( ISERROR(IND_metaal_Gas_kWH/1000),0,IND_metaal_Gas_kWH/1000)*0.902</f>
        <v>85.970586115062005</v>
      </c>
      <c r="E8" s="33">
        <f>C30*'E Balans VL '!I18/100/3.6*1000000</f>
        <v>71.936580312502286</v>
      </c>
      <c r="F8" s="33">
        <f>C30*'E Balans VL '!L18/100/3.6*1000000+C30*'E Balans VL '!N18/100/3.6*1000000</f>
        <v>872.97753622450023</v>
      </c>
      <c r="G8" s="34"/>
      <c r="H8" s="33"/>
      <c r="I8" s="33"/>
      <c r="J8" s="40">
        <f>C30*'E Balans VL '!D18/100/3.6*1000000+C30*'E Balans VL '!E18/100/3.6*1000000</f>
        <v>0</v>
      </c>
      <c r="K8" s="33"/>
      <c r="L8" s="33"/>
      <c r="M8" s="33"/>
      <c r="N8" s="33">
        <f>C30*'E Balans VL '!Y18/100/3.6*1000000</f>
        <v>100.19759313255508</v>
      </c>
      <c r="O8" s="33"/>
      <c r="P8" s="33"/>
      <c r="R8" s="32"/>
    </row>
    <row r="9" spans="1:18">
      <c r="A9" s="6" t="s">
        <v>33</v>
      </c>
      <c r="B9" s="37">
        <f t="shared" si="0"/>
        <v>18344.780999999999</v>
      </c>
      <c r="C9" s="33"/>
      <c r="D9" s="37">
        <f>IF( ISERROR(IND_andere_gas_kWh/1000),0,IND_andere_gas_kWh/1000)*0.902</f>
        <v>1045.1840917364</v>
      </c>
      <c r="E9" s="33">
        <f>C31*'E Balans VL '!I19/100/3.6*1000000</f>
        <v>4681.1730489044112</v>
      </c>
      <c r="F9" s="33">
        <f>C31*'E Balans VL '!L19/100/3.6*1000000+C31*'E Balans VL '!N19/100/3.6*1000000</f>
        <v>15793.47759365506</v>
      </c>
      <c r="G9" s="34"/>
      <c r="H9" s="33"/>
      <c r="I9" s="33"/>
      <c r="J9" s="40">
        <f>C31*'E Balans VL '!D19/100/3.6*1000000+C31*'E Balans VL '!E19/100/3.6*1000000</f>
        <v>0</v>
      </c>
      <c r="K9" s="33"/>
      <c r="L9" s="33"/>
      <c r="M9" s="33"/>
      <c r="N9" s="33">
        <f>C31*'E Balans VL '!Y19/100/3.6*1000000</f>
        <v>5737.0412618363034</v>
      </c>
      <c r="O9" s="33"/>
      <c r="P9" s="33"/>
      <c r="R9" s="32"/>
    </row>
    <row r="10" spans="1:18">
      <c r="A10" s="6" t="s">
        <v>41</v>
      </c>
      <c r="B10" s="37">
        <f t="shared" si="0"/>
        <v>4147.4620000000004</v>
      </c>
      <c r="C10" s="33"/>
      <c r="D10" s="37">
        <f>IF( ISERROR(IND_voed_gas_kWh/1000),0,IND_voed_gas_kWh/1000)*0.902</f>
        <v>488.50047265778005</v>
      </c>
      <c r="E10" s="33">
        <f>C32*'E Balans VL '!I20/100/3.6*1000000</f>
        <v>105.43417897201607</v>
      </c>
      <c r="F10" s="33">
        <f>C32*'E Balans VL '!L20/100/3.6*1000000+C32*'E Balans VL '!N20/100/3.6*1000000</f>
        <v>938.50839182618006</v>
      </c>
      <c r="G10" s="34"/>
      <c r="H10" s="33"/>
      <c r="I10" s="33"/>
      <c r="J10" s="40">
        <f>C32*'E Balans VL '!D20/100/3.6*1000000+C32*'E Balans VL '!E20/100/3.6*1000000</f>
        <v>0</v>
      </c>
      <c r="K10" s="33"/>
      <c r="L10" s="33"/>
      <c r="M10" s="33"/>
      <c r="N10" s="33">
        <f>C32*'E Balans VL '!Y20/100/3.6*1000000</f>
        <v>1555.4106713794542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1837.9580000000001</v>
      </c>
      <c r="C13" s="33"/>
      <c r="D13" s="37">
        <f>IF( ISERROR(IND_papier_gas_kWh/1000),0,IND_papier_gas_kWh/1000)*0.902</f>
        <v>0</v>
      </c>
      <c r="E13" s="33">
        <f>C35*'E Balans VL '!I23/100/3.6*1000000</f>
        <v>7.8824671673323436</v>
      </c>
      <c r="F13" s="33">
        <f>C35*'E Balans VL '!L23/100/3.6*1000000+C35*'E Balans VL '!N23/100/3.6*1000000</f>
        <v>46.193589198473205</v>
      </c>
      <c r="G13" s="34"/>
      <c r="H13" s="33"/>
      <c r="I13" s="33"/>
      <c r="J13" s="40">
        <f>C35*'E Balans VL '!D23/100/3.6*1000000+C35*'E Balans VL '!E23/100/3.6*1000000</f>
        <v>123.04120731505277</v>
      </c>
      <c r="K13" s="33"/>
      <c r="L13" s="33"/>
      <c r="M13" s="33"/>
      <c r="N13" s="33">
        <f>C35*'E Balans VL '!Y23/100/3.6*1000000</f>
        <v>3345.5206430881553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280.423</v>
      </c>
      <c r="C15" s="33"/>
      <c r="D15" s="37">
        <f>IF( ISERROR(IND_rest_gas_kWh/1000),0,IND_rest_gas_kWh/1000)*0.902</f>
        <v>1224.9234722582</v>
      </c>
      <c r="E15" s="33">
        <f>C37*'E Balans VL '!I15/100/3.6*1000000</f>
        <v>15.219366622327161</v>
      </c>
      <c r="F15" s="33">
        <f>C37*'E Balans VL '!L15/100/3.6*1000000+C37*'E Balans VL '!N15/100/3.6*1000000</f>
        <v>61.119247744960767</v>
      </c>
      <c r="G15" s="34"/>
      <c r="H15" s="33"/>
      <c r="I15" s="33"/>
      <c r="J15" s="40">
        <f>C37*'E Balans VL '!D15/100/3.6*1000000+C37*'E Balans VL '!E15/100/3.6*1000000</f>
        <v>2.2734216641732479</v>
      </c>
      <c r="K15" s="33"/>
      <c r="L15" s="33"/>
      <c r="M15" s="33"/>
      <c r="N15" s="33">
        <f>C37*'E Balans VL '!Y15/100/3.6*1000000</f>
        <v>56.468132450063507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26628.196999999996</v>
      </c>
      <c r="C18" s="21">
        <f>C5+C16</f>
        <v>0</v>
      </c>
      <c r="D18" s="21">
        <f>MAX((D5+D16),0)</f>
        <v>2844.5786227674421</v>
      </c>
      <c r="E18" s="21">
        <f>MAX((E5+E16),0)</f>
        <v>4881.6456419785891</v>
      </c>
      <c r="F18" s="21">
        <f>MAX((F5+F16),0)</f>
        <v>17712.276358649175</v>
      </c>
      <c r="G18" s="21"/>
      <c r="H18" s="21"/>
      <c r="I18" s="21"/>
      <c r="J18" s="21">
        <f>MAX((J5+J16),0)</f>
        <v>125.31462897922601</v>
      </c>
      <c r="K18" s="21"/>
      <c r="L18" s="21">
        <f>MAX((L5+L16),0)</f>
        <v>0</v>
      </c>
      <c r="M18" s="21"/>
      <c r="N18" s="21">
        <f>MAX((N5+N16),0)</f>
        <v>10794.638301886531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0.19530834247903847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5200.7090192753039</v>
      </c>
      <c r="C22" s="23">
        <f ca="1">C18*C20</f>
        <v>0</v>
      </c>
      <c r="D22" s="23">
        <f>D18*D20</f>
        <v>574.60488179902336</v>
      </c>
      <c r="E22" s="23">
        <f>E18*E20</f>
        <v>1108.1335607291398</v>
      </c>
      <c r="F22" s="23">
        <f>F18*F20</f>
        <v>4729.1777877593295</v>
      </c>
      <c r="G22" s="23"/>
      <c r="H22" s="23"/>
      <c r="I22" s="23"/>
      <c r="J22" s="23">
        <f>J18*J20</f>
        <v>44.361378658646004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1999.181</v>
      </c>
      <c r="C30" s="39">
        <f>IF(ISERROR(B30*3.6/1000000/'E Balans VL '!Z18*100),0,B30*3.6/1000000/'E Balans VL '!Z18*100)</f>
        <v>0.42358359258899309</v>
      </c>
      <c r="D30" s="237" t="s">
        <v>660</v>
      </c>
    </row>
    <row r="31" spans="1:18">
      <c r="A31" s="6" t="s">
        <v>33</v>
      </c>
      <c r="B31" s="37">
        <f>IF( ISERROR(IND_ander_ele_kWh/1000),0,IND_ander_ele_kWh/1000)</f>
        <v>18344.780999999999</v>
      </c>
      <c r="C31" s="39">
        <f>IF(ISERROR(B31*3.6/1000000/'E Balans VL '!Z19*100),0,B31*3.6/1000000/'E Balans VL '!Z19*100)</f>
        <v>0.77217348714464784</v>
      </c>
      <c r="D31" s="237" t="s">
        <v>660</v>
      </c>
    </row>
    <row r="32" spans="1:18">
      <c r="A32" s="171" t="s">
        <v>41</v>
      </c>
      <c r="B32" s="37">
        <f>IF( ISERROR(IND_voed_ele_kWh/1000),0,IND_voed_ele_kWh/1000)</f>
        <v>4147.4620000000004</v>
      </c>
      <c r="C32" s="39">
        <f>IF(ISERROR(B32*3.6/1000000/'E Balans VL '!Z20*100),0,B32*3.6/1000000/'E Balans VL '!Z20*100)</f>
        <v>0.69288045240516372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1837.9580000000001</v>
      </c>
      <c r="C35" s="39">
        <f>IF(ISERROR(B35*3.6/1000000/'E Balans VL '!Z22*100),0,B35*3.6/1000000/'E Balans VL '!Z22*100)</f>
        <v>0.23297108857821908</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280.423</v>
      </c>
      <c r="C37" s="39">
        <f>IF(ISERROR(B37*3.6/1000000/'E Balans VL '!Z15*100),0,B37*3.6/1000000/'E Balans VL '!Z15*100)</f>
        <v>2.2639634637624468E-3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2892.7849999999999</v>
      </c>
      <c r="C5" s="17">
        <f>'Eigen informatie GS &amp; warmtenet'!B60</f>
        <v>0</v>
      </c>
      <c r="D5" s="30">
        <f>IF(ISERROR(SUM(LB_lb_gas_kWh,LB_rest_gas_kWh)/1000),0,SUM(LB_lb_gas_kWh,LB_rest_gas_kWh)/1000)*0.902</f>
        <v>256.03149788655998</v>
      </c>
      <c r="E5" s="17">
        <f>B17*'E Balans VL '!I25/3.6*1000000/100</f>
        <v>74.593818139734282</v>
      </c>
      <c r="F5" s="17">
        <f>B17*('E Balans VL '!L25/3.6*1000000+'E Balans VL '!N25/3.6*1000000)/100</f>
        <v>10573.680079141901</v>
      </c>
      <c r="G5" s="18"/>
      <c r="H5" s="17"/>
      <c r="I5" s="17"/>
      <c r="J5" s="17">
        <f>('E Balans VL '!D25+'E Balans VL '!E25)/3.6*1000000*landbouw!B17/100</f>
        <v>416.45462411021589</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2892.7849999999999</v>
      </c>
      <c r="C8" s="21">
        <f>C5+C6</f>
        <v>62.357142857142847</v>
      </c>
      <c r="D8" s="21">
        <f>MAX((D5+D6),0)</f>
        <v>256.03149788655998</v>
      </c>
      <c r="E8" s="21">
        <f>MAX((E5+E6),0)</f>
        <v>74.593818139734282</v>
      </c>
      <c r="F8" s="21">
        <f>MAX((F5+F6),0)</f>
        <v>10573.680079141901</v>
      </c>
      <c r="G8" s="21"/>
      <c r="H8" s="21"/>
      <c r="I8" s="21"/>
      <c r="J8" s="21">
        <f>MAX((J5+J6),0)</f>
        <v>416.45462411021589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0.19530834247903847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564.98504349822531</v>
      </c>
      <c r="C12" s="23">
        <f ca="1">C8*C10</f>
        <v>0</v>
      </c>
      <c r="D12" s="23">
        <f>D8*D10</f>
        <v>51.718362573085116</v>
      </c>
      <c r="E12" s="23">
        <f>E8*E10</f>
        <v>16.932796717719683</v>
      </c>
      <c r="F12" s="23">
        <f>F8*F10</f>
        <v>2823.1725811308879</v>
      </c>
      <c r="G12" s="23"/>
      <c r="H12" s="23"/>
      <c r="I12" s="23"/>
      <c r="J12" s="23">
        <f>J8*J10</f>
        <v>147.4249369350164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0.40790184637818683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877.79176437753972</v>
      </c>
      <c r="C26" s="247">
        <f>B26*'GWP N2O_CH4'!B5</f>
        <v>18433.627051928335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300.3215907885097</v>
      </c>
      <c r="C27" s="247">
        <f>B27*'GWP N2O_CH4'!B5</f>
        <v>6306.7534065587033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10.410811977556415</v>
      </c>
      <c r="C28" s="247">
        <f>B28*'GWP N2O_CH4'!B4</f>
        <v>3227.3517130424889</v>
      </c>
      <c r="D28" s="50"/>
    </row>
    <row r="29" spans="1:4">
      <c r="A29" s="41" t="s">
        <v>277</v>
      </c>
      <c r="B29" s="247">
        <f>B34*'ha_N2O bodem landbouw'!B4</f>
        <v>17.510235253863449</v>
      </c>
      <c r="C29" s="247">
        <f>B29*'GWP N2O_CH4'!B4</f>
        <v>5428.1729286976688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3.9407544659825159E-3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5.6706094093741895E-5</v>
      </c>
      <c r="C5" s="463" t="s">
        <v>211</v>
      </c>
      <c r="D5" s="448">
        <f>SUM(D6:D11)</f>
        <v>1.5611714704144493E-4</v>
      </c>
      <c r="E5" s="448">
        <f>SUM(E6:E11)</f>
        <v>5.8484792905835357E-4</v>
      </c>
      <c r="F5" s="461" t="s">
        <v>211</v>
      </c>
      <c r="G5" s="448">
        <f>SUM(G6:G11)</f>
        <v>0.16134083076425143</v>
      </c>
      <c r="H5" s="448">
        <f>SUM(H6:H11)</f>
        <v>4.1454440293100692E-2</v>
      </c>
      <c r="I5" s="463" t="s">
        <v>211</v>
      </c>
      <c r="J5" s="463" t="s">
        <v>211</v>
      </c>
      <c r="K5" s="463" t="s">
        <v>211</v>
      </c>
      <c r="L5" s="463" t="s">
        <v>211</v>
      </c>
      <c r="M5" s="448">
        <f>SUM(M6:M11)</f>
        <v>6.3253918524290836E-3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2.8336657030724377E-5</v>
      </c>
      <c r="C6" s="449"/>
      <c r="D6" s="892">
        <f>vkm_2011_GW_PW*SUMIFS(TableVerdeelsleutelVkm[CNG],TableVerdeelsleutelVkm[Voertuigtype],"Lichte voertuigen")*SUMIFS(TableECFTransport[EnergieConsumptieFactor (PJ per km)],TableECFTransport[Index],CONCATENATE($A6,"_CNG_CNG"))</f>
        <v>5.630543388007874E-5</v>
      </c>
      <c r="E6" s="892">
        <f>vkm_2011_GW_PW*SUMIFS(TableVerdeelsleutelVkm[LPG],TableVerdeelsleutelVkm[Voertuigtype],"Lichte voertuigen")*SUMIFS(TableECFTransport[EnergieConsumptieFactor (PJ per km)],TableECFTransport[Index],CONCATENATE($A6,"_LPG_LPG"))</f>
        <v>2.2158206630307418E-4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5.268461244283678E-2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1.5243574862866783E-2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2.1167050422510026E-3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1.5661423330072706E-2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5.0593086899407797E-6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4.9346748596159652E-4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2.8369437063017521E-5</v>
      </c>
      <c r="C8" s="449"/>
      <c r="D8" s="451">
        <f>vkm_2011_NGW_PW*SUMIFS(TableVerdeelsleutelVkm[CNG],TableVerdeelsleutelVkm[Voertuigtype],"Lichte voertuigen")*SUMIFS(TableECFTransport[EnergieConsumptieFactor (PJ per km)],TableECFTransport[Index],CONCATENATE($A8,"_CNG_CNG"))</f>
        <v>9.9811713161366194E-5</v>
      </c>
      <c r="E8" s="451">
        <f>vkm_2011_NGW_PW*SUMIFS(TableVerdeelsleutelVkm[LPG],TableVerdeelsleutelVkm[Voertuigtype],"Lichte voertuigen")*SUMIFS(TableECFTransport[EnergieConsumptieFactor (PJ per km)],TableECFTransport[Index],CONCATENATE($A8,"_LPG_LPG"))</f>
        <v>3.6326586275527942E-4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8.065523330686182E-2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2.6202036280820913E-2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3.3264251054838079E-3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1.2339561684480128E-2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3.7698407230522E-6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3.8879421873267626E-4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15.751692803817193</v>
      </c>
      <c r="C14" s="21"/>
      <c r="D14" s="21">
        <f t="shared" ref="D14:M14" si="0">((D5)*10^9/3600)+D12</f>
        <v>43.365874178179148</v>
      </c>
      <c r="E14" s="21">
        <f t="shared" si="0"/>
        <v>162.45775807176486</v>
      </c>
      <c r="F14" s="21"/>
      <c r="G14" s="21">
        <f t="shared" si="0"/>
        <v>44816.897434514292</v>
      </c>
      <c r="H14" s="21">
        <f t="shared" si="0"/>
        <v>11515.122303639082</v>
      </c>
      <c r="I14" s="21"/>
      <c r="J14" s="21"/>
      <c r="K14" s="21"/>
      <c r="L14" s="21"/>
      <c r="M14" s="21">
        <f t="shared" si="0"/>
        <v>1757.0532923414121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0.19530834247903847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3.076437012752534</v>
      </c>
      <c r="C18" s="23"/>
      <c r="D18" s="23">
        <f t="shared" ref="D18:M18" si="1">D14*D16</f>
        <v>8.7599065839921888</v>
      </c>
      <c r="E18" s="23">
        <f t="shared" si="1"/>
        <v>36.877911082290623</v>
      </c>
      <c r="F18" s="23"/>
      <c r="G18" s="23">
        <f t="shared" si="1"/>
        <v>11966.111615015318</v>
      </c>
      <c r="H18" s="23">
        <f t="shared" si="1"/>
        <v>2867.2654536061314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2.06667479280471E-3</v>
      </c>
      <c r="H50" s="321">
        <f t="shared" si="2"/>
        <v>0</v>
      </c>
      <c r="I50" s="321">
        <f t="shared" si="2"/>
        <v>0</v>
      </c>
      <c r="J50" s="321">
        <f t="shared" si="2"/>
        <v>0</v>
      </c>
      <c r="K50" s="321">
        <f t="shared" si="2"/>
        <v>0</v>
      </c>
      <c r="L50" s="321">
        <f t="shared" si="2"/>
        <v>0</v>
      </c>
      <c r="M50" s="321">
        <f t="shared" si="2"/>
        <v>6.4103628544973643E-5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2.06667479280471E-3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6.4103628544973643E-5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574.07633133464174</v>
      </c>
      <c r="H54" s="21">
        <f t="shared" si="3"/>
        <v>0</v>
      </c>
      <c r="I54" s="21">
        <f t="shared" si="3"/>
        <v>0</v>
      </c>
      <c r="J54" s="21">
        <f t="shared" si="3"/>
        <v>0</v>
      </c>
      <c r="K54" s="21">
        <f t="shared" si="3"/>
        <v>0</v>
      </c>
      <c r="L54" s="21">
        <f t="shared" si="3"/>
        <v>0</v>
      </c>
      <c r="M54" s="21">
        <f t="shared" si="3"/>
        <v>17.8065634847149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0.19530834247903847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153.27838046634935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14194.916999999998</v>
      </c>
      <c r="D10" s="1012">
        <f ca="1">tertiair!C16</f>
        <v>0</v>
      </c>
      <c r="E10" s="1012">
        <f ca="1">tertiair!D16</f>
        <v>14427.442639696241</v>
      </c>
      <c r="F10" s="1012">
        <f>tertiair!E16</f>
        <v>241.2196170228209</v>
      </c>
      <c r="G10" s="1012">
        <f ca="1">tertiair!F16</f>
        <v>3363.9137081984886</v>
      </c>
      <c r="H10" s="1012">
        <f>tertiair!G16</f>
        <v>0</v>
      </c>
      <c r="I10" s="1012">
        <f>tertiair!H16</f>
        <v>0</v>
      </c>
      <c r="J10" s="1012">
        <f>tertiair!I16</f>
        <v>0</v>
      </c>
      <c r="K10" s="1012">
        <f>tertiair!J16</f>
        <v>0</v>
      </c>
      <c r="L10" s="1012">
        <f>tertiair!K16</f>
        <v>0</v>
      </c>
      <c r="M10" s="1012">
        <f ca="1">tertiair!L16</f>
        <v>0</v>
      </c>
      <c r="N10" s="1012">
        <f>tertiair!M16</f>
        <v>0</v>
      </c>
      <c r="O10" s="1012">
        <f ca="1">tertiair!N16</f>
        <v>1573.7893942438629</v>
      </c>
      <c r="P10" s="1012">
        <f>tertiair!O16</f>
        <v>7.8166666666666664</v>
      </c>
      <c r="Q10" s="1013">
        <f>tertiair!P16</f>
        <v>0</v>
      </c>
      <c r="R10" s="700">
        <f ca="1">SUM(C10:Q10)</f>
        <v>33809.099025828073</v>
      </c>
      <c r="S10" s="67"/>
    </row>
    <row r="11" spans="1:19" s="473" customFormat="1">
      <c r="A11" s="809" t="s">
        <v>225</v>
      </c>
      <c r="B11" s="814"/>
      <c r="C11" s="1012">
        <f>huishoudens!B8</f>
        <v>36652.861195967118</v>
      </c>
      <c r="D11" s="1012">
        <f>huishoudens!C8</f>
        <v>0</v>
      </c>
      <c r="E11" s="1012">
        <f>huishoudens!D8</f>
        <v>61533.034405779901</v>
      </c>
      <c r="F11" s="1012">
        <f>huishoudens!E8</f>
        <v>13566.319428913343</v>
      </c>
      <c r="G11" s="1012">
        <f>huishoudens!F8</f>
        <v>22755.045688427606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22453.247934252053</v>
      </c>
      <c r="P11" s="1012">
        <f>huishoudens!O8</f>
        <v>242.31666666666666</v>
      </c>
      <c r="Q11" s="1013">
        <f>huishoudens!P8</f>
        <v>724.5333333333333</v>
      </c>
      <c r="R11" s="700">
        <f>SUM(C11:Q11)</f>
        <v>157927.35865334002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26628.196999999996</v>
      </c>
      <c r="D13" s="1012">
        <f>industrie!C18</f>
        <v>0</v>
      </c>
      <c r="E13" s="1012">
        <f>industrie!D18</f>
        <v>2844.5786227674421</v>
      </c>
      <c r="F13" s="1012">
        <f>industrie!E18</f>
        <v>4881.6456419785891</v>
      </c>
      <c r="G13" s="1012">
        <f>industrie!F18</f>
        <v>17712.276358649175</v>
      </c>
      <c r="H13" s="1012">
        <f>industrie!G18</f>
        <v>0</v>
      </c>
      <c r="I13" s="1012">
        <f>industrie!H18</f>
        <v>0</v>
      </c>
      <c r="J13" s="1012">
        <f>industrie!I18</f>
        <v>0</v>
      </c>
      <c r="K13" s="1012">
        <f>industrie!J18</f>
        <v>125.31462897922601</v>
      </c>
      <c r="L13" s="1012">
        <f>industrie!K18</f>
        <v>0</v>
      </c>
      <c r="M13" s="1012">
        <f>industrie!L18</f>
        <v>0</v>
      </c>
      <c r="N13" s="1012">
        <f>industrie!M18</f>
        <v>0</v>
      </c>
      <c r="O13" s="1012">
        <f>industrie!N18</f>
        <v>10794.638301886531</v>
      </c>
      <c r="P13" s="1012">
        <f>industrie!O18</f>
        <v>0</v>
      </c>
      <c r="Q13" s="1013">
        <f>industrie!P18</f>
        <v>0</v>
      </c>
      <c r="R13" s="700">
        <f>SUM(C13:Q13)</f>
        <v>62986.650554260959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77475.975195967112</v>
      </c>
      <c r="D16" s="732">
        <f t="shared" ref="D16:R16" ca="1" si="0">SUM(D9:D15)</f>
        <v>0</v>
      </c>
      <c r="E16" s="732">
        <f t="shared" ca="1" si="0"/>
        <v>78805.055668243585</v>
      </c>
      <c r="F16" s="732">
        <f t="shared" si="0"/>
        <v>18689.184687914752</v>
      </c>
      <c r="G16" s="732">
        <f t="shared" ca="1" si="0"/>
        <v>43831.235755275266</v>
      </c>
      <c r="H16" s="732">
        <f t="shared" si="0"/>
        <v>0</v>
      </c>
      <c r="I16" s="732">
        <f t="shared" si="0"/>
        <v>0</v>
      </c>
      <c r="J16" s="732">
        <f t="shared" si="0"/>
        <v>0</v>
      </c>
      <c r="K16" s="732">
        <f t="shared" si="0"/>
        <v>125.31462897922601</v>
      </c>
      <c r="L16" s="732">
        <f t="shared" si="0"/>
        <v>0</v>
      </c>
      <c r="M16" s="732">
        <f t="shared" ca="1" si="0"/>
        <v>0</v>
      </c>
      <c r="N16" s="732">
        <f t="shared" si="0"/>
        <v>0</v>
      </c>
      <c r="O16" s="732">
        <f t="shared" ca="1" si="0"/>
        <v>34821.675630382451</v>
      </c>
      <c r="P16" s="732">
        <f t="shared" si="0"/>
        <v>250.13333333333333</v>
      </c>
      <c r="Q16" s="732">
        <f t="shared" si="0"/>
        <v>724.5333333333333</v>
      </c>
      <c r="R16" s="732">
        <f t="shared" ca="1" si="0"/>
        <v>254723.10823342905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574.07633133464174</v>
      </c>
      <c r="I19" s="1012">
        <f>transport!H54</f>
        <v>0</v>
      </c>
      <c r="J19" s="1012">
        <f>transport!I54</f>
        <v>0</v>
      </c>
      <c r="K19" s="1012">
        <f>transport!J54</f>
        <v>0</v>
      </c>
      <c r="L19" s="1012">
        <f>transport!K54</f>
        <v>0</v>
      </c>
      <c r="M19" s="1012">
        <f>transport!L54</f>
        <v>0</v>
      </c>
      <c r="N19" s="1012">
        <f>transport!M54</f>
        <v>17.8065634847149</v>
      </c>
      <c r="O19" s="1012">
        <f>transport!N54</f>
        <v>0</v>
      </c>
      <c r="P19" s="1012">
        <f>transport!O54</f>
        <v>0</v>
      </c>
      <c r="Q19" s="1013">
        <f>transport!P54</f>
        <v>0</v>
      </c>
      <c r="R19" s="700">
        <f>SUM(C19:Q19)</f>
        <v>591.88289481935658</v>
      </c>
      <c r="S19" s="67"/>
    </row>
    <row r="20" spans="1:19" s="473" customFormat="1">
      <c r="A20" s="809" t="s">
        <v>307</v>
      </c>
      <c r="B20" s="814"/>
      <c r="C20" s="1012">
        <f>transport!B14</f>
        <v>15.751692803817193</v>
      </c>
      <c r="D20" s="1012">
        <f>transport!C14</f>
        <v>0</v>
      </c>
      <c r="E20" s="1012">
        <f>transport!D14</f>
        <v>43.365874178179148</v>
      </c>
      <c r="F20" s="1012">
        <f>transport!E14</f>
        <v>162.45775807176486</v>
      </c>
      <c r="G20" s="1012">
        <f>transport!F14</f>
        <v>0</v>
      </c>
      <c r="H20" s="1012">
        <f>transport!G14</f>
        <v>44816.897434514292</v>
      </c>
      <c r="I20" s="1012">
        <f>transport!H14</f>
        <v>11515.122303639082</v>
      </c>
      <c r="J20" s="1012">
        <f>transport!I14</f>
        <v>0</v>
      </c>
      <c r="K20" s="1012">
        <f>transport!J14</f>
        <v>0</v>
      </c>
      <c r="L20" s="1012">
        <f>transport!K14</f>
        <v>0</v>
      </c>
      <c r="M20" s="1012">
        <f>transport!L14</f>
        <v>0</v>
      </c>
      <c r="N20" s="1012">
        <f>transport!M14</f>
        <v>1757.0532923414121</v>
      </c>
      <c r="O20" s="1012">
        <f>transport!N14</f>
        <v>0</v>
      </c>
      <c r="P20" s="1012">
        <f>transport!O14</f>
        <v>0</v>
      </c>
      <c r="Q20" s="1013">
        <f>transport!P14</f>
        <v>0</v>
      </c>
      <c r="R20" s="700">
        <f>SUM(C20:Q20)</f>
        <v>58310.648355548547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15.751692803817193</v>
      </c>
      <c r="D22" s="812">
        <f t="shared" ref="D22:R22" si="1">SUM(D18:D21)</f>
        <v>0</v>
      </c>
      <c r="E22" s="812">
        <f t="shared" si="1"/>
        <v>43.365874178179148</v>
      </c>
      <c r="F22" s="812">
        <f t="shared" si="1"/>
        <v>162.45775807176486</v>
      </c>
      <c r="G22" s="812">
        <f t="shared" si="1"/>
        <v>0</v>
      </c>
      <c r="H22" s="812">
        <f t="shared" si="1"/>
        <v>45390.973765848932</v>
      </c>
      <c r="I22" s="812">
        <f t="shared" si="1"/>
        <v>11515.122303639082</v>
      </c>
      <c r="J22" s="812">
        <f t="shared" si="1"/>
        <v>0</v>
      </c>
      <c r="K22" s="812">
        <f t="shared" si="1"/>
        <v>0</v>
      </c>
      <c r="L22" s="812">
        <f t="shared" si="1"/>
        <v>0</v>
      </c>
      <c r="M22" s="812">
        <f t="shared" si="1"/>
        <v>0</v>
      </c>
      <c r="N22" s="812">
        <f t="shared" si="1"/>
        <v>1774.8598558261269</v>
      </c>
      <c r="O22" s="812">
        <f t="shared" si="1"/>
        <v>0</v>
      </c>
      <c r="P22" s="812">
        <f t="shared" si="1"/>
        <v>0</v>
      </c>
      <c r="Q22" s="812">
        <f t="shared" si="1"/>
        <v>0</v>
      </c>
      <c r="R22" s="812">
        <f t="shared" si="1"/>
        <v>58902.531250367902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2892.7849999999999</v>
      </c>
      <c r="D24" s="1012">
        <f>+landbouw!C8</f>
        <v>62.357142857142847</v>
      </c>
      <c r="E24" s="1012">
        <f>+landbouw!D8</f>
        <v>256.03149788655998</v>
      </c>
      <c r="F24" s="1012">
        <f>+landbouw!E8</f>
        <v>74.593818139734282</v>
      </c>
      <c r="G24" s="1012">
        <f>+landbouw!F8</f>
        <v>10573.680079141901</v>
      </c>
      <c r="H24" s="1012">
        <f>+landbouw!G8</f>
        <v>0</v>
      </c>
      <c r="I24" s="1012">
        <f>+landbouw!H8</f>
        <v>0</v>
      </c>
      <c r="J24" s="1012">
        <f>+landbouw!I8</f>
        <v>0</v>
      </c>
      <c r="K24" s="1012">
        <f>+landbouw!J8</f>
        <v>416.45462411021589</v>
      </c>
      <c r="L24" s="1012">
        <f>+landbouw!K8</f>
        <v>0</v>
      </c>
      <c r="M24" s="1012">
        <f>+landbouw!L8</f>
        <v>0</v>
      </c>
      <c r="N24" s="1012">
        <f>+landbouw!M8</f>
        <v>0</v>
      </c>
      <c r="O24" s="1012">
        <f>+landbouw!N8</f>
        <v>0</v>
      </c>
      <c r="P24" s="1012">
        <f>+landbouw!O8</f>
        <v>0</v>
      </c>
      <c r="Q24" s="1013">
        <f>+landbouw!P8</f>
        <v>0</v>
      </c>
      <c r="R24" s="700">
        <f>SUM(C24:Q24)</f>
        <v>14275.902162135553</v>
      </c>
      <c r="S24" s="67"/>
    </row>
    <row r="25" spans="1:19" s="473" customFormat="1" ht="15" thickBot="1">
      <c r="A25" s="831" t="s">
        <v>848</v>
      </c>
      <c r="B25" s="1015"/>
      <c r="C25" s="1016">
        <f>IF(Onbekend_ele_kWh="---",0,Onbekend_ele_kWh)/1000+IF(REST_rest_ele_kWh="---",0,REST_rest_ele_kWh)/1000</f>
        <v>810.26400000000001</v>
      </c>
      <c r="D25" s="1016"/>
      <c r="E25" s="1016">
        <f>IF(onbekend_gas_kWh="---",0,onbekend_gas_kWh)/1000+IF(REST_rest_gas_kWh="---",0,REST_rest_gas_kWh)/1000</f>
        <v>1165.7472172999999</v>
      </c>
      <c r="F25" s="1016"/>
      <c r="G25" s="1016"/>
      <c r="H25" s="1016"/>
      <c r="I25" s="1016"/>
      <c r="J25" s="1016"/>
      <c r="K25" s="1016"/>
      <c r="L25" s="1016"/>
      <c r="M25" s="1016"/>
      <c r="N25" s="1016"/>
      <c r="O25" s="1016"/>
      <c r="P25" s="1016"/>
      <c r="Q25" s="1017"/>
      <c r="R25" s="700">
        <f>SUM(C25:Q25)</f>
        <v>1976.0112172999998</v>
      </c>
      <c r="S25" s="67"/>
    </row>
    <row r="26" spans="1:19" s="473" customFormat="1" ht="15.75" thickBot="1">
      <c r="A26" s="705" t="s">
        <v>849</v>
      </c>
      <c r="B26" s="817"/>
      <c r="C26" s="812">
        <f>SUM(C24:C25)</f>
        <v>3703.049</v>
      </c>
      <c r="D26" s="812">
        <f t="shared" ref="D26:R26" si="2">SUM(D24:D25)</f>
        <v>62.357142857142847</v>
      </c>
      <c r="E26" s="812">
        <f t="shared" si="2"/>
        <v>1421.7787151865598</v>
      </c>
      <c r="F26" s="812">
        <f t="shared" si="2"/>
        <v>74.593818139734282</v>
      </c>
      <c r="G26" s="812">
        <f t="shared" si="2"/>
        <v>10573.680079141901</v>
      </c>
      <c r="H26" s="812">
        <f t="shared" si="2"/>
        <v>0</v>
      </c>
      <c r="I26" s="812">
        <f t="shared" si="2"/>
        <v>0</v>
      </c>
      <c r="J26" s="812">
        <f t="shared" si="2"/>
        <v>0</v>
      </c>
      <c r="K26" s="812">
        <f t="shared" si="2"/>
        <v>416.45462411021589</v>
      </c>
      <c r="L26" s="812">
        <f t="shared" si="2"/>
        <v>0</v>
      </c>
      <c r="M26" s="812">
        <f t="shared" si="2"/>
        <v>0</v>
      </c>
      <c r="N26" s="812">
        <f t="shared" si="2"/>
        <v>0</v>
      </c>
      <c r="O26" s="812">
        <f t="shared" si="2"/>
        <v>0</v>
      </c>
      <c r="P26" s="812">
        <f t="shared" si="2"/>
        <v>0</v>
      </c>
      <c r="Q26" s="812">
        <f t="shared" si="2"/>
        <v>0</v>
      </c>
      <c r="R26" s="812">
        <f t="shared" si="2"/>
        <v>16251.913379435553</v>
      </c>
      <c r="S26" s="67"/>
    </row>
    <row r="27" spans="1:19" s="473" customFormat="1" ht="17.25" thickTop="1" thickBot="1">
      <c r="A27" s="706" t="s">
        <v>116</v>
      </c>
      <c r="B27" s="805"/>
      <c r="C27" s="707">
        <f ca="1">C22+C16+C26</f>
        <v>81194.775888770935</v>
      </c>
      <c r="D27" s="707">
        <f t="shared" ref="D27:R27" ca="1" si="3">D22+D16+D26</f>
        <v>62.357142857142847</v>
      </c>
      <c r="E27" s="707">
        <f t="shared" ca="1" si="3"/>
        <v>80270.200257608332</v>
      </c>
      <c r="F27" s="707">
        <f t="shared" si="3"/>
        <v>18926.236264126252</v>
      </c>
      <c r="G27" s="707">
        <f t="shared" ca="1" si="3"/>
        <v>54404.915834417166</v>
      </c>
      <c r="H27" s="707">
        <f t="shared" si="3"/>
        <v>45390.973765848932</v>
      </c>
      <c r="I27" s="707">
        <f t="shared" si="3"/>
        <v>11515.122303639082</v>
      </c>
      <c r="J27" s="707">
        <f t="shared" si="3"/>
        <v>0</v>
      </c>
      <c r="K27" s="707">
        <f t="shared" si="3"/>
        <v>541.76925308944192</v>
      </c>
      <c r="L27" s="707">
        <f t="shared" si="3"/>
        <v>0</v>
      </c>
      <c r="M27" s="707">
        <f t="shared" ca="1" si="3"/>
        <v>0</v>
      </c>
      <c r="N27" s="707">
        <f t="shared" si="3"/>
        <v>1774.8598558261269</v>
      </c>
      <c r="O27" s="707">
        <f t="shared" ca="1" si="3"/>
        <v>34821.675630382451</v>
      </c>
      <c r="P27" s="707">
        <f t="shared" si="3"/>
        <v>250.13333333333333</v>
      </c>
      <c r="Q27" s="707">
        <f t="shared" si="3"/>
        <v>724.5333333333333</v>
      </c>
      <c r="R27" s="707">
        <f t="shared" ca="1" si="3"/>
        <v>329877.5528632325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2772.3857108975249</v>
      </c>
      <c r="D40" s="1012">
        <f ca="1">tertiair!C20</f>
        <v>0</v>
      </c>
      <c r="E40" s="1012">
        <f ca="1">tertiair!D20</f>
        <v>2914.3434132186408</v>
      </c>
      <c r="F40" s="1012">
        <f>tertiair!E20</f>
        <v>54.756853064180348</v>
      </c>
      <c r="G40" s="1012">
        <f ca="1">tertiair!F20</f>
        <v>898.16496008899651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6639.6509372693426</v>
      </c>
    </row>
    <row r="41" spans="1:18">
      <c r="A41" s="822" t="s">
        <v>225</v>
      </c>
      <c r="B41" s="829"/>
      <c r="C41" s="1012">
        <f ca="1">huishoudens!B12</f>
        <v>7158.6095672986057</v>
      </c>
      <c r="D41" s="1012">
        <f ca="1">huishoudens!C12</f>
        <v>0</v>
      </c>
      <c r="E41" s="1012">
        <f>huishoudens!D12</f>
        <v>12429.67294996754</v>
      </c>
      <c r="F41" s="1012">
        <f>huishoudens!E12</f>
        <v>3079.554510363329</v>
      </c>
      <c r="G41" s="1012">
        <f>huishoudens!F12</f>
        <v>6075.597198810171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28743.434226439647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5200.7090192753039</v>
      </c>
      <c r="D43" s="1012">
        <f ca="1">industrie!C22</f>
        <v>0</v>
      </c>
      <c r="E43" s="1012">
        <f>industrie!D22</f>
        <v>574.60488179902336</v>
      </c>
      <c r="F43" s="1012">
        <f>industrie!E22</f>
        <v>1108.1335607291398</v>
      </c>
      <c r="G43" s="1012">
        <f>industrie!F22</f>
        <v>4729.1777877593295</v>
      </c>
      <c r="H43" s="1012">
        <f>industrie!G22</f>
        <v>0</v>
      </c>
      <c r="I43" s="1012">
        <f>industrie!H22</f>
        <v>0</v>
      </c>
      <c r="J43" s="1012">
        <f>industrie!I22</f>
        <v>0</v>
      </c>
      <c r="K43" s="1012">
        <f>industrie!J22</f>
        <v>44.361378658646004</v>
      </c>
      <c r="L43" s="1012">
        <f>industrie!K22</f>
        <v>0</v>
      </c>
      <c r="M43" s="1012">
        <f>industrie!L22</f>
        <v>0</v>
      </c>
      <c r="N43" s="1012">
        <f>industrie!M22</f>
        <v>0</v>
      </c>
      <c r="O43" s="1012">
        <f>industrie!N22</f>
        <v>0</v>
      </c>
      <c r="P43" s="1012">
        <f>industrie!O22</f>
        <v>0</v>
      </c>
      <c r="Q43" s="774">
        <f>industrie!P22</f>
        <v>0</v>
      </c>
      <c r="R43" s="849">
        <f t="shared" ca="1" si="4"/>
        <v>11656.986628221443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15131.704297471435</v>
      </c>
      <c r="D46" s="732">
        <f t="shared" ref="D46:Q46" ca="1" si="5">SUM(D39:D45)</f>
        <v>0</v>
      </c>
      <c r="E46" s="732">
        <f t="shared" ca="1" si="5"/>
        <v>15918.621244985205</v>
      </c>
      <c r="F46" s="732">
        <f t="shared" si="5"/>
        <v>4242.444924156649</v>
      </c>
      <c r="G46" s="732">
        <f t="shared" ca="1" si="5"/>
        <v>11702.939946658498</v>
      </c>
      <c r="H46" s="732">
        <f t="shared" si="5"/>
        <v>0</v>
      </c>
      <c r="I46" s="732">
        <f t="shared" si="5"/>
        <v>0</v>
      </c>
      <c r="J46" s="732">
        <f t="shared" si="5"/>
        <v>0</v>
      </c>
      <c r="K46" s="732">
        <f t="shared" si="5"/>
        <v>44.361378658646004</v>
      </c>
      <c r="L46" s="732">
        <f t="shared" si="5"/>
        <v>0</v>
      </c>
      <c r="M46" s="732">
        <f t="shared" ca="1" si="5"/>
        <v>0</v>
      </c>
      <c r="N46" s="732">
        <f t="shared" si="5"/>
        <v>0</v>
      </c>
      <c r="O46" s="732">
        <f t="shared" ca="1" si="5"/>
        <v>0</v>
      </c>
      <c r="P46" s="732">
        <f t="shared" si="5"/>
        <v>0</v>
      </c>
      <c r="Q46" s="732">
        <f t="shared" si="5"/>
        <v>0</v>
      </c>
      <c r="R46" s="732">
        <f ca="1">SUM(R39:R45)</f>
        <v>47040.07179193043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153.27838046634935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153.27838046634935</v>
      </c>
    </row>
    <row r="50" spans="1:18">
      <c r="A50" s="825" t="s">
        <v>307</v>
      </c>
      <c r="B50" s="835"/>
      <c r="C50" s="703">
        <f ca="1">transport!B18</f>
        <v>3.076437012752534</v>
      </c>
      <c r="D50" s="703">
        <f>transport!C18</f>
        <v>0</v>
      </c>
      <c r="E50" s="703">
        <f>transport!D18</f>
        <v>8.7599065839921888</v>
      </c>
      <c r="F50" s="703">
        <f>transport!E18</f>
        <v>36.877911082290623</v>
      </c>
      <c r="G50" s="703">
        <f>transport!F18</f>
        <v>0</v>
      </c>
      <c r="H50" s="703">
        <f>transport!G18</f>
        <v>11966.111615015318</v>
      </c>
      <c r="I50" s="703">
        <f>transport!H18</f>
        <v>2867.2654536061314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14882.091323300483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3.076437012752534</v>
      </c>
      <c r="D52" s="732">
        <f t="shared" ref="D52:Q52" ca="1" si="6">SUM(D48:D51)</f>
        <v>0</v>
      </c>
      <c r="E52" s="732">
        <f t="shared" si="6"/>
        <v>8.7599065839921888</v>
      </c>
      <c r="F52" s="732">
        <f t="shared" si="6"/>
        <v>36.877911082290623</v>
      </c>
      <c r="G52" s="732">
        <f t="shared" si="6"/>
        <v>0</v>
      </c>
      <c r="H52" s="732">
        <f t="shared" si="6"/>
        <v>12119.389995481666</v>
      </c>
      <c r="I52" s="732">
        <f t="shared" si="6"/>
        <v>2867.2654536061314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15035.369703766832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564.98504349822531</v>
      </c>
      <c r="D54" s="703">
        <f ca="1">+landbouw!C12</f>
        <v>0</v>
      </c>
      <c r="E54" s="703">
        <f>+landbouw!D12</f>
        <v>51.718362573085116</v>
      </c>
      <c r="F54" s="703">
        <f>+landbouw!E12</f>
        <v>16.932796717719683</v>
      </c>
      <c r="G54" s="703">
        <f>+landbouw!F12</f>
        <v>2823.1725811308879</v>
      </c>
      <c r="H54" s="703">
        <f>+landbouw!G12</f>
        <v>0</v>
      </c>
      <c r="I54" s="703">
        <f>+landbouw!H12</f>
        <v>0</v>
      </c>
      <c r="J54" s="703">
        <f>+landbouw!I12</f>
        <v>0</v>
      </c>
      <c r="K54" s="703">
        <f>+landbouw!J12</f>
        <v>147.4249369350164</v>
      </c>
      <c r="L54" s="703">
        <f>+landbouw!K12</f>
        <v>0</v>
      </c>
      <c r="M54" s="703">
        <f>+landbouw!L12</f>
        <v>0</v>
      </c>
      <c r="N54" s="703">
        <f>+landbouw!M12</f>
        <v>0</v>
      </c>
      <c r="O54" s="703">
        <f>+landbouw!N12</f>
        <v>0</v>
      </c>
      <c r="P54" s="703">
        <f>+landbouw!O12</f>
        <v>0</v>
      </c>
      <c r="Q54" s="704">
        <f>+landbouw!P12</f>
        <v>0</v>
      </c>
      <c r="R54" s="731">
        <f ca="1">SUM(C54:Q54)</f>
        <v>3604.2337208549343</v>
      </c>
    </row>
    <row r="55" spans="1:18" ht="15" thickBot="1">
      <c r="A55" s="825" t="s">
        <v>848</v>
      </c>
      <c r="B55" s="835"/>
      <c r="C55" s="703">
        <f ca="1">C25*'EF ele_warmte'!B12</f>
        <v>158.25131881043563</v>
      </c>
      <c r="D55" s="703"/>
      <c r="E55" s="703">
        <f>E25*EF_CO2_aardgas</f>
        <v>235.4809378946</v>
      </c>
      <c r="F55" s="703"/>
      <c r="G55" s="703"/>
      <c r="H55" s="703"/>
      <c r="I55" s="703"/>
      <c r="J55" s="703"/>
      <c r="K55" s="703"/>
      <c r="L55" s="703"/>
      <c r="M55" s="703"/>
      <c r="N55" s="703"/>
      <c r="O55" s="703"/>
      <c r="P55" s="703"/>
      <c r="Q55" s="704"/>
      <c r="R55" s="731">
        <f ca="1">SUM(C55:Q55)</f>
        <v>393.73225670503564</v>
      </c>
    </row>
    <row r="56" spans="1:18" ht="15.75" thickBot="1">
      <c r="A56" s="823" t="s">
        <v>849</v>
      </c>
      <c r="B56" s="836"/>
      <c r="C56" s="732">
        <f ca="1">SUM(C54:C55)</f>
        <v>723.236362308661</v>
      </c>
      <c r="D56" s="732">
        <f t="shared" ref="D56:Q56" ca="1" si="7">SUM(D54:D55)</f>
        <v>0</v>
      </c>
      <c r="E56" s="732">
        <f t="shared" si="7"/>
        <v>287.19930046768513</v>
      </c>
      <c r="F56" s="732">
        <f t="shared" si="7"/>
        <v>16.932796717719683</v>
      </c>
      <c r="G56" s="732">
        <f t="shared" si="7"/>
        <v>2823.1725811308879</v>
      </c>
      <c r="H56" s="732">
        <f t="shared" si="7"/>
        <v>0</v>
      </c>
      <c r="I56" s="732">
        <f t="shared" si="7"/>
        <v>0</v>
      </c>
      <c r="J56" s="732">
        <f t="shared" si="7"/>
        <v>0</v>
      </c>
      <c r="K56" s="732">
        <f t="shared" si="7"/>
        <v>147.4249369350164</v>
      </c>
      <c r="L56" s="732">
        <f t="shared" si="7"/>
        <v>0</v>
      </c>
      <c r="M56" s="732">
        <f t="shared" si="7"/>
        <v>0</v>
      </c>
      <c r="N56" s="732">
        <f t="shared" si="7"/>
        <v>0</v>
      </c>
      <c r="O56" s="732">
        <f t="shared" si="7"/>
        <v>0</v>
      </c>
      <c r="P56" s="732">
        <f t="shared" si="7"/>
        <v>0</v>
      </c>
      <c r="Q56" s="733">
        <f t="shared" si="7"/>
        <v>0</v>
      </c>
      <c r="R56" s="734">
        <f ca="1">SUM(R54:R55)</f>
        <v>3997.9659775599698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15858.017096792848</v>
      </c>
      <c r="D61" s="740">
        <f t="shared" ref="D61:Q61" ca="1" si="8">D46+D52+D56</f>
        <v>0</v>
      </c>
      <c r="E61" s="740">
        <f t="shared" ca="1" si="8"/>
        <v>16214.58045203688</v>
      </c>
      <c r="F61" s="740">
        <f t="shared" si="8"/>
        <v>4296.2556319566593</v>
      </c>
      <c r="G61" s="740">
        <f t="shared" ca="1" si="8"/>
        <v>14526.112527789386</v>
      </c>
      <c r="H61" s="740">
        <f t="shared" si="8"/>
        <v>12119.389995481666</v>
      </c>
      <c r="I61" s="740">
        <f t="shared" si="8"/>
        <v>2867.2654536061314</v>
      </c>
      <c r="J61" s="740">
        <f t="shared" si="8"/>
        <v>0</v>
      </c>
      <c r="K61" s="740">
        <f t="shared" si="8"/>
        <v>191.78631559366241</v>
      </c>
      <c r="L61" s="740">
        <f t="shared" si="8"/>
        <v>0</v>
      </c>
      <c r="M61" s="740">
        <f t="shared" ca="1" si="8"/>
        <v>0</v>
      </c>
      <c r="N61" s="740">
        <f t="shared" si="8"/>
        <v>0</v>
      </c>
      <c r="O61" s="740">
        <f t="shared" ca="1" si="8"/>
        <v>0</v>
      </c>
      <c r="P61" s="740">
        <f t="shared" si="8"/>
        <v>0</v>
      </c>
      <c r="Q61" s="740">
        <f t="shared" si="8"/>
        <v>0</v>
      </c>
      <c r="R61" s="740">
        <f ca="1">R46+R52+R56</f>
        <v>66073.407473257234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0.19530834247903844</v>
      </c>
      <c r="D63" s="781">
        <f t="shared" ca="1" si="9"/>
        <v>0</v>
      </c>
      <c r="E63" s="1023">
        <f t="shared" ca="1" si="9"/>
        <v>0.20199999999999996</v>
      </c>
      <c r="F63" s="781">
        <f t="shared" si="9"/>
        <v>0.22700000000000001</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3615.8951547957604</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5779.4972643242618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9439.0424191200218</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3615.8951547957604</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5779.4972643242618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9439.0424191200218</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11016</v>
      </c>
      <c r="C28" s="796">
        <v>2910</v>
      </c>
      <c r="D28" s="653" t="s">
        <v>890</v>
      </c>
      <c r="E28" s="652" t="s">
        <v>891</v>
      </c>
      <c r="F28" s="652" t="s">
        <v>892</v>
      </c>
      <c r="G28" s="652" t="s">
        <v>893</v>
      </c>
      <c r="H28" s="652" t="s">
        <v>894</v>
      </c>
      <c r="I28" s="652" t="s">
        <v>895</v>
      </c>
      <c r="J28" s="795">
        <v>41338</v>
      </c>
      <c r="K28" s="795">
        <v>41338</v>
      </c>
      <c r="L28" s="652" t="s">
        <v>896</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36652.861195967118</v>
      </c>
      <c r="C4" s="477">
        <f>huishoudens!C8</f>
        <v>0</v>
      </c>
      <c r="D4" s="477">
        <f>huishoudens!D8</f>
        <v>61533.034405779901</v>
      </c>
      <c r="E4" s="477">
        <f>huishoudens!E8</f>
        <v>13566.319428913343</v>
      </c>
      <c r="F4" s="477">
        <f>huishoudens!F8</f>
        <v>22755.045688427606</v>
      </c>
      <c r="G4" s="477">
        <f>huishoudens!G8</f>
        <v>0</v>
      </c>
      <c r="H4" s="477">
        <f>huishoudens!H8</f>
        <v>0</v>
      </c>
      <c r="I4" s="477">
        <f>huishoudens!I8</f>
        <v>0</v>
      </c>
      <c r="J4" s="477">
        <f>huishoudens!J8</f>
        <v>0</v>
      </c>
      <c r="K4" s="477">
        <f>huishoudens!K8</f>
        <v>0</v>
      </c>
      <c r="L4" s="477">
        <f>huishoudens!L8</f>
        <v>0</v>
      </c>
      <c r="M4" s="477">
        <f>huishoudens!M8</f>
        <v>0</v>
      </c>
      <c r="N4" s="477">
        <f>huishoudens!N8</f>
        <v>22453.247934252053</v>
      </c>
      <c r="O4" s="477">
        <f>huishoudens!O8</f>
        <v>242.31666666666666</v>
      </c>
      <c r="P4" s="478">
        <f>huishoudens!P8</f>
        <v>724.5333333333333</v>
      </c>
      <c r="Q4" s="479">
        <f>SUM(B4:P4)</f>
        <v>157927.35865334002</v>
      </c>
    </row>
    <row r="5" spans="1:17">
      <c r="A5" s="476" t="s">
        <v>156</v>
      </c>
      <c r="B5" s="477">
        <f ca="1">tertiair!B16</f>
        <v>13003.136999999997</v>
      </c>
      <c r="C5" s="477">
        <f ca="1">tertiair!C16</f>
        <v>0</v>
      </c>
      <c r="D5" s="477">
        <f ca="1">tertiair!D16</f>
        <v>14427.442639696241</v>
      </c>
      <c r="E5" s="477">
        <f>tertiair!E16</f>
        <v>241.2196170228209</v>
      </c>
      <c r="F5" s="477">
        <f ca="1">tertiair!F16</f>
        <v>3363.9137081984886</v>
      </c>
      <c r="G5" s="477">
        <f>tertiair!G16</f>
        <v>0</v>
      </c>
      <c r="H5" s="477">
        <f>tertiair!H16</f>
        <v>0</v>
      </c>
      <c r="I5" s="477">
        <f>tertiair!I16</f>
        <v>0</v>
      </c>
      <c r="J5" s="477">
        <f>tertiair!J16</f>
        <v>0</v>
      </c>
      <c r="K5" s="477">
        <f>tertiair!K16</f>
        <v>0</v>
      </c>
      <c r="L5" s="477">
        <f ca="1">tertiair!L16</f>
        <v>0</v>
      </c>
      <c r="M5" s="477">
        <f>tertiair!M16</f>
        <v>0</v>
      </c>
      <c r="N5" s="477">
        <f ca="1">tertiair!N16</f>
        <v>1573.7893942438629</v>
      </c>
      <c r="O5" s="477">
        <f>tertiair!O16</f>
        <v>7.8166666666666664</v>
      </c>
      <c r="P5" s="478">
        <f>tertiair!P16</f>
        <v>0</v>
      </c>
      <c r="Q5" s="476">
        <f t="shared" ref="Q5:Q14" ca="1" si="0">SUM(B5:P5)</f>
        <v>32617.319025828077</v>
      </c>
    </row>
    <row r="6" spans="1:17">
      <c r="A6" s="476" t="s">
        <v>194</v>
      </c>
      <c r="B6" s="477">
        <f>'openbare verlichting'!B8</f>
        <v>1191.78</v>
      </c>
      <c r="C6" s="477"/>
      <c r="D6" s="477"/>
      <c r="E6" s="477"/>
      <c r="F6" s="477"/>
      <c r="G6" s="477"/>
      <c r="H6" s="477"/>
      <c r="I6" s="477"/>
      <c r="J6" s="477"/>
      <c r="K6" s="477"/>
      <c r="L6" s="477"/>
      <c r="M6" s="477"/>
      <c r="N6" s="477"/>
      <c r="O6" s="477"/>
      <c r="P6" s="478"/>
      <c r="Q6" s="476">
        <f t="shared" si="0"/>
        <v>1191.78</v>
      </c>
    </row>
    <row r="7" spans="1:17">
      <c r="A7" s="476" t="s">
        <v>112</v>
      </c>
      <c r="B7" s="477">
        <f>landbouw!B8</f>
        <v>2892.7849999999999</v>
      </c>
      <c r="C7" s="477">
        <f>landbouw!C8</f>
        <v>62.357142857142847</v>
      </c>
      <c r="D7" s="477">
        <f>landbouw!D8</f>
        <v>256.03149788655998</v>
      </c>
      <c r="E7" s="477">
        <f>landbouw!E8</f>
        <v>74.593818139734282</v>
      </c>
      <c r="F7" s="477">
        <f>landbouw!F8</f>
        <v>10573.680079141901</v>
      </c>
      <c r="G7" s="477">
        <f>landbouw!G8</f>
        <v>0</v>
      </c>
      <c r="H7" s="477">
        <f>landbouw!H8</f>
        <v>0</v>
      </c>
      <c r="I7" s="477">
        <f>landbouw!I8</f>
        <v>0</v>
      </c>
      <c r="J7" s="477">
        <f>landbouw!J8</f>
        <v>416.45462411021589</v>
      </c>
      <c r="K7" s="477">
        <f>landbouw!K8</f>
        <v>0</v>
      </c>
      <c r="L7" s="477">
        <f>landbouw!L8</f>
        <v>0</v>
      </c>
      <c r="M7" s="477">
        <f>landbouw!M8</f>
        <v>0</v>
      </c>
      <c r="N7" s="477">
        <f>landbouw!N8</f>
        <v>0</v>
      </c>
      <c r="O7" s="477">
        <f>landbouw!O8</f>
        <v>0</v>
      </c>
      <c r="P7" s="478">
        <f>landbouw!P8</f>
        <v>0</v>
      </c>
      <c r="Q7" s="476">
        <f t="shared" si="0"/>
        <v>14275.902162135553</v>
      </c>
    </row>
    <row r="8" spans="1:17">
      <c r="A8" s="476" t="s">
        <v>638</v>
      </c>
      <c r="B8" s="477">
        <f>industrie!B18</f>
        <v>26628.196999999996</v>
      </c>
      <c r="C8" s="477">
        <f>industrie!C18</f>
        <v>0</v>
      </c>
      <c r="D8" s="477">
        <f>industrie!D18</f>
        <v>2844.5786227674421</v>
      </c>
      <c r="E8" s="477">
        <f>industrie!E18</f>
        <v>4881.6456419785891</v>
      </c>
      <c r="F8" s="477">
        <f>industrie!F18</f>
        <v>17712.276358649175</v>
      </c>
      <c r="G8" s="477">
        <f>industrie!G18</f>
        <v>0</v>
      </c>
      <c r="H8" s="477">
        <f>industrie!H18</f>
        <v>0</v>
      </c>
      <c r="I8" s="477">
        <f>industrie!I18</f>
        <v>0</v>
      </c>
      <c r="J8" s="477">
        <f>industrie!J18</f>
        <v>125.31462897922601</v>
      </c>
      <c r="K8" s="477">
        <f>industrie!K18</f>
        <v>0</v>
      </c>
      <c r="L8" s="477">
        <f>industrie!L18</f>
        <v>0</v>
      </c>
      <c r="M8" s="477">
        <f>industrie!M18</f>
        <v>0</v>
      </c>
      <c r="N8" s="477">
        <f>industrie!N18</f>
        <v>10794.638301886531</v>
      </c>
      <c r="O8" s="477">
        <f>industrie!O18</f>
        <v>0</v>
      </c>
      <c r="P8" s="478">
        <f>industrie!P18</f>
        <v>0</v>
      </c>
      <c r="Q8" s="476">
        <f t="shared" si="0"/>
        <v>62986.650554260959</v>
      </c>
    </row>
    <row r="9" spans="1:17" s="482" customFormat="1">
      <c r="A9" s="480" t="s">
        <v>564</v>
      </c>
      <c r="B9" s="481">
        <f>transport!B14</f>
        <v>15.751692803817193</v>
      </c>
      <c r="C9" s="481">
        <f>transport!C14</f>
        <v>0</v>
      </c>
      <c r="D9" s="481">
        <f>transport!D14</f>
        <v>43.365874178179148</v>
      </c>
      <c r="E9" s="481">
        <f>transport!E14</f>
        <v>162.45775807176486</v>
      </c>
      <c r="F9" s="481">
        <f>transport!F14</f>
        <v>0</v>
      </c>
      <c r="G9" s="481">
        <f>transport!G14</f>
        <v>44816.897434514292</v>
      </c>
      <c r="H9" s="481">
        <f>transport!H14</f>
        <v>11515.122303639082</v>
      </c>
      <c r="I9" s="481">
        <f>transport!I14</f>
        <v>0</v>
      </c>
      <c r="J9" s="481">
        <f>transport!J14</f>
        <v>0</v>
      </c>
      <c r="K9" s="481">
        <f>transport!K14</f>
        <v>0</v>
      </c>
      <c r="L9" s="481">
        <f>transport!L14</f>
        <v>0</v>
      </c>
      <c r="M9" s="481">
        <f>transport!M14</f>
        <v>1757.0532923414121</v>
      </c>
      <c r="N9" s="481">
        <f>transport!N14</f>
        <v>0</v>
      </c>
      <c r="O9" s="481">
        <f>transport!O14</f>
        <v>0</v>
      </c>
      <c r="P9" s="481">
        <f>transport!P14</f>
        <v>0</v>
      </c>
      <c r="Q9" s="480">
        <f>SUM(B9:P9)</f>
        <v>58310.648355548547</v>
      </c>
    </row>
    <row r="10" spans="1:17">
      <c r="A10" s="476" t="s">
        <v>554</v>
      </c>
      <c r="B10" s="477">
        <f>transport!B54</f>
        <v>0</v>
      </c>
      <c r="C10" s="477">
        <f>transport!C54</f>
        <v>0</v>
      </c>
      <c r="D10" s="477">
        <f>transport!D54</f>
        <v>0</v>
      </c>
      <c r="E10" s="477">
        <f>transport!E54</f>
        <v>0</v>
      </c>
      <c r="F10" s="477">
        <f>transport!F54</f>
        <v>0</v>
      </c>
      <c r="G10" s="477">
        <f>transport!G54</f>
        <v>574.07633133464174</v>
      </c>
      <c r="H10" s="477">
        <f>transport!H54</f>
        <v>0</v>
      </c>
      <c r="I10" s="477">
        <f>transport!I54</f>
        <v>0</v>
      </c>
      <c r="J10" s="477">
        <f>transport!J54</f>
        <v>0</v>
      </c>
      <c r="K10" s="477">
        <f>transport!K54</f>
        <v>0</v>
      </c>
      <c r="L10" s="477">
        <f>transport!L54</f>
        <v>0</v>
      </c>
      <c r="M10" s="477">
        <f>transport!M54</f>
        <v>17.8065634847149</v>
      </c>
      <c r="N10" s="477">
        <f>transport!N54</f>
        <v>0</v>
      </c>
      <c r="O10" s="477">
        <f>transport!O54</f>
        <v>0</v>
      </c>
      <c r="P10" s="478">
        <f>transport!P54</f>
        <v>0</v>
      </c>
      <c r="Q10" s="476">
        <f t="shared" si="0"/>
        <v>591.88289481935658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810.26400000000001</v>
      </c>
      <c r="C14" s="484"/>
      <c r="D14" s="484">
        <f>'SEAP template'!E25</f>
        <v>1165.7472172999999</v>
      </c>
      <c r="E14" s="484"/>
      <c r="F14" s="484"/>
      <c r="G14" s="484"/>
      <c r="H14" s="484"/>
      <c r="I14" s="484"/>
      <c r="J14" s="484"/>
      <c r="K14" s="484"/>
      <c r="L14" s="484"/>
      <c r="M14" s="484"/>
      <c r="N14" s="484"/>
      <c r="O14" s="484"/>
      <c r="P14" s="485"/>
      <c r="Q14" s="476">
        <f t="shared" si="0"/>
        <v>1976.0112172999998</v>
      </c>
    </row>
    <row r="15" spans="1:17" s="486" customFormat="1">
      <c r="A15" s="1038" t="s">
        <v>558</v>
      </c>
      <c r="B15" s="978">
        <f ca="1">SUM(B4:B14)</f>
        <v>81194.775888770935</v>
      </c>
      <c r="C15" s="978">
        <f t="shared" ref="C15:Q15" ca="1" si="1">SUM(C4:C14)</f>
        <v>62.357142857142847</v>
      </c>
      <c r="D15" s="978">
        <f t="shared" ca="1" si="1"/>
        <v>80270.200257608332</v>
      </c>
      <c r="E15" s="978">
        <f t="shared" si="1"/>
        <v>18926.236264126252</v>
      </c>
      <c r="F15" s="978">
        <f t="shared" ca="1" si="1"/>
        <v>54404.915834417174</v>
      </c>
      <c r="G15" s="978">
        <f t="shared" si="1"/>
        <v>45390.973765848932</v>
      </c>
      <c r="H15" s="978">
        <f t="shared" si="1"/>
        <v>11515.122303639082</v>
      </c>
      <c r="I15" s="978">
        <f t="shared" si="1"/>
        <v>0</v>
      </c>
      <c r="J15" s="978">
        <f t="shared" si="1"/>
        <v>541.76925308944192</v>
      </c>
      <c r="K15" s="978">
        <f t="shared" si="1"/>
        <v>0</v>
      </c>
      <c r="L15" s="978">
        <f t="shared" ca="1" si="1"/>
        <v>0</v>
      </c>
      <c r="M15" s="978">
        <f t="shared" si="1"/>
        <v>1774.8598558261269</v>
      </c>
      <c r="N15" s="978">
        <f t="shared" ca="1" si="1"/>
        <v>34821.675630382451</v>
      </c>
      <c r="O15" s="978">
        <f t="shared" si="1"/>
        <v>250.13333333333333</v>
      </c>
      <c r="P15" s="978">
        <f t="shared" si="1"/>
        <v>724.5333333333333</v>
      </c>
      <c r="Q15" s="978">
        <f t="shared" ca="1" si="1"/>
        <v>329877.55286323256</v>
      </c>
    </row>
    <row r="17" spans="1:17">
      <c r="A17" s="487" t="s">
        <v>559</v>
      </c>
      <c r="B17" s="786">
        <f ca="1">huishoudens!B10</f>
        <v>0.19530834247903847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7158.6095672986057</v>
      </c>
      <c r="C22" s="477">
        <f t="shared" ref="C22:C32" ca="1" si="3">C4*$C$17</f>
        <v>0</v>
      </c>
      <c r="D22" s="477">
        <f t="shared" ref="D22:D32" si="4">D4*$D$17</f>
        <v>12429.67294996754</v>
      </c>
      <c r="E22" s="477">
        <f t="shared" ref="E22:E32" si="5">E4*$E$17</f>
        <v>3079.554510363329</v>
      </c>
      <c r="F22" s="477">
        <f t="shared" ref="F22:F32" si="6">F4*$F$17</f>
        <v>6075.597198810171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28743.434226439647</v>
      </c>
    </row>
    <row r="23" spans="1:17">
      <c r="A23" s="476" t="s">
        <v>156</v>
      </c>
      <c r="B23" s="477">
        <f t="shared" ca="1" si="2"/>
        <v>2539.6211344978565</v>
      </c>
      <c r="C23" s="477">
        <f t="shared" ca="1" si="3"/>
        <v>0</v>
      </c>
      <c r="D23" s="477">
        <f t="shared" ca="1" si="4"/>
        <v>2914.3434132186408</v>
      </c>
      <c r="E23" s="477">
        <f t="shared" si="5"/>
        <v>54.756853064180348</v>
      </c>
      <c r="F23" s="477">
        <f t="shared" ca="1" si="6"/>
        <v>898.16496008899651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6406.8863608696747</v>
      </c>
    </row>
    <row r="24" spans="1:17">
      <c r="A24" s="476" t="s">
        <v>194</v>
      </c>
      <c r="B24" s="477">
        <f t="shared" ca="1" si="2"/>
        <v>232.76457639966847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232.76457639966847</v>
      </c>
    </row>
    <row r="25" spans="1:17">
      <c r="A25" s="476" t="s">
        <v>112</v>
      </c>
      <c r="B25" s="477">
        <f t="shared" ca="1" si="2"/>
        <v>564.98504349822531</v>
      </c>
      <c r="C25" s="477">
        <f t="shared" ca="1" si="3"/>
        <v>0</v>
      </c>
      <c r="D25" s="477">
        <f t="shared" si="4"/>
        <v>51.718362573085116</v>
      </c>
      <c r="E25" s="477">
        <f t="shared" si="5"/>
        <v>16.932796717719683</v>
      </c>
      <c r="F25" s="477">
        <f t="shared" si="6"/>
        <v>2823.1725811308879</v>
      </c>
      <c r="G25" s="477">
        <f t="shared" si="7"/>
        <v>0</v>
      </c>
      <c r="H25" s="477">
        <f t="shared" si="8"/>
        <v>0</v>
      </c>
      <c r="I25" s="477">
        <f t="shared" si="9"/>
        <v>0</v>
      </c>
      <c r="J25" s="477">
        <f t="shared" si="10"/>
        <v>147.4249369350164</v>
      </c>
      <c r="K25" s="477">
        <f t="shared" si="11"/>
        <v>0</v>
      </c>
      <c r="L25" s="477">
        <f t="shared" si="12"/>
        <v>0</v>
      </c>
      <c r="M25" s="477">
        <f t="shared" si="13"/>
        <v>0</v>
      </c>
      <c r="N25" s="477">
        <f t="shared" si="14"/>
        <v>0</v>
      </c>
      <c r="O25" s="477">
        <f t="shared" si="15"/>
        <v>0</v>
      </c>
      <c r="P25" s="478">
        <f t="shared" si="16"/>
        <v>0</v>
      </c>
      <c r="Q25" s="476">
        <f t="shared" ca="1" si="17"/>
        <v>3604.2337208549343</v>
      </c>
    </row>
    <row r="26" spans="1:17">
      <c r="A26" s="476" t="s">
        <v>638</v>
      </c>
      <c r="B26" s="477">
        <f t="shared" ca="1" si="2"/>
        <v>5200.7090192753039</v>
      </c>
      <c r="C26" s="477">
        <f t="shared" ca="1" si="3"/>
        <v>0</v>
      </c>
      <c r="D26" s="477">
        <f t="shared" si="4"/>
        <v>574.60488179902336</v>
      </c>
      <c r="E26" s="477">
        <f t="shared" si="5"/>
        <v>1108.1335607291398</v>
      </c>
      <c r="F26" s="477">
        <f t="shared" si="6"/>
        <v>4729.1777877593295</v>
      </c>
      <c r="G26" s="477">
        <f t="shared" si="7"/>
        <v>0</v>
      </c>
      <c r="H26" s="477">
        <f t="shared" si="8"/>
        <v>0</v>
      </c>
      <c r="I26" s="477">
        <f t="shared" si="9"/>
        <v>0</v>
      </c>
      <c r="J26" s="477">
        <f t="shared" si="10"/>
        <v>44.361378658646004</v>
      </c>
      <c r="K26" s="477">
        <f t="shared" si="11"/>
        <v>0</v>
      </c>
      <c r="L26" s="477">
        <f t="shared" si="12"/>
        <v>0</v>
      </c>
      <c r="M26" s="477">
        <f t="shared" si="13"/>
        <v>0</v>
      </c>
      <c r="N26" s="477">
        <f t="shared" si="14"/>
        <v>0</v>
      </c>
      <c r="O26" s="477">
        <f t="shared" si="15"/>
        <v>0</v>
      </c>
      <c r="P26" s="478">
        <f t="shared" si="16"/>
        <v>0</v>
      </c>
      <c r="Q26" s="476">
        <f t="shared" ca="1" si="17"/>
        <v>11656.986628221443</v>
      </c>
    </row>
    <row r="27" spans="1:17" s="482" customFormat="1">
      <c r="A27" s="480" t="s">
        <v>564</v>
      </c>
      <c r="B27" s="780">
        <f t="shared" ca="1" si="2"/>
        <v>3.076437012752534</v>
      </c>
      <c r="C27" s="481">
        <f t="shared" ca="1" si="3"/>
        <v>0</v>
      </c>
      <c r="D27" s="481">
        <f t="shared" si="4"/>
        <v>8.7599065839921888</v>
      </c>
      <c r="E27" s="481">
        <f t="shared" si="5"/>
        <v>36.877911082290623</v>
      </c>
      <c r="F27" s="481">
        <f t="shared" si="6"/>
        <v>0</v>
      </c>
      <c r="G27" s="481">
        <f t="shared" si="7"/>
        <v>11966.111615015318</v>
      </c>
      <c r="H27" s="481">
        <f t="shared" si="8"/>
        <v>2867.2654536061314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14882.091323300483</v>
      </c>
    </row>
    <row r="28" spans="1:17">
      <c r="A28" s="476" t="s">
        <v>554</v>
      </c>
      <c r="B28" s="477">
        <f t="shared" ca="1" si="2"/>
        <v>0</v>
      </c>
      <c r="C28" s="477">
        <f t="shared" ca="1" si="3"/>
        <v>0</v>
      </c>
      <c r="D28" s="477">
        <f t="shared" si="4"/>
        <v>0</v>
      </c>
      <c r="E28" s="477">
        <f t="shared" si="5"/>
        <v>0</v>
      </c>
      <c r="F28" s="477">
        <f t="shared" si="6"/>
        <v>0</v>
      </c>
      <c r="G28" s="477">
        <f t="shared" si="7"/>
        <v>153.27838046634935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153.27838046634935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158.25131881043563</v>
      </c>
      <c r="C32" s="477">
        <f t="shared" ca="1" si="3"/>
        <v>0</v>
      </c>
      <c r="D32" s="477">
        <f t="shared" si="4"/>
        <v>235.4809378946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393.73225670503564</v>
      </c>
    </row>
    <row r="33" spans="1:17" s="486" customFormat="1">
      <c r="A33" s="1038" t="s">
        <v>558</v>
      </c>
      <c r="B33" s="978">
        <f ca="1">SUM(B22:B32)</f>
        <v>15858.017096792848</v>
      </c>
      <c r="C33" s="978">
        <f t="shared" ref="C33:Q33" ca="1" si="18">SUM(C22:C32)</f>
        <v>0</v>
      </c>
      <c r="D33" s="978">
        <f t="shared" ca="1" si="18"/>
        <v>16214.58045203688</v>
      </c>
      <c r="E33" s="978">
        <f t="shared" si="18"/>
        <v>4296.2556319566593</v>
      </c>
      <c r="F33" s="978">
        <f t="shared" ca="1" si="18"/>
        <v>14526.112527789384</v>
      </c>
      <c r="G33" s="978">
        <f t="shared" si="18"/>
        <v>12119.389995481666</v>
      </c>
      <c r="H33" s="978">
        <f t="shared" si="18"/>
        <v>2867.2654536061314</v>
      </c>
      <c r="I33" s="978">
        <f t="shared" si="18"/>
        <v>0</v>
      </c>
      <c r="J33" s="978">
        <f t="shared" si="18"/>
        <v>191.78631559366241</v>
      </c>
      <c r="K33" s="978">
        <f t="shared" si="18"/>
        <v>0</v>
      </c>
      <c r="L33" s="978">
        <f t="shared" ca="1" si="18"/>
        <v>0</v>
      </c>
      <c r="M33" s="978">
        <f t="shared" si="18"/>
        <v>0</v>
      </c>
      <c r="N33" s="978">
        <f t="shared" ca="1" si="18"/>
        <v>0</v>
      </c>
      <c r="O33" s="978">
        <f t="shared" si="18"/>
        <v>0</v>
      </c>
      <c r="P33" s="978">
        <f t="shared" si="18"/>
        <v>0</v>
      </c>
      <c r="Q33" s="978">
        <f t="shared" ca="1" si="18"/>
        <v>66073.407473257234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3615.8951547957604</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5779.4972643242618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9439.0424191200218</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0.19530834247903847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0.19530834247903847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2019-08-12T08:22:10Z</dcterms:modified>
</cp:coreProperties>
</file>