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N19" i="59" s="1"/>
  <c r="J19" i="18"/>
  <c r="I19"/>
  <c r="I89" i="14" s="1"/>
  <c r="I19" i="59" s="1"/>
  <c r="H19" i="18"/>
  <c r="G19"/>
  <c r="F19"/>
  <c r="G89" i="14" s="1"/>
  <c r="G19" i="59" s="1"/>
  <c r="E19" i="18"/>
  <c r="D19"/>
  <c r="D20" s="1"/>
  <c r="C19"/>
  <c r="D89" i="14" s="1"/>
  <c r="D19" i="59" s="1"/>
  <c r="B19" i="18"/>
  <c r="N18"/>
  <c r="M18"/>
  <c r="L18"/>
  <c r="K18"/>
  <c r="J18"/>
  <c r="J88" i="14" s="1"/>
  <c r="J18" i="59" s="1"/>
  <c r="I18" i="18"/>
  <c r="H18"/>
  <c r="M88" i="14" s="1"/>
  <c r="M18" i="59" s="1"/>
  <c r="G18" i="18"/>
  <c r="F18"/>
  <c r="E18"/>
  <c r="D18"/>
  <c r="C18"/>
  <c r="D88" i="14" s="1"/>
  <c r="D18" i="59" s="1"/>
  <c r="B18" i="18"/>
  <c r="L9"/>
  <c r="O77" i="14" s="1"/>
  <c r="K9" i="18"/>
  <c r="N77" i="14" s="1"/>
  <c r="N9" i="59" s="1"/>
  <c r="G9" i="18"/>
  <c r="F9"/>
  <c r="E9"/>
  <c r="F77" i="14" s="1"/>
  <c r="F9" i="59" s="1"/>
  <c r="D9" i="18"/>
  <c r="E77" i="14" s="1"/>
  <c r="E9" i="59" s="1"/>
  <c r="C9" i="18"/>
  <c r="D77" i="14" s="1"/>
  <c r="D9" i="59" s="1"/>
  <c r="B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J77" i="14" s="1"/>
  <c r="J9" i="59" s="1"/>
  <c r="P89" i="18"/>
  <c r="O89"/>
  <c r="N89"/>
  <c r="M89"/>
  <c r="W61"/>
  <c r="V61"/>
  <c r="N6" i="17" s="1"/>
  <c r="U61" i="18"/>
  <c r="T61"/>
  <c r="L6" i="17" s="1"/>
  <c r="S61" i="18"/>
  <c r="F6" i="17" s="1"/>
  <c r="R61" i="18"/>
  <c r="Q61"/>
  <c r="P61"/>
  <c r="O61"/>
  <c r="N61"/>
  <c r="M61"/>
  <c r="W60"/>
  <c r="V60"/>
  <c r="U60"/>
  <c r="T60"/>
  <c r="S60"/>
  <c r="F13" i="15" s="1"/>
  <c r="R60" i="18"/>
  <c r="Q60"/>
  <c r="P60"/>
  <c r="D13" i="15" s="1"/>
  <c r="O60" i="18"/>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D6" i="17"/>
  <c r="C6"/>
  <c r="D5"/>
  <c r="B19" i="6"/>
  <c r="B18"/>
  <c r="B5"/>
  <c r="B6"/>
  <c r="B14" i="48"/>
  <c r="P7"/>
  <c r="P25" s="1"/>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O32"/>
  <c r="P28"/>
  <c r="O28"/>
  <c r="P27"/>
  <c r="O27"/>
  <c r="O25"/>
  <c r="M89" i="14"/>
  <c r="M19" i="59" s="1"/>
  <c r="L89" i="14"/>
  <c r="L19" i="59" s="1"/>
  <c r="K89" i="14"/>
  <c r="K19" i="59" s="1"/>
  <c r="J89" i="14"/>
  <c r="J19" i="59" s="1"/>
  <c r="H89" i="14"/>
  <c r="H19" i="59" s="1"/>
  <c r="O88" i="14"/>
  <c r="O18" i="59" s="1"/>
  <c r="L88" i="14"/>
  <c r="L18" i="59" s="1"/>
  <c r="K88" i="14"/>
  <c r="K18" i="59" s="1"/>
  <c r="I88" i="14"/>
  <c r="I18" i="59" s="1"/>
  <c r="H88" i="14"/>
  <c r="F88"/>
  <c r="F18" i="59" s="1"/>
  <c r="E88" i="14"/>
  <c r="E18" i="59" s="1"/>
  <c r="O87" i="14"/>
  <c r="O17" i="59" s="1"/>
  <c r="N87" i="14"/>
  <c r="L87"/>
  <c r="K87"/>
  <c r="K17" i="59" s="1"/>
  <c r="H87" i="14"/>
  <c r="H17" i="59" s="1"/>
  <c r="G87" i="14"/>
  <c r="G17" i="59" s="1"/>
  <c r="E87" i="14"/>
  <c r="E17" i="59" s="1"/>
  <c r="M77" i="14"/>
  <c r="M9" i="59" s="1"/>
  <c r="L77" i="14"/>
  <c r="L9" i="59" s="1"/>
  <c r="K77" i="14"/>
  <c r="K9" i="59" s="1"/>
  <c r="H77" i="14"/>
  <c r="H9" i="59" s="1"/>
  <c r="O76" i="14"/>
  <c r="O8" i="59" s="1"/>
  <c r="N76" i="14"/>
  <c r="N8" i="59" s="1"/>
  <c r="L76" i="14"/>
  <c r="K76"/>
  <c r="K8" i="59" s="1"/>
  <c r="H76" i="14"/>
  <c r="G76"/>
  <c r="G8" i="59" s="1"/>
  <c r="E76" i="14"/>
  <c r="E8" i="59" s="1"/>
  <c r="B75" i="14"/>
  <c r="B7" i="59" s="1"/>
  <c r="B74" i="14"/>
  <c r="B6" i="59" s="1"/>
  <c r="B73" i="14"/>
  <c r="B5" i="59" s="1"/>
  <c r="B72" i="14"/>
  <c r="B4" i="59" s="1"/>
  <c r="C64" i="14"/>
  <c r="C29"/>
  <c r="Q54"/>
  <c r="P54"/>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Q19"/>
  <c r="P19"/>
  <c r="O19"/>
  <c r="M19"/>
  <c r="L19"/>
  <c r="K19"/>
  <c r="J19"/>
  <c r="I19"/>
  <c r="G19"/>
  <c r="F19"/>
  <c r="E19"/>
  <c r="D19"/>
  <c r="Q48"/>
  <c r="Q52" s="1"/>
  <c r="P48"/>
  <c r="O48"/>
  <c r="M48"/>
  <c r="L48"/>
  <c r="K48"/>
  <c r="J48"/>
  <c r="G48"/>
  <c r="D48"/>
  <c r="Q18"/>
  <c r="P18"/>
  <c r="O18"/>
  <c r="O22" s="1"/>
  <c r="M18"/>
  <c r="M22" s="1"/>
  <c r="L18"/>
  <c r="K18"/>
  <c r="J18"/>
  <c r="G18"/>
  <c r="G22" s="1"/>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K78"/>
  <c r="P56"/>
  <c r="Q56"/>
  <c r="I56"/>
  <c r="R44"/>
  <c r="R25"/>
  <c r="E25"/>
  <c r="C25"/>
  <c r="Q26"/>
  <c r="P26"/>
  <c r="I26"/>
  <c r="H26"/>
  <c r="Q22"/>
  <c r="P22"/>
  <c r="E55" l="1"/>
  <c r="D14" i="48"/>
  <c r="R9" i="14"/>
  <c r="P52"/>
  <c r="N88"/>
  <c r="N18" i="59" s="1"/>
  <c r="K20" i="18"/>
  <c r="N17" i="59"/>
  <c r="O78" i="14"/>
  <c r="O9" i="59"/>
  <c r="O10" s="1"/>
  <c r="O19"/>
  <c r="O20" s="1"/>
  <c r="O90" i="14"/>
  <c r="L17" i="59"/>
  <c r="L20" s="1"/>
  <c r="L90" i="14"/>
  <c r="F10" i="18"/>
  <c r="G77" i="14"/>
  <c r="O19" i="18"/>
  <c r="K22" i="14"/>
  <c r="Q11" i="48"/>
  <c r="J22" i="14"/>
  <c r="N10" i="59"/>
  <c r="I9" i="18"/>
  <c r="I77" i="14" s="1"/>
  <c r="I9" i="59" s="1"/>
  <c r="L78" i="14"/>
  <c r="L8" i="59"/>
  <c r="L10" s="1"/>
  <c r="H90" i="14"/>
  <c r="H18" i="59"/>
  <c r="H78" i="14"/>
  <c r="H8" i="59"/>
  <c r="H10" s="1"/>
  <c r="K10"/>
  <c r="H20"/>
  <c r="E89" i="14"/>
  <c r="E19" i="59" s="1"/>
  <c r="C98" i="18"/>
  <c r="D101" s="1"/>
  <c r="B10"/>
  <c r="L10"/>
  <c r="C13" i="15"/>
  <c r="K90" i="14"/>
  <c r="E20" i="59"/>
  <c r="K10" i="18"/>
  <c r="B13" i="15"/>
  <c r="F20" i="18"/>
  <c r="E10" i="59"/>
  <c r="B17" i="18"/>
  <c r="B20" s="1"/>
  <c r="K20" i="59"/>
  <c r="L13" i="15"/>
  <c r="N13"/>
  <c r="Q77" i="14"/>
  <c r="P9" i="59" s="1"/>
  <c r="O18" i="18"/>
  <c r="B89" i="14"/>
  <c r="B19" i="59" s="1"/>
  <c r="G88" i="14"/>
  <c r="F89"/>
  <c r="I101" i="18"/>
  <c r="H8" s="1"/>
  <c r="E101"/>
  <c r="E8" s="1"/>
  <c r="H101"/>
  <c r="G101"/>
  <c r="C101"/>
  <c r="F101"/>
  <c r="B101"/>
  <c r="C8" s="1"/>
  <c r="I102"/>
  <c r="H17" s="1"/>
  <c r="E102"/>
  <c r="E17" s="1"/>
  <c r="H102"/>
  <c r="D102"/>
  <c r="G102"/>
  <c r="C102"/>
  <c r="F102"/>
  <c r="B102"/>
  <c r="C17" s="1"/>
  <c r="Q88" i="14"/>
  <c r="P18" i="59" s="1"/>
  <c r="O24" i="48"/>
  <c r="O30"/>
  <c r="P24"/>
  <c r="P30"/>
  <c r="C88" i="14"/>
  <c r="C18" i="59" s="1"/>
  <c r="E78" i="14"/>
  <c r="N78"/>
  <c r="G90" l="1"/>
  <c r="G18" i="59"/>
  <c r="G20" s="1"/>
  <c r="C89" i="14"/>
  <c r="C19" i="59" s="1"/>
  <c r="F19"/>
  <c r="N20"/>
  <c r="G9"/>
  <c r="G10" s="1"/>
  <c r="G78" i="14"/>
  <c r="N90"/>
  <c r="B88"/>
  <c r="B18" i="59" s="1"/>
  <c r="E90" i="14"/>
  <c r="B77"/>
  <c r="B9" i="59" s="1"/>
  <c r="C77" i="14"/>
  <c r="C9" i="59" s="1"/>
  <c r="Q14" i="48"/>
  <c r="O9" i="18"/>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8" i="48"/>
  <c r="D30"/>
  <c r="D31"/>
  <c r="D29"/>
  <c r="D24"/>
  <c r="D32"/>
  <c r="K27"/>
  <c r="K32"/>
  <c r="K31"/>
  <c r="K25"/>
  <c r="K26"/>
  <c r="K29"/>
  <c r="K22"/>
  <c r="K30"/>
  <c r="K24"/>
  <c r="K28"/>
  <c r="J32"/>
  <c r="J31"/>
  <c r="J29"/>
  <c r="J27"/>
  <c r="J24"/>
  <c r="J28"/>
  <c r="J30"/>
  <c r="I32"/>
  <c r="I25"/>
  <c r="I29"/>
  <c r="I26"/>
  <c r="I28"/>
  <c r="I22"/>
  <c r="I30"/>
  <c r="I31"/>
  <c r="I27"/>
  <c r="I24"/>
  <c r="D4"/>
  <c r="D22" s="1"/>
  <c r="E11" i="14"/>
  <c r="C4" i="48"/>
  <c r="D11" i="14"/>
  <c r="B4" i="48"/>
  <c r="C11" i="14"/>
  <c r="F28" i="48"/>
  <c r="F27"/>
  <c r="F32"/>
  <c r="F31"/>
  <c r="F29"/>
  <c r="F24"/>
  <c r="F30"/>
  <c r="N28"/>
  <c r="N27"/>
  <c r="N32"/>
  <c r="N24"/>
  <c r="N31"/>
  <c r="N29"/>
  <c r="N30"/>
  <c r="C19" i="14"/>
  <c r="B10" i="48"/>
  <c r="L28"/>
  <c r="L27"/>
  <c r="L32"/>
  <c r="L29"/>
  <c r="L31"/>
  <c r="L30"/>
  <c r="L24"/>
  <c r="L22"/>
  <c r="P5"/>
  <c r="P23" s="1"/>
  <c r="Q10" i="14"/>
  <c r="C24"/>
  <c r="C26" s="1"/>
  <c r="B7" i="48"/>
  <c r="P4"/>
  <c r="Q11" i="14"/>
  <c r="P11"/>
  <c r="O4" i="48"/>
  <c r="H32"/>
  <c r="H25"/>
  <c r="H26"/>
  <c r="H28"/>
  <c r="H29"/>
  <c r="H22"/>
  <c r="H30"/>
  <c r="H24"/>
  <c r="H23"/>
  <c r="G26"/>
  <c r="G32"/>
  <c r="G25"/>
  <c r="G22"/>
  <c r="G29"/>
  <c r="G24"/>
  <c r="G30"/>
  <c r="G23"/>
  <c r="E28"/>
  <c r="E32"/>
  <c r="E31"/>
  <c r="E30"/>
  <c r="E29"/>
  <c r="E24"/>
  <c r="M32"/>
  <c r="M25"/>
  <c r="M26"/>
  <c r="M30"/>
  <c r="M29"/>
  <c r="M24"/>
  <c r="M22"/>
  <c r="M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M12" i="22"/>
  <c r="M13" i="48"/>
  <c r="M31" s="1"/>
  <c r="N18" i="14"/>
  <c r="K23" i="48"/>
  <c r="K33" s="1"/>
  <c r="K15"/>
  <c r="G13"/>
  <c r="H18" i="14"/>
  <c r="I18"/>
  <c r="H13" i="48"/>
  <c r="H31" s="1"/>
  <c r="C20" i="14"/>
  <c r="B9" i="48"/>
  <c r="I5"/>
  <c r="J10" i="14"/>
  <c r="J16" s="1"/>
  <c r="J27" s="1"/>
  <c r="P22" i="48"/>
  <c r="O22"/>
  <c r="I20" i="15"/>
  <c r="J40" i="14" s="1"/>
  <c r="J46" s="1"/>
  <c r="J61" s="1"/>
  <c r="F4" i="48"/>
  <c r="F22" s="1"/>
  <c r="G11" i="14"/>
  <c r="Q13"/>
  <c r="Q16" s="1"/>
  <c r="Q27" s="1"/>
  <c r="Q63" s="1"/>
  <c r="P8" i="48"/>
  <c r="P26" s="1"/>
  <c r="F20" i="14"/>
  <c r="F22" s="1"/>
  <c r="E9" i="48"/>
  <c r="E27" s="1"/>
  <c r="E20" i="14"/>
  <c r="E22" s="1"/>
  <c r="D9" i="48"/>
  <c r="D27" s="1"/>
  <c r="P10" i="14"/>
  <c r="O5" i="48"/>
  <c r="O23" s="1"/>
  <c r="J7"/>
  <c r="J25" s="1"/>
  <c r="K24" i="14"/>
  <c r="K26"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E12" i="13"/>
  <c r="F41" i="14" s="1"/>
  <c r="E4" i="48"/>
  <c r="F11" i="14"/>
  <c r="G31" i="48"/>
  <c r="Q13"/>
  <c r="R18" i="14"/>
  <c r="J63"/>
  <c r="P15" i="48"/>
  <c r="M10"/>
  <c r="M28" s="1"/>
  <c r="N19" i="14"/>
  <c r="P33" i="48"/>
  <c r="I22" i="14"/>
  <c r="I27" s="1"/>
  <c r="G14" i="22"/>
  <c r="P16" i="14"/>
  <c r="P27" s="1"/>
  <c r="G10" i="48"/>
  <c r="H19" i="14"/>
  <c r="R19" s="1"/>
  <c r="I23" i="48"/>
  <c r="I33" s="1"/>
  <c r="I15"/>
  <c r="J4"/>
  <c r="K11" i="14"/>
  <c r="F24"/>
  <c r="F26" s="1"/>
  <c r="E7" i="48"/>
  <c r="E25" s="1"/>
  <c r="N20" i="14"/>
  <c r="M9" i="48"/>
  <c r="O22" i="16"/>
  <c r="P43" i="14" s="1"/>
  <c r="P46" s="1"/>
  <c r="P61" s="1"/>
  <c r="P63" s="1"/>
  <c r="O8" i="48"/>
  <c r="P13" i="14"/>
  <c r="I20"/>
  <c r="H9" i="48"/>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7" i="48" l="1"/>
  <c r="H33" s="1"/>
  <c r="H15"/>
  <c r="E5"/>
  <c r="E23" s="1"/>
  <c r="F10" i="14"/>
  <c r="G28" i="48"/>
  <c r="Q10"/>
  <c r="J5"/>
  <c r="J23" s="1"/>
  <c r="K10" i="14"/>
  <c r="M27" i="48"/>
  <c r="M33" s="1"/>
  <c r="M15"/>
  <c r="O26"/>
  <c r="O33" s="1"/>
  <c r="O15"/>
  <c r="E22"/>
  <c r="Q4"/>
  <c r="J22"/>
  <c r="H20" i="14"/>
  <c r="G9" i="48"/>
  <c r="R11" i="14"/>
  <c r="R24"/>
  <c r="R26" s="1"/>
  <c r="Q7" i="48"/>
  <c r="E20" i="15"/>
  <c r="F40" i="14" s="1"/>
  <c r="J18" i="16"/>
  <c r="E18"/>
  <c r="F18"/>
  <c r="F22" s="1"/>
  <c r="G43" i="14" s="1"/>
  <c r="N18" i="16"/>
  <c r="G18" i="22"/>
  <c r="H50" i="14" s="1"/>
  <c r="H52" s="1"/>
  <c r="H61" s="1"/>
  <c r="E22" i="16"/>
  <c r="F43" i="14" s="1"/>
  <c r="H18" i="22"/>
  <c r="I50" i="14" s="1"/>
  <c r="I52" s="1"/>
  <c r="I61" s="1"/>
  <c r="I63" s="1"/>
  <c r="H22" l="1"/>
  <c r="H27" s="1"/>
  <c r="H63" s="1"/>
  <c r="R20"/>
  <c r="R22" s="1"/>
  <c r="J22" i="16"/>
  <c r="K43" i="14" s="1"/>
  <c r="K46" s="1"/>
  <c r="K61" s="1"/>
  <c r="K63" s="1"/>
  <c r="J8" i="48"/>
  <c r="J26" s="1"/>
  <c r="J33" s="1"/>
  <c r="K13" i="14"/>
  <c r="G27" i="48"/>
  <c r="G33" s="1"/>
  <c r="G15"/>
  <c r="Q9"/>
  <c r="F13" i="14"/>
  <c r="E8" i="48"/>
  <c r="E26" s="1"/>
  <c r="J15"/>
  <c r="K16" i="14"/>
  <c r="K27" s="1"/>
  <c r="F46"/>
  <c r="F61" s="1"/>
  <c r="F63" s="1"/>
  <c r="F16"/>
  <c r="F27" s="1"/>
  <c r="E33" i="48"/>
  <c r="E15"/>
  <c r="N8"/>
  <c r="N26" s="1"/>
  <c r="O13" i="14"/>
  <c r="N22" i="16"/>
  <c r="O43" i="14" s="1"/>
  <c r="G13"/>
  <c r="F8" i="48"/>
  <c r="R1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<sst xmlns="http://schemas.openxmlformats.org/spreadsheetml/2006/main" count="2392" uniqueCount="890">
  <si>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</si>
  <si>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</si>
  <si>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</si>
  <si>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</si>
  <si>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</si>
  <si>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</si>
  <si>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</si>
  <si>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</si>
  <si>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</si>
  <si>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</si>
  <si>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</si>
  <si>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</si>
  <si>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</si>
  <si>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</si>
  <si>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</si>
  <si>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</si>
  <si>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</si>
  <si>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</si>
  <si>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</si>
  <si>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</si>
  <si>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</si>
  <si>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</si>
  <si>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</si>
  <si>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</si>
  <si>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</si>
  <si>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</si>
  <si>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</si>
  <si>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</si>
  <si>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</si>
  <si>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</si>
  <si>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</si>
  <si>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</si>
  <si>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</si>
  <si>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</si>
  <si>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</si>
  <si>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</si>
  <si>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</si>
  <si>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</si>
  <si>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</si>
  <si>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</si>
  <si>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</si>
  <si>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</si>
  <si>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</si>
  <si>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</si>
  <si>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</si>
  <si>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</si>
  <si>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</si>
  <si>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</si>
  <si>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</si>
  <si>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</si>
  <si>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</si>
  <si>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</si>
  <si>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</si>
  <si>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</si>
  <si>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</si>
  <si>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</si>
  <si>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</si>
  <si>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</si>
  <si>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</si>
  <si>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</si>
  <si>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</si>
  <si>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</si>
  <si>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</si>
  <si>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</si>
  <si>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</si>
  <si>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</si>
  <si>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</si>
  <si>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</si>
  <si>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</si>
  <si>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</si>
  <si>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</si>
  <si>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</si>
  <si>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</si>
  <si>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</si>
  <si>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</si>
  <si>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</si>
  <si>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</si>
  <si>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</si>
  <si>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</si>
  <si>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</si>
  <si>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</si>
  <si>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</si>
  <si>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</si>
  <si>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</si>
  <si>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</si>
  <si>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</si>
  <si>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</si>
  <si>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</si>
  <si>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</si>
  <si>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</si>
  <si>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</si>
  <si>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</si>
  <si>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</si>
  <si>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</si>
  <si>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</si>
  <si>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</si>
  <si>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</si>
  <si>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</si>
  <si>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</si>
  <si>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</si>
  <si>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</si>
  <si>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</si>
  <si>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</si>
  <si>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</si>
  <si>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</si>
  <si>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</si>
  <si>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</si>
  <si>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</si>
  <si>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</si>
  <si>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</si>
  <si>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</si>
  <si>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</si>
  <si>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</si>
  <si>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</si>
  <si>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</si>
  <si>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</si>
  <si>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</si>
  <si>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</si>
  <si>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</si>
  <si>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</si>
  <si>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</si>
  <si>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</si>
  <si>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</si>
  <si>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</si>
  <si>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</si>
  <si>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</si>
  <si>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</si>
  <si>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</si>
  <si>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</si>
  <si>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</si>
  <si>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</si>
  <si>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</si>
  <si>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</si>
  <si>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</si>
  <si>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</si>
  <si>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</si>
  <si>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</si>
  <si>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</si>
  <si>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</si>
  <si>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</si>
  <si>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</si>
  <si>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</si>
  <si>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</si>
  <si>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</si>
  <si>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</si>
  <si>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</si>
  <si>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</si>
  <si>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</si>
  <si>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</si>
  <si>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</si>
  <si>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</si>
  <si>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</si>
  <si>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</si>
  <si>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</si>
  <si>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</si>
  <si>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</si>
  <si>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</si>
  <si>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</si>
  <si>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</si>
  <si>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</si>
  <si>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</si>
  <si>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</si>
  <si>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</si>
  <si>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</si>
  <si>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</si>
  <si>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</si>
  <si>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</si>
  <si>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</si>
  <si>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</si>
  <si>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</si>
  <si>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</si>
  <si>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</si>
  <si>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</si>
  <si>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</si>
  <si>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</si>
  <si>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</si>
  <si>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</si>
  <si>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</si>
  <si>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</si>
  <si>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</si>
  <si>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</si>
  <si>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</si>
  <si>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</si>
  <si>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</si>
  <si>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</si>
  <si>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</si>
  <si>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</si>
  <si>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</si>
  <si>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</si>
  <si>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</si>
  <si>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</si>
  <si>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</si>
  <si>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</si>
  <si>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</si>
  <si>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</si>
  <si>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</si>
  <si>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</si>
  <si>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</si>
  <si>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</si>
  <si>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</si>
  <si>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</si>
  <si>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</si>
  <si>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</si>
  <si>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</si>
  <si>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</si>
  <si>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</si>
  <si>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</si>
  <si>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</si>
  <si>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</si>
  <si>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</si>
  <si>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</si>
  <si>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</si>
  <si>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</si>
  <si>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</si>
  <si>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</si>
  <si>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</si>
  <si>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</si>
  <si>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</si>
  <si>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</si>
  <si>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</si>
  <si>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</si>
  <si>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</si>
  <si>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</si>
  <si>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</si>
  <si>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</si>
  <si>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</si>
  <si>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</si>
  <si>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</si>
  <si>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</si>
  <si>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</si>
  <si>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</si>
  <si>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</si>
  <si>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</si>
  <si>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</si>
  <si>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</si>
  <si>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</si>
  <si>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</si>
  <si>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</si>
  <si>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</si>
  <si>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</si>
  <si>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</si>
  <si>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</si>
  <si>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</si>
  <si>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</si>
  <si>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</si>
  <si>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</si>
  <si>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</si>
  <si>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</si>
  <si>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</si>
  <si>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</si>
  <si>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</si>
  <si>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</si>
  <si>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</si>
  <si>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</si>
  <si>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</si>
  <si>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</si>
  <si>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</si>
  <si>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</si>
  <si>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</si>
  <si>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</si>
  <si>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</si>
  <si>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</si>
  <si>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</si>
  <si>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</si>
  <si>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</si>
  <si>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</si>
  <si>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</si>
  <si>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</si>
  <si>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</si>
  <si>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</si>
  <si>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</si>
  <si>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</si>
  <si>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</si>
  <si>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</si>
  <si>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</si>
  <si>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</si>
  <si>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</si>
  <si>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</si>
  <si>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</si>
  <si>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</si>
  <si>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</si>
  <si>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</si>
  <si>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</si>
  <si>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</si>
  <si>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</si>
  <si>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</si>
  <si>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</si>
  <si>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</si>
  <si>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</si>
  <si>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</si>
  <si>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</si>
  <si>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</si>
  <si>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</si>
  <si>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</si>
  <si>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</si>
  <si>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</si>
  <si>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</si>
  <si>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</si>
  <si>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</si>
  <si>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</si>
  <si>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</si>
  <si>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</si>
  <si>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</si>
  <si>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</si>
  <si>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</si>
  <si>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</si>
  <si>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</si>
  <si>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</si>
  <si>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</si>
  <si>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</si>
  <si>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</si>
  <si>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</si>
  <si>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</si>
  <si>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</si>
  <si>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</si>
  <si>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</si>
  <si>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</si>
  <si>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</si>
  <si>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</si>
  <si>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</si>
  <si>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</si>
  <si>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</si>
  <si>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</si>
  <si>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</si>
  <si>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</si>
  <si>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</si>
  <si>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</si>
  <si>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</si>
  <si>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</si>
  <si>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</si>
  <si>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</si>
  <si>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</si>
  <si>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</si>
  <si>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</si>
  <si>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</si>
  <si>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</si>
  <si>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</si>
  <si>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</si>
  <si>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</si>
  <si>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</si>
  <si>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</si>
  <si>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</si>
  <si>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</si>
  <si>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</si>
  <si>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</si>
  <si>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</si>
  <si>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</si>
  <si>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</si>
  <si>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</si>
  <si>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</si>
  <si>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</si>
  <si>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</si>
  <si>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</si>
  <si>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</si>
  <si>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</si>
  <si>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</si>
  <si>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</si>
  <si>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</si>
  <si>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</si>
  <si>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</si>
  <si>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</si>
  <si>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</si>
  <si>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</si>
  <si>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</si>
  <si>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</si>
  <si>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</si>
  <si>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</si>
  <si>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</si>
  <si>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</si>
  <si>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</si>
  <si>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</si>
  <si>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</si>
  <si>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</si>
  <si>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</si>
  <si>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</si>
  <si>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</si>
  <si>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</si>
  <si>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</si>
  <si>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</si>
  <si>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</si>
  <si>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</si>
  <si>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</si>
  <si>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</si>
  <si>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</si>
  <si>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</si>
  <si>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</si>
  <si>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</si>
  <si>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</si>
  <si>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</si>
  <si>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</si>
  <si>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</si>
  <si>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</si>
  <si>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</si>
  <si>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</si>
  <si>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</si>
  <si>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</si>
  <si>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</si>
  <si>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</si>
  <si>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</si>
  <si>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</si>
  <si>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</si>
  <si>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</si>
  <si>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</si>
  <si>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</si>
  <si>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</si>
  <si>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</si>
  <si>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</si>
  <si>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</si>
  <si>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</si>
  <si>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</si>
  <si>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</si>
  <si>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</si>
  <si>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</si>
  <si>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</si>
  <si>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</si>
  <si>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</si>
  <si>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</si>
  <si>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</si>
  <si>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</si>
  <si>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</si>
  <si>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</si>
  <si>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</si>
  <si>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</si>
  <si>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</si>
  <si>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</si>
  <si>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</si>
  <si>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</si>
  <si>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</si>
  <si>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</si>
  <si>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</si>
  <si>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</si>
  <si>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</si>
  <si>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</si>
  <si>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</si>
  <si>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</si>
  <si>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</si>
  <si>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</si>
  <si>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</si>
  <si>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</si>
  <si>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</si>
  <si>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</si>
  <si>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</si>
  <si>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</si>
  <si>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</si>
  <si>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</si>
  <si>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</si>
  <si>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</si>
  <si>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</si>
  <si>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</si>
  <si>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</si>
  <si>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</si>
  <si>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</si>
  <si>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</si>
  <si>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</si>
  <si>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</si>
  <si>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</si>
  <si>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</si>
  <si>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</si>
  <si>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</si>
  <si>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</si>
  <si>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</si>
  <si>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</si>
  <si>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</si>
  <si>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</si>
  <si>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</si>
  <si>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</si>
  <si>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</si>
  <si>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</si>
  <si>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</si>
  <si>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</si>
  <si>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</si>
  <si>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</si>
  <si>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</si>
  <si>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</si>
  <si>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</si>
  <si>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</si>
  <si>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</si>
  <si>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</si>
  <si>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</si>
  <si>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</si>
  <si>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</si>
  <si>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</si>
  <si>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</si>
  <si>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</si>
  <si>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</si>
  <si>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</si>
  <si>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</si>
  <si>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</si>
  <si>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</si>
  <si>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</si>
  <si>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</si>
  <si>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</si>
  <si>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</si>
  <si>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</si>
  <si>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</si>
  <si>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</si>
  <si>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</si>
  <si>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</si>
  <si>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</si>
  <si>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</si>
  <si>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</si>
  <si>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</si>
  <si>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</si>
  <si>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</si>
  <si>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</si>
  <si>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</si>
  <si>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</si>
  <si>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</si>
  <si>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</si>
  <si>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</si>
  <si>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</si>
  <si>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</si>
  <si>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</si>
  <si>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</si>
  <si>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</si>
  <si>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</si>
  <si>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</si>
  <si>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</si>
  <si>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</si>
  <si>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</si>
  <si>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</si>
  <si>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</si>
  <si>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</si>
  <si>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</si>
  <si>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</si>
  <si>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</si>
  <si>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</si>
  <si>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</si>
  <si>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</si>
  <si>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</si>
  <si>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</si>
  <si>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</si>
  <si>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</si>
  <si>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</si>
  <si>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</si>
  <si>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</si>
  <si>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</si>
  <si>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</si>
  <si>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</si>
  <si>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</si>
  <si>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</si>
  <si>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</si>
  <si>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</si>
  <si>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</si>
  <si>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</si>
  <si>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</si>
  <si>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</si>
  <si>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</si>
  <si>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</si>
  <si>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</si>
  <si>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</si>
  <si>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</si>
  <si>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</si>
  <si>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</si>
  <si>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</si>
  <si>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</si>
  <si>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</si>
  <si>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</si>
  <si>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</si>
  <si>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</si>
  <si>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</si>
  <si>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</si>
  <si>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</si>
  <si>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</si>
  <si>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</si>
  <si>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</si>
  <si>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</si>
  <si>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</si>
  <si>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</si>
  <si>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</si>
  <si>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</si>
  <si>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</si>
  <si>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</si>
  <si>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</si>
  <si>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</si>
  <si>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</si>
  <si>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</si>
  <si>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</si>
  <si>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</si>
  <si>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</si>
  <si>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</si>
  <si>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</si>
  <si>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</si>
  <si>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</si>
  <si>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</si>
  <si>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</si>
  <si>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</si>
  <si>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</si>
  <si>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</si>
  <si>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</si>
  <si>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</si>
  <si>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</si>
  <si>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</si>
  <si>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</si>
  <si>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</si>
  <si>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</si>
  <si>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</si>
  <si>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</si>
  <si>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</si>
  <si>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</si>
  <si>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</si>
  <si>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</si>
  <si>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</si>
  <si>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</si>
  <si>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</si>
  <si>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</si>
  <si>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</si>
  <si>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</si>
  <si>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</si>
  <si>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</si>
  <si>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</si>
  <si>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</si>
  <si>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</si>
  <si>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</si>
  <si>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</si>
  <si>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</si>
  <si>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</si>
  <si>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</si>
  <si>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</si>
  <si>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</si>
  <si>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</si>
  <si>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</si>
  <si>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</si>
  <si>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</si>
  <si>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</si>
  <si>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</si>
  <si>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</si>
  <si>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</si>
  <si>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</si>
  <si>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</si>
  <si>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</si>
  <si>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</si>
  <si>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</si>
  <si>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</si>
  <si>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</si>
  <si>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</si>
  <si>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</si>
  <si>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</si>
  <si>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</si>
  <si>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</si>
  <si>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</si>
  <si>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</si>
  <si>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</si>
  <si>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</si>
  <si>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</si>
  <si>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</si>
  <si>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</si>
  <si>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</si>
  <si>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</si>
  <si>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</si>
  <si>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</si>
  <si>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</si>
  <si>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</si>
  <si>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</si>
  <si>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</si>
  <si>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</si>
  <si>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</si>
  <si>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</si>
  <si>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</si>
  <si>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</si>
  <si>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</si>
  <si>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</si>
  <si>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</si>
  <si>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</si>
  <si>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</si>
  <si>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</si>
  <si>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</si>
  <si>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</si>
  <si>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</si>
  <si>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</si>
  <si>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</si>
  <si>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</si>
  <si>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</si>
  <si>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</si>
  <si>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</si>
  <si>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</si>
  <si>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</si>
  <si>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</si>
  <si>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</si>
  <si>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</si>
  <si>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</si>
  <si>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</si>
  <si>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</si>
  <si>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</si>
  <si>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</si>
  <si>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</si>
  <si>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</si>
  <si>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</si>
  <si>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</si>
  <si>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</si>
  <si>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</si>
  <si>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</si>
  <si>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</si>
  <si>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</si>
  <si>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</si>
  <si>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</si>
  <si>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</si>
  <si>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</si>
  <si>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</si>
  <si>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</si>
  <si>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</si>
  <si>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</si>
  <si>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</si>
  <si>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</si>
  <si>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</si>
  <si>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</si>
  <si>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</si>
  <si>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</si>
  <si>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</si>
  <si>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</si>
  <si>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</si>
  <si>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</si>
  <si>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</si>
  <si>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</si>
  <si>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</si>
  <si>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</si>
  <si>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</si>
  <si>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</si>
  <si>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</si>
  <si>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</si>
  <si>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</si>
  <si>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</si>
  <si>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</si>
  <si>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</si>
  <si>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</si>
  <si>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</si>
  <si>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</si>
  <si>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</si>
  <si>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</si>
  <si>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</si>
  <si>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</si>
  <si>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</si>
  <si>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</si>
  <si>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</si>
  <si>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</si>
  <si>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</si>
  <si>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</si>
  <si>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</si>
  <si>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</si>
  <si>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</si>
  <si>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</si>
  <si>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</si>
  <si>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</si>
  <si>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</si>
  <si>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</si>
  <si>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</si>
  <si>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</si>
  <si>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</si>
  <si>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</si>
  <si>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</si>
  <si>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</si>
  <si>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</si>
  <si>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</si>
  <si>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</si>
  <si>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</si>
  <si>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</si>
  <si>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</si>
  <si>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</si>
  <si>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</si>
  <si>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</si>
  <si>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</si>
  <si>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</si>
  <si>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</si>
  <si>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</si>
  <si>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</si>
  <si>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</si>
  <si>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</si>
  <si>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</si>
  <si>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</si>
  <si>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</si>
  <si>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</si>
  <si>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</si>
  <si>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</si>
  <si>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</si>
  <si>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</si>
  <si>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</si>
  <si>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</si>
  <si>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</si>
  <si>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</si>
  <si>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</si>
  <si>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</si>
  <si>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</si>
  <si>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</si>
  <si>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</si>
  <si>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</si>
  <si>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</si>
  <si>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</si>
  <si>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</si>
  <si>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</si>
  <si>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</si>
  <si>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</si>
  <si>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</si>
  <si>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</si>
  <si>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</si>
  <si>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</si>
  <si>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</si>
  <si>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</si>
  <si>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</si>
  <si>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</si>
  <si>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</si>
  <si>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</si>
  <si>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</si>
  <si>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</si>
  <si>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</si>
  <si>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</si>
  <si>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</si>
  <si>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</si>
  <si>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</si>
  <si>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</si>
  <si>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</si>
  <si>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</si>
  <si>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</si>
  <si>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</si>
  <si>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</si>
  <si>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</si>
  <si>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</si>
  <si>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</si>
  <si>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</si>
  <si>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</si>
  <si>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</si>
  <si>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</si>
  <si>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</si>
  <si>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</si>
  <si>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</si>
  <si>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</si>
  <si>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</si>
  <si>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</si>
  <si>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</si>
  <si>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</si>
  <si>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</si>
  <si>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</si>
  <si>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</si>
  <si>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</si>
  <si>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</si>
  <si>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</si>
  <si>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</si>
  <si>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</si>
  <si>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</si>
  <si>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</si>
  <si>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</si>
  <si>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</si>
  <si>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</si>
  <si>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</si>
  <si>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</si>
  <si>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</si>
  <si>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</si>
  <si>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</si>
  <si>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</si>
  <si>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</si>
  <si>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</si>
  <si>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</si>
  <si>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</si>
  <si>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</si>
  <si>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</si>
  <si>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</si>
  <si>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</si>
  <si>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</si>
  <si>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</si>
  <si>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</si>
  <si>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</si>
  <si>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</si>
  <si>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</si>
  <si>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</si>
  <si>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</si>
  <si>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</si>
  <si>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</si>
  <si>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</si>
  <si>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</si>
  <si>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</si>
  <si>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</si>
  <si>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</si>
  <si>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</si>
  <si>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</si>
  <si>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</si>
  <si>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</si>
  <si>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</si>
  <si>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</si>
  <si>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</si>
  <si>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</si>
  <si>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</si>
  <si>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</si>
  <si>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</si>
  <si>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11005</t>
  </si>
  <si>
    <t>BOOM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</si>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</sst>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105155.75958669608</c:v>
                </c:pt>
                <c:pt idx="1">
                  <c:v>57227.312580759579</c:v>
                </c:pt>
                <c:pt idx="2">
                  <c:v>1002.915</c:v>
                </c:pt>
                <c:pt idx="3">
                  <c:v>239.28052798644555</c:v>
                </c:pt>
                <c:pt idx="4">
                  <c:v>13902.308514253702</c:v>
                </c:pt>
                <c:pt idx="5">
                  <c:v>128634.56905310306</c:v>
                </c:pt>
                <c:pt idx="6">
                  <c:v>2121.6860178552215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21664"/>
        <c:axId val="183523200"/>
      </c:barChart>
      <c:catAx>
        <c:axId val="183521664"/>
        <c:scaling>
          <c:orientation val="minMax"/>
        </c:scaling>
        <c:axPos val="b"/>
        <c:numFmt formatCode="General" sourceLinked="0"/>
        <c:tickLblPos val="nextTo"/>
        <c:crossAx val="183523200"/>
        <c:crosses val="autoZero"/>
        <c:auto val="1"/>
        <c:lblAlgn val="ctr"/>
        <c:lblOffset val="100"/>
      </c:catAx>
      <c:valAx>
        <c:axId val="183523200"/>
        <c:scaling>
          <c:orientation val="minMax"/>
        </c:scaling>
        <c:axPos val="l"/>
        <c:majorGridlines/>
        <c:numFmt formatCode="#,##0" sourceLinked="1"/>
        <c:tickLblPos val="nextTo"/>
        <c:crossAx val="183521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105155.75958669608</c:v>
                </c:pt>
                <c:pt idx="1">
                  <c:v>57227.312580759579</c:v>
                </c:pt>
                <c:pt idx="2">
                  <c:v>1002.915</c:v>
                </c:pt>
                <c:pt idx="3">
                  <c:v>239.28052798644555</c:v>
                </c:pt>
                <c:pt idx="4">
                  <c:v>13902.308514253702</c:v>
                </c:pt>
                <c:pt idx="5">
                  <c:v>128634.56905310306</c:v>
                </c:pt>
                <c:pt idx="6">
                  <c:v>2121.6860178552215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20363.605168506059</c:v>
                </c:pt>
                <c:pt idx="2">
                  <c:v>11460.775283685609</c:v>
                </c:pt>
                <c:pt idx="3">
                  <c:v>192.6658320816999</c:v>
                </c:pt>
                <c:pt idx="4">
                  <c:v>57.786692657814847</c:v>
                </c:pt>
                <c:pt idx="5">
                  <c:v>2639.3131330679594</c:v>
                </c:pt>
                <c:pt idx="6">
                  <c:v>32929.174516578365</c:v>
                </c:pt>
                <c:pt idx="7">
                  <c:v>549.44753349258451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2720"/>
      </c:barChart>
      <c:catAx>
        <c:axId val="184015872"/>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20363.605168506059</c:v>
                </c:pt>
                <c:pt idx="2">
                  <c:v>11460.775283685609</c:v>
                </c:pt>
                <c:pt idx="3">
                  <c:v>192.6658320816999</c:v>
                </c:pt>
                <c:pt idx="4">
                  <c:v>57.786692657814847</c:v>
                </c:pt>
                <c:pt idx="5">
                  <c:v>2639.3131330679594</c:v>
                </c:pt>
                <c:pt idx="6">
                  <c:v>32929.174516578365</c:v>
                </c:pt>
                <c:pt idx="7">
                  <c:v>549.44753349258451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11005</v>
      </c>
      <c r="B6" s="415"/>
      <c r="C6" s="416"/>
    </row>
    <row r="7" spans="1:7" s="413" customFormat="1" ht="15.75" customHeight="1">
      <c r="A7" s="417" t="str">
        <f>txtMunicipality</f>
        <v>BOOM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0.1921058435477582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0.1921058435477582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7370</v>
      </c>
      <c r="C9" s="342">
        <v>7957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48.28</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43</v>
      </c>
      <c r="C29" s="356"/>
      <c r="D29" s="356"/>
      <c r="E29" s="356"/>
      <c r="F29" s="356"/>
    </row>
    <row r="30" spans="1:6">
      <c r="A30" s="355" t="s">
        <v>885</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17789.492187</v>
      </c>
    </row>
    <row r="37" spans="1:6">
      <c r="A37" s="348" t="s">
        <v>25</v>
      </c>
      <c r="B37" s="348" t="s">
        <v>28</v>
      </c>
      <c r="C37" s="334">
        <v>0</v>
      </c>
      <c r="D37" s="334">
        <v>0</v>
      </c>
      <c r="E37" s="334">
        <v>0</v>
      </c>
      <c r="F37" s="334">
        <v>0</v>
      </c>
    </row>
    <row r="38" spans="1:6">
      <c r="A38" s="348" t="s">
        <v>25</v>
      </c>
      <c r="B38" s="348" t="s">
        <v>29</v>
      </c>
      <c r="C38" s="334">
        <v>0</v>
      </c>
      <c r="D38" s="334">
        <v>0</v>
      </c>
      <c r="E38" s="334">
        <v>3</v>
      </c>
      <c r="F38" s="334">
        <v>17379.114898</v>
      </c>
    </row>
    <row r="39" spans="1:6">
      <c r="A39" s="348" t="s">
        <v>30</v>
      </c>
      <c r="B39" s="348" t="s">
        <v>31</v>
      </c>
      <c r="C39" s="334">
        <v>6134</v>
      </c>
      <c r="D39" s="334">
        <v>82890089.768999994</v>
      </c>
      <c r="E39" s="334">
        <v>7550</v>
      </c>
      <c r="F39" s="334">
        <v>25420306.414999999</v>
      </c>
    </row>
    <row r="40" spans="1:6">
      <c r="A40" s="348" t="s">
        <v>30</v>
      </c>
      <c r="B40" s="348" t="s">
        <v>29</v>
      </c>
      <c r="C40" s="334">
        <v>0</v>
      </c>
      <c r="D40" s="334">
        <v>0</v>
      </c>
      <c r="E40" s="334">
        <v>0</v>
      </c>
      <c r="F40" s="334">
        <v>0</v>
      </c>
    </row>
    <row r="41" spans="1:6">
      <c r="A41" s="348" t="s">
        <v>32</v>
      </c>
      <c r="B41" s="348" t="s">
        <v>33</v>
      </c>
      <c r="C41" s="334">
        <v>70</v>
      </c>
      <c r="D41" s="334">
        <v>1271791.3648999999</v>
      </c>
      <c r="E41" s="334">
        <v>126</v>
      </c>
      <c r="F41" s="334">
        <v>670478.99343999999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306816.00180000003</v>
      </c>
      <c r="E44" s="334">
        <v>15</v>
      </c>
      <c r="F44" s="334">
        <v>791708.73419999995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2591004.6146999998</v>
      </c>
      <c r="E48" s="334">
        <v>38</v>
      </c>
      <c r="F48" s="334">
        <v>4290186.8131999997</v>
      </c>
    </row>
    <row r="49" spans="1:6">
      <c r="A49" s="348" t="s">
        <v>32</v>
      </c>
      <c r="B49" s="348" t="s">
        <v>40</v>
      </c>
      <c r="C49" s="334">
        <v>0</v>
      </c>
      <c r="D49" s="334">
        <v>0</v>
      </c>
      <c r="E49" s="334">
        <v>0</v>
      </c>
      <c r="F49" s="334">
        <v>0</v>
      </c>
    </row>
    <row r="50" spans="1:6">
      <c r="A50" s="348" t="s">
        <v>32</v>
      </c>
      <c r="B50" s="348" t="s">
        <v>41</v>
      </c>
      <c r="C50" s="334">
        <v>7</v>
      </c>
      <c r="D50" s="334">
        <v>437416.90002</v>
      </c>
      <c r="E50" s="334">
        <v>12</v>
      </c>
      <c r="F50" s="334">
        <v>341739.03308999998</v>
      </c>
    </row>
    <row r="51" spans="1:6">
      <c r="A51" s="348" t="s">
        <v>42</v>
      </c>
      <c r="B51" s="348" t="s">
        <v>43</v>
      </c>
      <c r="C51" s="334">
        <v>0</v>
      </c>
      <c r="D51" s="334">
        <v>0</v>
      </c>
      <c r="E51" s="334">
        <v>3</v>
      </c>
      <c r="F51" s="334">
        <v>34610.496114000001</v>
      </c>
    </row>
    <row r="52" spans="1:6">
      <c r="A52" s="348" t="s">
        <v>42</v>
      </c>
      <c r="B52" s="348" t="s">
        <v>29</v>
      </c>
      <c r="C52" s="334">
        <v>4</v>
      </c>
      <c r="D52" s="334">
        <v>63214.300432999997</v>
      </c>
      <c r="E52" s="334">
        <v>2</v>
      </c>
      <c r="F52" s="334">
        <v>3164.3230551000001</v>
      </c>
    </row>
    <row r="53" spans="1:6">
      <c r="A53" s="348" t="s">
        <v>44</v>
      </c>
      <c r="B53" s="348" t="s">
        <v>45</v>
      </c>
      <c r="C53" s="334">
        <v>188</v>
      </c>
      <c r="D53" s="334">
        <v>3827799.3742</v>
      </c>
      <c r="E53" s="334">
        <v>376</v>
      </c>
      <c r="F53" s="334">
        <v>2882788.7193999998</v>
      </c>
    </row>
    <row r="54" spans="1:6">
      <c r="A54" s="348" t="s">
        <v>46</v>
      </c>
      <c r="B54" s="348" t="s">
        <v>47</v>
      </c>
      <c r="C54" s="334">
        <v>0</v>
      </c>
      <c r="D54" s="334">
        <v>0</v>
      </c>
      <c r="E54" s="334">
        <v>1</v>
      </c>
      <c r="F54" s="334">
        <v>1002915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2202862.4465000001</v>
      </c>
      <c r="E57" s="334">
        <v>73</v>
      </c>
      <c r="F57" s="334">
        <v>1233326.3365</v>
      </c>
    </row>
    <row r="58" spans="1:6">
      <c r="A58" s="348" t="s">
        <v>49</v>
      </c>
      <c r="B58" s="348" t="s">
        <v>51</v>
      </c>
      <c r="C58" s="334">
        <v>24</v>
      </c>
      <c r="D58" s="334">
        <v>958030.59776000003</v>
      </c>
      <c r="E58" s="334">
        <v>39</v>
      </c>
      <c r="F58" s="334">
        <v>405468.64533000003</v>
      </c>
    </row>
    <row r="59" spans="1:6">
      <c r="A59" s="348" t="s">
        <v>49</v>
      </c>
      <c r="B59" s="348" t="s">
        <v>52</v>
      </c>
      <c r="C59" s="334">
        <v>80</v>
      </c>
      <c r="D59" s="334">
        <v>4820694.0903000003</v>
      </c>
      <c r="E59" s="334">
        <v>155</v>
      </c>
      <c r="F59" s="334">
        <v>5692696.8123000003</v>
      </c>
    </row>
    <row r="60" spans="1:6">
      <c r="A60" s="348" t="s">
        <v>49</v>
      </c>
      <c r="B60" s="348" t="s">
        <v>53</v>
      </c>
      <c r="C60" s="334">
        <v>76</v>
      </c>
      <c r="D60" s="334">
        <v>4704743.0521</v>
      </c>
      <c r="E60" s="334">
        <v>151</v>
      </c>
      <c r="F60" s="334">
        <v>2389081.6150000002</v>
      </c>
    </row>
    <row r="61" spans="1:6">
      <c r="A61" s="348" t="s">
        <v>49</v>
      </c>
      <c r="B61" s="348" t="s">
        <v>54</v>
      </c>
      <c r="C61" s="334">
        <v>179</v>
      </c>
      <c r="D61" s="334">
        <v>13428557.887</v>
      </c>
      <c r="E61" s="334">
        <v>424</v>
      </c>
      <c r="F61" s="334">
        <v>5200669.9911000002</v>
      </c>
    </row>
    <row r="62" spans="1:6">
      <c r="A62" s="348" t="s">
        <v>49</v>
      </c>
      <c r="B62" s="348" t="s">
        <v>55</v>
      </c>
      <c r="C62" s="334">
        <v>15</v>
      </c>
      <c r="D62" s="334">
        <v>3330603.3184000002</v>
      </c>
      <c r="E62" s="334">
        <v>20</v>
      </c>
      <c r="F62" s="334">
        <v>1225292.8998</v>
      </c>
    </row>
    <row r="63" spans="1:6">
      <c r="A63" s="348" t="s">
        <v>49</v>
      </c>
      <c r="B63" s="348" t="s">
        <v>29</v>
      </c>
      <c r="C63" s="334">
        <v>84</v>
      </c>
      <c r="D63" s="334">
        <v>5089312.1776000001</v>
      </c>
      <c r="E63" s="334">
        <v>96</v>
      </c>
      <c r="F63" s="334">
        <v>3090660.9325999999</v>
      </c>
    </row>
    <row r="64" spans="1:6">
      <c r="A64" s="348" t="s">
        <v>56</v>
      </c>
      <c r="B64" s="348" t="s">
        <v>57</v>
      </c>
      <c r="C64" s="334">
        <v>0</v>
      </c>
      <c r="D64" s="334">
        <v>0</v>
      </c>
      <c r="E64" s="334">
        <v>0</v>
      </c>
      <c r="F64" s="334">
        <v>0</v>
      </c>
    </row>
    <row r="65" spans="1:6">
      <c r="A65" s="348" t="s">
        <v>56</v>
      </c>
      <c r="B65" s="348" t="s">
        <v>29</v>
      </c>
      <c r="C65" s="334">
        <v>1</v>
      </c>
      <c r="D65" s="334">
        <v>144998.66766000001</v>
      </c>
      <c r="E65" s="334">
        <v>1</v>
      </c>
      <c r="F65" s="334">
        <v>4123.1406221999996</v>
      </c>
    </row>
    <row r="66" spans="1:6">
      <c r="A66" s="348" t="s">
        <v>56</v>
      </c>
      <c r="B66" s="348" t="s">
        <v>58</v>
      </c>
      <c r="C66" s="334">
        <v>0</v>
      </c>
      <c r="D66" s="334">
        <v>0</v>
      </c>
      <c r="E66" s="334">
        <v>8</v>
      </c>
      <c r="F66" s="334">
        <v>283718</v>
      </c>
    </row>
    <row r="67" spans="1:6">
      <c r="A67" s="355" t="s">
        <v>56</v>
      </c>
      <c r="B67" s="355" t="s">
        <v>59</v>
      </c>
      <c r="C67" s="334">
        <v>0</v>
      </c>
      <c r="D67" s="334">
        <v>0</v>
      </c>
      <c r="E67" s="334">
        <v>0</v>
      </c>
      <c r="F67" s="334">
        <v>0</v>
      </c>
    </row>
    <row r="68" spans="1:6">
      <c r="A68" s="341" t="s">
        <v>56</v>
      </c>
      <c r="B68" s="341" t="s">
        <v>60</v>
      </c>
      <c r="C68" s="334">
        <v>5</v>
      </c>
      <c r="D68" s="334">
        <v>97932.268872000001</v>
      </c>
      <c r="E68" s="334">
        <v>5</v>
      </c>
      <c r="F68" s="334">
        <v>46964.419494000002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82062336</v>
      </c>
      <c r="E73" s="475">
        <v>84596391.079452053</v>
      </c>
    </row>
    <row r="74" spans="1:6">
      <c r="A74" s="348" t="s">
        <v>64</v>
      </c>
      <c r="B74" s="348" t="s">
        <v>667</v>
      </c>
      <c r="C74" s="1294" t="s">
        <v>669</v>
      </c>
      <c r="D74" s="475">
        <v>7308851.030368058</v>
      </c>
      <c r="E74" s="475">
        <v>7461205.86668735</v>
      </c>
    </row>
    <row r="75" spans="1:6">
      <c r="A75" s="348" t="s">
        <v>65</v>
      </c>
      <c r="B75" s="348" t="s">
        <v>666</v>
      </c>
      <c r="C75" s="1294" t="s">
        <v>670</v>
      </c>
      <c r="D75" s="475">
        <v>15235589</v>
      </c>
      <c r="E75" s="475">
        <v>15703896.260144724</v>
      </c>
    </row>
    <row r="76" spans="1:6">
      <c r="A76" s="348" t="s">
        <v>65</v>
      </c>
      <c r="B76" s="348" t="s">
        <v>667</v>
      </c>
      <c r="C76" s="1294" t="s">
        <v>671</v>
      </c>
      <c r="D76" s="475">
        <v>892939.03036805801</v>
      </c>
      <c r="E76" s="475">
        <v>919292.51005387306</v>
      </c>
    </row>
    <row r="77" spans="1:6">
      <c r="A77" s="348" t="s">
        <v>66</v>
      </c>
      <c r="B77" s="348" t="s">
        <v>666</v>
      </c>
      <c r="C77" s="1294" t="s">
        <v>672</v>
      </c>
      <c r="D77" s="475">
        <v>45794986</v>
      </c>
      <c r="E77" s="475">
        <v>49522253.834483288</v>
      </c>
    </row>
    <row r="78" spans="1:6">
      <c r="A78" s="341" t="s">
        <v>66</v>
      </c>
      <c r="B78" s="341" t="s">
        <v>667</v>
      </c>
      <c r="C78" s="341" t="s">
        <v>673</v>
      </c>
      <c r="D78" s="1295">
        <v>4987245</v>
      </c>
      <c r="E78" s="1295">
        <v>5337199.7854307061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569855.93926388409</v>
      </c>
      <c r="C83" s="475">
        <v>569855.93926388409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1117.0196072684673</v>
      </c>
    </row>
    <row r="92" spans="1:6">
      <c r="A92" s="341" t="s">
        <v>69</v>
      </c>
      <c r="B92" s="342">
        <v>6181.7812106527263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30</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55825.647079426431</v>
      </c>
      <c r="C3" s="43" t="s">
        <v>170</v>
      </c>
      <c r="D3" s="43"/>
      <c r="E3" s="154"/>
      <c r="F3" s="43"/>
      <c r="G3" s="43"/>
      <c r="H3" s="43"/>
      <c r="I3" s="43"/>
      <c r="J3" s="43"/>
      <c r="K3" s="96"/>
    </row>
    <row r="4" spans="1:11">
      <c r="A4" s="383" t="s">
        <v>171</v>
      </c>
      <c r="B4" s="49">
        <f>IF(ISERROR('SEAP template'!B78+'SEAP template'!C78),0,'SEAP template'!B78+'SEAP template'!C78)</f>
        <v>7298.8008179211938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0.1921058435477582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1002.915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1002.915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0.1921058435477582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192.6658320816999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25420.306414999999</v>
      </c>
      <c r="C5" s="17">
        <f>IF(ISERROR('Eigen informatie GS &amp; warmtenet'!B57),0,'Eigen informatie GS &amp; warmtenet'!B57)</f>
        <v>0</v>
      </c>
      <c r="D5" s="30">
        <f>(SUM(HH_hh_gas_kWh,HH_rest_gas_kWh)/1000)*0.902</f>
        <v>74766.860971638002</v>
      </c>
      <c r="E5" s="17">
        <f>B46*B57</f>
        <v>716.84515958335317</v>
      </c>
      <c r="F5" s="17">
        <f>B51*B62</f>
        <v>0</v>
      </c>
      <c r="G5" s="18"/>
      <c r="H5" s="17"/>
      <c r="I5" s="17"/>
      <c r="J5" s="17">
        <f>B50*B61+C50*C61</f>
        <v>0</v>
      </c>
      <c r="K5" s="17"/>
      <c r="L5" s="17"/>
      <c r="M5" s="17"/>
      <c r="N5" s="17">
        <f>B48*B59+C48*C59</f>
        <v>2908.4107665396059</v>
      </c>
      <c r="O5" s="17">
        <f>B69*B70*B71</f>
        <v>54.716666666666669</v>
      </c>
      <c r="P5" s="17">
        <f>B77*B78*B79/1000-B77*B78*B79/1000/B80</f>
        <v>171.6</v>
      </c>
    </row>
    <row r="6" spans="1:16">
      <c r="A6" s="16" t="s">
        <v>624</v>
      </c>
      <c r="B6" s="788">
        <f>kWh_PV_kleiner_dan_10kW</f>
        <v>1117.0196072684673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26537.326022268466</v>
      </c>
      <c r="C8" s="21">
        <f>C5</f>
        <v>0</v>
      </c>
      <c r="D8" s="21">
        <f>D5</f>
        <v>74766.860971638002</v>
      </c>
      <c r="E8" s="21">
        <f>E5</f>
        <v>716.84515958335317</v>
      </c>
      <c r="F8" s="21">
        <f>F5</f>
        <v>0</v>
      </c>
      <c r="G8" s="21"/>
      <c r="H8" s="21"/>
      <c r="I8" s="21"/>
      <c r="J8" s="21">
        <f>J5</f>
        <v>0</v>
      </c>
      <c r="K8" s="21"/>
      <c r="L8" s="21">
        <f>L5</f>
        <v>0</v>
      </c>
      <c r="M8" s="21">
        <f>M5</f>
        <v>0</v>
      </c>
      <c r="N8" s="21">
        <f>N5</f>
        <v>2908.4107665396059</v>
      </c>
      <c r="O8" s="21">
        <f>O5</f>
        <v>54.716666666666669</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0.1921058435477582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5097.9754010097586</v>
      </c>
      <c r="C12" s="23">
        <f ca="1">C10*C8</f>
        <v>0</v>
      </c>
      <c r="D12" s="23">
        <f>D8*D10</f>
        <v>15102.905916270878</v>
      </c>
      <c r="E12" s="23">
        <f>E10*E8</f>
        <v>162.72385122542119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7370</v>
      </c>
      <c r="C28" s="36"/>
      <c r="D28" s="228"/>
    </row>
    <row r="29" spans="1:7" s="15" customFormat="1">
      <c r="A29" s="230" t="s">
        <v>699</v>
      </c>
      <c r="B29" s="37">
        <f>SUM(HH_hh_gas_aantal,HH_rest_gas_aantal)</f>
        <v>6134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6134</v>
      </c>
      <c r="C32" s="167">
        <f>IF(ISERROR(B32/SUM($B$32,$B$34,$B$35,$B$36,$B$38,$B$39)*100),0,B32/SUM($B$32,$B$34,$B$35,$B$36,$B$38,$B$39)*100)</f>
        <v>83.331069148213558</v>
      </c>
      <c r="D32" s="233"/>
      <c r="G32" s="15"/>
    </row>
    <row r="33" spans="1:7">
      <c r="A33" s="171" t="s">
        <v>72</v>
      </c>
      <c r="B33" s="34" t="s">
        <v>111</v>
      </c>
      <c r="C33" s="167"/>
      <c r="D33" s="233"/>
      <c r="G33" s="15"/>
    </row>
    <row r="34" spans="1:7">
      <c r="A34" s="171" t="s">
        <v>73</v>
      </c>
      <c r="B34" s="33">
        <f>IF((($B$28-$B$32-$B$39-$B$77-$B$38)*C20/100)&lt;0,0,($B$28-$B$32-$B$39-$B$77-$B$38)*C20/100)</f>
        <v>31.693726937269375</v>
      </c>
      <c r="C34" s="167">
        <f>IF(ISERROR(B34/SUM($B$32,$B$34,$B$35,$B$36,$B$38,$B$39)*100),0,B34/SUM($B$32,$B$34,$B$35,$B$36,$B$38,$B$39)*100)</f>
        <v>0.43056278952953908</v>
      </c>
      <c r="D34" s="233"/>
      <c r="G34" s="15"/>
    </row>
    <row r="35" spans="1:7">
      <c r="A35" s="171" t="s">
        <v>74</v>
      </c>
      <c r="B35" s="33">
        <f>IF((($B$28-$B$32-$B$39-$B$77-$B$38)*C21/100)&lt;0,0,($B$28-$B$32-$B$39-$B$77-$B$38)*C21/100)</f>
        <v>1150.0295202952029</v>
      </c>
      <c r="C35" s="167">
        <f>IF(ISERROR(B35/SUM($B$32,$B$34,$B$35,$B$36,$B$38,$B$39)*100),0,B35/SUM($B$32,$B$34,$B$35,$B$36,$B$38,$B$39)*100)</f>
        <v>15.623278362928989</v>
      </c>
      <c r="D35" s="233"/>
      <c r="G35" s="15"/>
    </row>
    <row r="36" spans="1:7">
      <c r="A36" s="171" t="s">
        <v>75</v>
      </c>
      <c r="B36" s="33">
        <f>IF((($B$28-$B$32-$B$39-$B$77-$B$38)*C22/100)&lt;0,0,($B$28-$B$32-$B$39-$B$77-$B$38)*C22/100)</f>
        <v>45.276752767527668</v>
      </c>
      <c r="C36" s="167">
        <f>IF(ISERROR(B36/SUM($B$32,$B$34,$B$35,$B$36,$B$38,$B$39)*100),0,B36/SUM($B$32,$B$34,$B$35,$B$36,$B$38,$B$39)*100)</f>
        <v>0.61508969932791291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6134</v>
      </c>
      <c r="C44" s="34" t="s">
        <v>111</v>
      </c>
      <c r="D44" s="174"/>
    </row>
    <row r="45" spans="1:7">
      <c r="A45" s="171" t="s">
        <v>72</v>
      </c>
      <c r="B45" s="33" t="str">
        <f t="shared" si="0"/>
        <v>-</v>
      </c>
      <c r="C45" s="34" t="s">
        <v>111</v>
      </c>
      <c r="D45" s="174"/>
    </row>
    <row r="46" spans="1:7">
      <c r="A46" s="171" t="s">
        <v>73</v>
      </c>
      <c r="B46" s="33">
        <f t="shared" si="0"/>
        <v>31.693726937269375</v>
      </c>
      <c r="C46" s="34" t="s">
        <v>111</v>
      </c>
      <c r="D46" s="174"/>
    </row>
    <row r="47" spans="1:7">
      <c r="A47" s="171" t="s">
        <v>74</v>
      </c>
      <c r="B47" s="33">
        <f t="shared" si="0"/>
        <v>1150.0295202952029</v>
      </c>
      <c r="C47" s="34" t="s">
        <v>111</v>
      </c>
      <c r="D47" s="174"/>
    </row>
    <row r="48" spans="1:7">
      <c r="A48" s="171" t="s">
        <v>75</v>
      </c>
      <c r="B48" s="33">
        <f t="shared" si="0"/>
        <v>45.276752767527668</v>
      </c>
      <c r="C48" s="33">
        <f>B48*10</f>
        <v>452.76752767527671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19237.197232630002</v>
      </c>
      <c r="C5" s="17">
        <f>IF(ISERROR('Eigen informatie GS &amp; warmtenet'!B58),0,'Eigen informatie GS &amp; warmtenet'!B58)</f>
        <v>0</v>
      </c>
      <c r="D5" s="30">
        <f>SUM(D6:D12)</f>
        <v>31150.392819833323</v>
      </c>
      <c r="E5" s="17">
        <f>SUM(E6:E12)</f>
        <v>385.29760090275329</v>
      </c>
      <c r="F5" s="17">
        <f>SUM(F6:F12)</f>
        <v>5188.5969168740285</v>
      </c>
      <c r="G5" s="18"/>
      <c r="H5" s="17"/>
      <c r="I5" s="17"/>
      <c r="J5" s="17">
        <f>SUM(J6:J12)</f>
        <v>0</v>
      </c>
      <c r="K5" s="17"/>
      <c r="L5" s="17"/>
      <c r="M5" s="17"/>
      <c r="N5" s="17">
        <f>SUM(N6:N12)</f>
        <v>1264.2646771861394</v>
      </c>
      <c r="O5" s="17">
        <f>B38*B39*B40</f>
        <v>1.5633333333333335</v>
      </c>
      <c r="P5" s="17">
        <f>B46*B47*B48/1000-B46*B47*B48/1000/B49</f>
        <v>0</v>
      </c>
      <c r="R5" s="32"/>
    </row>
    <row r="6" spans="1:18">
      <c r="A6" s="32" t="s">
        <v>54</v>
      </c>
      <c r="B6" s="37">
        <f>B26</f>
        <v>5200.6699911000005</v>
      </c>
      <c r="C6" s="33"/>
      <c r="D6" s="37">
        <f>IF(ISERROR(TER_kantoor_gas_kWh/1000),0,TER_kantoor_gas_kWh/1000)*0.902</f>
        <v>12112.559214074001</v>
      </c>
      <c r="E6" s="33">
        <f>$C$26*'E Balans VL '!I12/100/3.6*1000000</f>
        <v>68.083176479989262</v>
      </c>
      <c r="F6" s="33">
        <f>$C$26*('E Balans VL '!L12+'E Balans VL '!N12)/100/3.6*1000000</f>
        <v>1326.1171060143286</v>
      </c>
      <c r="G6" s="34"/>
      <c r="H6" s="33"/>
      <c r="I6" s="33"/>
      <c r="J6" s="33">
        <f>$C$26*('E Balans VL '!D12+'E Balans VL '!E12)/100/3.6*1000000</f>
        <v>0</v>
      </c>
      <c r="K6" s="33"/>
      <c r="L6" s="33"/>
      <c r="M6" s="33"/>
      <c r="N6" s="33">
        <f>$C$26*'E Balans VL '!Y12/100/3.6*1000000</f>
        <v>5.2181829687325338</v>
      </c>
      <c r="O6" s="33"/>
      <c r="P6" s="33"/>
      <c r="R6" s="32"/>
    </row>
    <row r="7" spans="1:18">
      <c r="A7" s="32" t="s">
        <v>53</v>
      </c>
      <c r="B7" s="37">
        <f t="shared" ref="B7:B12" si="0">B27</f>
        <v>2389.0816150000001</v>
      </c>
      <c r="C7" s="33"/>
      <c r="D7" s="37">
        <f>IF(ISERROR(TER_horeca_gas_kWh/1000),0,TER_horeca_gas_kWh/1000)*0.902</f>
        <v>4243.6782329941998</v>
      </c>
      <c r="E7" s="33">
        <f>$C$27*'E Balans VL '!I9/100/3.6*1000000</f>
        <v>79.064069160535496</v>
      </c>
      <c r="F7" s="33">
        <f>$C$27*('E Balans VL '!L9+'E Balans VL '!N9)/100/3.6*1000000</f>
        <v>1027.2959383801926</v>
      </c>
      <c r="G7" s="34"/>
      <c r="H7" s="33"/>
      <c r="I7" s="33"/>
      <c r="J7" s="33">
        <f>$C$27*('E Balans VL '!D9+'E Balans VL '!E9)/100/3.6*1000000</f>
        <v>0</v>
      </c>
      <c r="K7" s="33"/>
      <c r="L7" s="33"/>
      <c r="M7" s="33"/>
      <c r="N7" s="33">
        <f>$C$27*'E Balans VL '!Y9/100/3.6*1000000</f>
        <v>0.57508663800282001</v>
      </c>
      <c r="O7" s="33"/>
      <c r="P7" s="33"/>
      <c r="R7" s="32"/>
    </row>
    <row r="8" spans="1:18">
      <c r="A8" s="6" t="s">
        <v>52</v>
      </c>
      <c r="B8" s="37">
        <f t="shared" si="0"/>
        <v>5692.6968123000006</v>
      </c>
      <c r="C8" s="33"/>
      <c r="D8" s="37">
        <f>IF(ISERROR(TER_handel_gas_kWh/1000),0,TER_handel_gas_kWh/1000)*0.902</f>
        <v>4348.2660694506003</v>
      </c>
      <c r="E8" s="33">
        <f>$C$28*'E Balans VL '!I13/100/3.6*1000000</f>
        <v>179.67020957800199</v>
      </c>
      <c r="F8" s="33">
        <f>$C$28*('E Balans VL '!L13+'E Balans VL '!N13)/100/3.6*1000000</f>
        <v>1116.4380870593091</v>
      </c>
      <c r="G8" s="34"/>
      <c r="H8" s="33"/>
      <c r="I8" s="33"/>
      <c r="J8" s="33">
        <f>$C$28*('E Balans VL '!D13+'E Balans VL '!E13)/100/3.6*1000000</f>
        <v>0</v>
      </c>
      <c r="K8" s="33"/>
      <c r="L8" s="33"/>
      <c r="M8" s="33"/>
      <c r="N8" s="33">
        <f>$C$28*'E Balans VL '!Y13/100/3.6*1000000</f>
        <v>6.7561258926822303</v>
      </c>
      <c r="O8" s="33"/>
      <c r="P8" s="33"/>
      <c r="R8" s="32"/>
    </row>
    <row r="9" spans="1:18">
      <c r="A9" s="32" t="s">
        <v>51</v>
      </c>
      <c r="B9" s="37">
        <f t="shared" si="0"/>
        <v>405.46864533000002</v>
      </c>
      <c r="C9" s="33"/>
      <c r="D9" s="37">
        <f>IF(ISERROR(TER_gezond_gas_kWh/1000),0,TER_gezond_gas_kWh/1000)*0.902</f>
        <v>864.14359917952004</v>
      </c>
      <c r="E9" s="33">
        <f>$C$29*'E Balans VL '!I10/100/3.6*1000000</f>
        <v>5.1911848324269753E-2</v>
      </c>
      <c r="F9" s="33">
        <f>$C$29*('E Balans VL '!L10+'E Balans VL '!N10)/100/3.6*1000000</f>
        <v>84.476113570620996</v>
      </c>
      <c r="G9" s="34"/>
      <c r="H9" s="33"/>
      <c r="I9" s="33"/>
      <c r="J9" s="33">
        <f>$C$29*('E Balans VL '!D10+'E Balans VL '!E10)/100/3.6*1000000</f>
        <v>0</v>
      </c>
      <c r="K9" s="33"/>
      <c r="L9" s="33"/>
      <c r="M9" s="33"/>
      <c r="N9" s="33">
        <f>$C$29*'E Balans VL '!Y10/100/3.6*1000000</f>
        <v>4.7624208890780153</v>
      </c>
      <c r="O9" s="33"/>
      <c r="P9" s="33"/>
      <c r="R9" s="32"/>
    </row>
    <row r="10" spans="1:18">
      <c r="A10" s="32" t="s">
        <v>50</v>
      </c>
      <c r="B10" s="37">
        <f t="shared" si="0"/>
        <v>1233.3263365</v>
      </c>
      <c r="C10" s="33"/>
      <c r="D10" s="37">
        <f>IF(ISERROR(TER_ander_gas_kWh/1000),0,TER_ander_gas_kWh/1000)*0.902</f>
        <v>1986.9819267430003</v>
      </c>
      <c r="E10" s="33">
        <f>$C$30*'E Balans VL '!I14/100/3.6*1000000</f>
        <v>1.8546327741829793</v>
      </c>
      <c r="F10" s="33">
        <f>$C$30*('E Balans VL '!L14+'E Balans VL '!N14)/100/3.6*1000000</f>
        <v>272.27869932178885</v>
      </c>
      <c r="G10" s="34"/>
      <c r="H10" s="33"/>
      <c r="I10" s="33"/>
      <c r="J10" s="33">
        <f>$C$30*('E Balans VL '!D14+'E Balans VL '!E14)/100/3.6*1000000</f>
        <v>0</v>
      </c>
      <c r="K10" s="33"/>
      <c r="L10" s="33"/>
      <c r="M10" s="33"/>
      <c r="N10" s="33">
        <f>$C$30*'E Balans VL '!Y14/100/3.6*1000000</f>
        <v>971.94415289504514</v>
      </c>
      <c r="O10" s="33"/>
      <c r="P10" s="33"/>
      <c r="R10" s="32"/>
    </row>
    <row r="11" spans="1:18">
      <c r="A11" s="32" t="s">
        <v>55</v>
      </c>
      <c r="B11" s="37">
        <f t="shared" si="0"/>
        <v>1225.2928998</v>
      </c>
      <c r="C11" s="33"/>
      <c r="D11" s="37">
        <f>IF(ISERROR(TER_onderwijs_gas_kWh/1000),0,TER_onderwijs_gas_kWh/1000)*0.902</f>
        <v>3004.2041931968001</v>
      </c>
      <c r="E11" s="33">
        <f>$C$31*'E Balans VL '!I11/100/3.6*1000000</f>
        <v>2.1578434757378786</v>
      </c>
      <c r="F11" s="33">
        <f>$C$31*('E Balans VL '!L11+'E Balans VL '!N11)/100/3.6*1000000</f>
        <v>565.73990347601182</v>
      </c>
      <c r="G11" s="34"/>
      <c r="H11" s="33"/>
      <c r="I11" s="33"/>
      <c r="J11" s="33">
        <f>$C$31*('E Balans VL '!D11+'E Balans VL '!E11)/100/3.6*1000000</f>
        <v>0</v>
      </c>
      <c r="K11" s="33"/>
      <c r="L11" s="33"/>
      <c r="M11" s="33"/>
      <c r="N11" s="33">
        <f>$C$31*'E Balans VL '!Y11/100/3.6*1000000</f>
        <v>2.2827376166317679</v>
      </c>
      <c r="O11" s="33"/>
      <c r="P11" s="33"/>
      <c r="R11" s="32"/>
    </row>
    <row r="12" spans="1:18">
      <c r="A12" s="32" t="s">
        <v>260</v>
      </c>
      <c r="B12" s="37">
        <f t="shared" si="0"/>
        <v>3090.6609325999998</v>
      </c>
      <c r="C12" s="33"/>
      <c r="D12" s="37">
        <f>IF(ISERROR(TER_rest_gas_kWh/1000),0,TER_rest_gas_kWh/1000)*0.902</f>
        <v>4590.5595841951999</v>
      </c>
      <c r="E12" s="33">
        <f>$C$32*'E Balans VL '!I8/100/3.6*1000000</f>
        <v>54.415757585981417</v>
      </c>
      <c r="F12" s="33">
        <f>$C$32*('E Balans VL '!L8+'E Balans VL '!N8)/100/3.6*1000000</f>
        <v>796.25106905177688</v>
      </c>
      <c r="G12" s="34"/>
      <c r="H12" s="33"/>
      <c r="I12" s="33"/>
      <c r="J12" s="33">
        <f>$C$32*('E Balans VL '!D8+'E Balans VL '!E8)/100/3.6*1000000</f>
        <v>0</v>
      </c>
      <c r="K12" s="33"/>
      <c r="L12" s="33"/>
      <c r="M12" s="33"/>
      <c r="N12" s="33">
        <f>$C$32*'E Balans VL '!Y8/100/3.6*1000000</f>
        <v>272.72597028596698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19237.197232630002</v>
      </c>
      <c r="C16" s="21">
        <f t="shared" ca="1" si="1"/>
        <v>0</v>
      </c>
      <c r="D16" s="21">
        <f t="shared" ca="1" si="1"/>
        <v>31150.392819833323</v>
      </c>
      <c r="E16" s="21">
        <f t="shared" si="1"/>
        <v>385.29760090275329</v>
      </c>
      <c r="F16" s="21">
        <f t="shared" ca="1" si="1"/>
        <v>5188.5969168740285</v>
      </c>
      <c r="G16" s="21">
        <f t="shared" si="1"/>
        <v>0</v>
      </c>
      <c r="H16" s="21">
        <f t="shared" si="1"/>
        <v>0</v>
      </c>
      <c r="I16" s="21">
        <f t="shared" si="1"/>
        <v>0</v>
      </c>
      <c r="J16" s="21">
        <f t="shared" si="1"/>
        <v>0</v>
      </c>
      <c r="K16" s="21">
        <f t="shared" si="1"/>
        <v>0</v>
      </c>
      <c r="L16" s="21">
        <f t="shared" ca="1" si="1"/>
        <v>0</v>
      </c>
      <c r="M16" s="21">
        <f t="shared" si="1"/>
        <v>0</v>
      </c>
      <c r="N16" s="21">
        <f t="shared" ca="1" si="1"/>
        <v>1264.2646771861394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0.1921058435477582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3695.5780018689861</v>
      </c>
      <c r="C20" s="23">
        <f t="shared" ref="C20:P20" ca="1" si="2">C16*C18</f>
        <v>0</v>
      </c>
      <c r="D20" s="23">
        <f t="shared" ca="1" si="2"/>
        <v>6292.3793496063317</v>
      </c>
      <c r="E20" s="23">
        <f t="shared" si="2"/>
        <v>87.462555404924998</v>
      </c>
      <c r="F20" s="23">
        <f t="shared" ca="1" si="2"/>
        <v>1385.3553768053657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5200.6699911000005</v>
      </c>
      <c r="C26" s="39">
        <f>IF(ISERROR(B26*3.6/1000000/'E Balans VL '!Z12*100),0,B26*3.6/1000000/'E Balans VL '!Z12*100)</f>
        <v>0.11140239145255293</v>
      </c>
      <c r="D26" s="237" t="s">
        <v>660</v>
      </c>
      <c r="F26" s="6"/>
    </row>
    <row r="27" spans="1:18">
      <c r="A27" s="231" t="s">
        <v>53</v>
      </c>
      <c r="B27" s="33">
        <f>IF(ISERROR(TER_horeca_ele_kWh/1000),0,TER_horeca_ele_kWh/1000)</f>
        <v>2389.0816150000001</v>
      </c>
      <c r="C27" s="39">
        <f>IF(ISERROR(B27*3.6/1000000/'E Balans VL '!Z9*100),0,B27*3.6/1000000/'E Balans VL '!Z9*100)</f>
        <v>0.19171549524082027</v>
      </c>
      <c r="D27" s="237" t="s">
        <v>660</v>
      </c>
      <c r="F27" s="6"/>
    </row>
    <row r="28" spans="1:18">
      <c r="A28" s="171" t="s">
        <v>52</v>
      </c>
      <c r="B28" s="33">
        <f>IF(ISERROR(TER_handel_ele_kWh/1000),0,TER_handel_ele_kWh/1000)</f>
        <v>5692.6968123000006</v>
      </c>
      <c r="C28" s="39">
        <f>IF(ISERROR(B28*3.6/1000000/'E Balans VL '!Z13*100),0,B28*3.6/1000000/'E Balans VL '!Z13*100)</f>
        <v>0.16790190395631738</v>
      </c>
      <c r="D28" s="237" t="s">
        <v>660</v>
      </c>
      <c r="F28" s="6"/>
    </row>
    <row r="29" spans="1:18">
      <c r="A29" s="231" t="s">
        <v>51</v>
      </c>
      <c r="B29" s="33">
        <f>IF(ISERROR(TER_gezond_ele_kWh/1000),0,TER_gezond_ele_kWh/1000)</f>
        <v>405.46864533000002</v>
      </c>
      <c r="C29" s="39">
        <f>IF(ISERROR(B29*3.6/1000000/'E Balans VL '!Z10*100),0,B29*3.6/1000000/'E Balans VL '!Z10*100)</f>
        <v>4.3293180299202733E-2</v>
      </c>
      <c r="D29" s="237" t="s">
        <v>660</v>
      </c>
      <c r="F29" s="6"/>
    </row>
    <row r="30" spans="1:18">
      <c r="A30" s="231" t="s">
        <v>50</v>
      </c>
      <c r="B30" s="33">
        <f>IF(ISERROR(TER_ander_ele_kWh/1000),0,TER_ander_ele_kWh/1000)</f>
        <v>1233.3263365</v>
      </c>
      <c r="C30" s="39">
        <f>IF(ISERROR(B30*3.6/1000000/'E Balans VL '!Z14*100),0,B30*3.6/1000000/'E Balans VL '!Z14*100)</f>
        <v>9.315798127301482E-2</v>
      </c>
      <c r="D30" s="237" t="s">
        <v>660</v>
      </c>
      <c r="F30" s="6"/>
    </row>
    <row r="31" spans="1:18">
      <c r="A31" s="231" t="s">
        <v>55</v>
      </c>
      <c r="B31" s="33">
        <f>IF(ISERROR(TER_onderwijs_ele_kWh/1000),0,TER_onderwijs_ele_kWh/1000)</f>
        <v>1225.2928998</v>
      </c>
      <c r="C31" s="39">
        <f>IF(ISERROR(B31*3.6/1000000/'E Balans VL '!Z11*100),0,B31*3.6/1000000/'E Balans VL '!Z11*100)</f>
        <v>0.24742753990657815</v>
      </c>
      <c r="D31" s="237" t="s">
        <v>660</v>
      </c>
    </row>
    <row r="32" spans="1:18">
      <c r="A32" s="231" t="s">
        <v>260</v>
      </c>
      <c r="B32" s="33">
        <f>IF(ISERROR(TER_rest_ele_kWh/1000),0,TER_rest_ele_kWh/1000)</f>
        <v>3090.6609325999998</v>
      </c>
      <c r="C32" s="39">
        <f>IF(ISERROR(B32*3.6/1000000/'E Balans VL '!Z8*100),0,B32*3.6/1000000/'E Balans VL '!Z8*100)</f>
        <v>2.5625882845555132E-2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6094.1135739299998</v>
      </c>
      <c r="C5" s="17">
        <f>IF(ISERROR('Eigen informatie GS &amp; warmtenet'!B59),0,'Eigen informatie GS &amp; warmtenet'!B59)</f>
        <v>0</v>
      </c>
      <c r="D5" s="30">
        <f>SUM(D6:D15)</f>
        <v>4155.5400510408399</v>
      </c>
      <c r="E5" s="17">
        <f>SUM(E6:E15)</f>
        <v>441.10745675593307</v>
      </c>
      <c r="F5" s="17">
        <f>SUM(F6:F15)</f>
        <v>1935.3383259810819</v>
      </c>
      <c r="G5" s="18"/>
      <c r="H5" s="17"/>
      <c r="I5" s="17"/>
      <c r="J5" s="17">
        <f>SUM(J6:J15)</f>
        <v>34.781040230221009</v>
      </c>
      <c r="K5" s="17"/>
      <c r="L5" s="17"/>
      <c r="M5" s="17"/>
      <c r="N5" s="17">
        <f>SUM(N6:N15)</f>
        <v>1241.4280663156262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791.70873419999998</v>
      </c>
      <c r="C8" s="33"/>
      <c r="D8" s="37">
        <f>IF( ISERROR(IND_metaal_Gas_kWH/1000),0,IND_metaal_Gas_kWH/1000)*0.902</f>
        <v>276.74803362360007</v>
      </c>
      <c r="E8" s="33">
        <f>C30*'E Balans VL '!I18/100/3.6*1000000</f>
        <v>28.48807533779474</v>
      </c>
      <c r="F8" s="33">
        <f>C30*'E Balans VL '!L18/100/3.6*1000000+C30*'E Balans VL '!N18/100/3.6*1000000</f>
        <v>345.71353978921053</v>
      </c>
      <c r="G8" s="34"/>
      <c r="H8" s="33"/>
      <c r="I8" s="33"/>
      <c r="J8" s="40">
        <f>C30*'E Balans VL '!D18/100/3.6*1000000+C30*'E Balans VL '!E18/100/3.6*1000000</f>
        <v>0</v>
      </c>
      <c r="K8" s="33"/>
      <c r="L8" s="33"/>
      <c r="M8" s="33"/>
      <c r="N8" s="33">
        <f>C30*'E Balans VL '!Y18/100/3.6*1000000</f>
        <v>39.679903735010392</v>
      </c>
      <c r="O8" s="33"/>
      <c r="P8" s="33"/>
      <c r="R8" s="32"/>
    </row>
    <row r="9" spans="1:18">
      <c r="A9" s="6" t="s">
        <v>33</v>
      </c>
      <c r="B9" s="37">
        <f t="shared" si="0"/>
        <v>670.47899343999995</v>
      </c>
      <c r="C9" s="33"/>
      <c r="D9" s="37">
        <f>IF( ISERROR(IND_andere_gas_kWh/1000),0,IND_andere_gas_kWh/1000)*0.902</f>
        <v>1147.1558111398001</v>
      </c>
      <c r="E9" s="33">
        <f>C31*'E Balans VL '!I19/100/3.6*1000000</f>
        <v>171.09106911376517</v>
      </c>
      <c r="F9" s="33">
        <f>C31*'E Balans VL '!L19/100/3.6*1000000+C31*'E Balans VL '!N19/100/3.6*1000000</f>
        <v>577.23201819149745</v>
      </c>
      <c r="G9" s="34"/>
      <c r="H9" s="33"/>
      <c r="I9" s="33"/>
      <c r="J9" s="40">
        <f>C31*'E Balans VL '!D19/100/3.6*1000000+C31*'E Balans VL '!E19/100/3.6*1000000</f>
        <v>0</v>
      </c>
      <c r="K9" s="33"/>
      <c r="L9" s="33"/>
      <c r="M9" s="33"/>
      <c r="N9" s="33">
        <f>C31*'E Balans VL '!Y19/100/3.6*1000000</f>
        <v>209.68174275614155</v>
      </c>
      <c r="O9" s="33"/>
      <c r="P9" s="33"/>
      <c r="R9" s="32"/>
    </row>
    <row r="10" spans="1:18">
      <c r="A10" s="6" t="s">
        <v>41</v>
      </c>
      <c r="B10" s="37">
        <f t="shared" si="0"/>
        <v>341.73903308999996</v>
      </c>
      <c r="C10" s="33"/>
      <c r="D10" s="37">
        <f>IF( ISERROR(IND_voed_gas_kWh/1000),0,IND_voed_gas_kWh/1000)*0.902</f>
        <v>394.55004381804002</v>
      </c>
      <c r="E10" s="33">
        <f>C32*'E Balans VL '!I20/100/3.6*1000000</f>
        <v>8.6874754672941616</v>
      </c>
      <c r="F10" s="33">
        <f>C32*'E Balans VL '!L20/100/3.6*1000000+C32*'E Balans VL '!N20/100/3.6*1000000</f>
        <v>77.330413242973549</v>
      </c>
      <c r="G10" s="34"/>
      <c r="H10" s="33"/>
      <c r="I10" s="33"/>
      <c r="J10" s="40">
        <f>C32*'E Balans VL '!D20/100/3.6*1000000+C32*'E Balans VL '!E20/100/3.6*1000000</f>
        <v>0</v>
      </c>
      <c r="K10" s="33"/>
      <c r="L10" s="33"/>
      <c r="M10" s="33"/>
      <c r="N10" s="33">
        <f>C32*'E Balans VL '!Y20/100/3.6*1000000</f>
        <v>128.16140060959751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4290.1868132</v>
      </c>
      <c r="C15" s="33"/>
      <c r="D15" s="37">
        <f>IF( ISERROR(IND_rest_gas_kWh/1000),0,IND_rest_gas_kWh/1000)*0.902</f>
        <v>2337.0861624593999</v>
      </c>
      <c r="E15" s="33">
        <f>C37*'E Balans VL '!I15/100/3.6*1000000</f>
        <v>232.84083683707902</v>
      </c>
      <c r="F15" s="33">
        <f>C37*'E Balans VL '!L15/100/3.6*1000000+C37*'E Balans VL '!N15/100/3.6*1000000</f>
        <v>935.06235475740039</v>
      </c>
      <c r="G15" s="34"/>
      <c r="H15" s="33"/>
      <c r="I15" s="33"/>
      <c r="J15" s="40">
        <f>C37*'E Balans VL '!D15/100/3.6*1000000+C37*'E Balans VL '!E15/100/3.6*1000000</f>
        <v>34.781040230221009</v>
      </c>
      <c r="K15" s="33"/>
      <c r="L15" s="33"/>
      <c r="M15" s="33"/>
      <c r="N15" s="33">
        <f>C37*'E Balans VL '!Y15/100/3.6*1000000</f>
        <v>863.9050192148768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6094.1135739299998</v>
      </c>
      <c r="C18" s="21">
        <f>C5+C16</f>
        <v>0</v>
      </c>
      <c r="D18" s="21">
        <f>MAX((D5+D16),0)</f>
        <v>4155.5400510408399</v>
      </c>
      <c r="E18" s="21">
        <f>MAX((E5+E16),0)</f>
        <v>441.10745675593307</v>
      </c>
      <c r="F18" s="21">
        <f>MAX((F5+F16),0)</f>
        <v>1935.3383259810819</v>
      </c>
      <c r="G18" s="21"/>
      <c r="H18" s="21"/>
      <c r="I18" s="21"/>
      <c r="J18" s="21">
        <f>MAX((J5+J16),0)</f>
        <v>34.781040230221009</v>
      </c>
      <c r="K18" s="21"/>
      <c r="L18" s="21">
        <f>MAX((L5+L16),0)</f>
        <v>0</v>
      </c>
      <c r="M18" s="21"/>
      <c r="N18" s="21">
        <f>MAX((N5+N16),0)</f>
        <v>1241.4280663156262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0.1921058435477582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1170.7148287956661</v>
      </c>
      <c r="C22" s="23">
        <f ca="1">C18*C20</f>
        <v>0</v>
      </c>
      <c r="D22" s="23">
        <f>D18*D20</f>
        <v>839.41909031024966</v>
      </c>
      <c r="E22" s="23">
        <f>E18*E20</f>
        <v>100.13139268359681</v>
      </c>
      <c r="F22" s="23">
        <f>F18*F20</f>
        <v>516.73533303694887</v>
      </c>
      <c r="G22" s="23"/>
      <c r="H22" s="23"/>
      <c r="I22" s="23"/>
      <c r="J22" s="23">
        <f>J18*J20</f>
        <v>12.312488241498237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791.70873419999998</v>
      </c>
      <c r="C30" s="39">
        <f>IF(ISERROR(B30*3.6/1000000/'E Balans VL '!Z18*100),0,B30*3.6/1000000/'E Balans VL '!Z18*100)</f>
        <v>0.16774610698907214</v>
      </c>
      <c r="D30" s="237" t="s">
        <v>660</v>
      </c>
    </row>
    <row r="31" spans="1:18">
      <c r="A31" s="6" t="s">
        <v>33</v>
      </c>
      <c r="B31" s="37">
        <f>IF( ISERROR(IND_ander_ele_kWh/1000),0,IND_ander_ele_kWh/1000)</f>
        <v>670.47899343999995</v>
      </c>
      <c r="C31" s="39">
        <f>IF(ISERROR(B31*3.6/1000000/'E Balans VL '!Z19*100),0,B31*3.6/1000000/'E Balans VL '!Z19*100)</f>
        <v>2.8221983267164557E-2</v>
      </c>
      <c r="D31" s="237" t="s">
        <v>660</v>
      </c>
    </row>
    <row r="32" spans="1:18">
      <c r="A32" s="171" t="s">
        <v>41</v>
      </c>
      <c r="B32" s="37">
        <f>IF( ISERROR(IND_voed_ele_kWh/1000),0,IND_voed_ele_kWh/1000)</f>
        <v>341.73903308999996</v>
      </c>
      <c r="C32" s="39">
        <f>IF(ISERROR(B32*3.6/1000000/'E Balans VL '!Z20*100),0,B32*3.6/1000000/'E Balans VL '!Z20*100)</f>
        <v>5.7091371988918144E-2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4290.1868132</v>
      </c>
      <c r="C37" s="39">
        <f>IF(ISERROR(B37*3.6/1000000/'E Balans VL '!Z15*100),0,B37*3.6/1000000/'E Balans VL '!Z15*100)</f>
        <v>3.4636339379438365E-2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37.774819169100006</v>
      </c>
      <c r="C5" s="17">
        <f>'Eigen informatie GS &amp; warmtenet'!B60</f>
        <v>0</v>
      </c>
      <c r="D5" s="30">
        <f>IF(ISERROR(SUM(LB_lb_gas_kWh,LB_rest_gas_kWh)/1000),0,SUM(LB_lb_gas_kWh,LB_rest_gas_kWh)/1000)*0.902</f>
        <v>57.019298990566</v>
      </c>
      <c r="E5" s="17">
        <f>B17*'E Balans VL '!I25/3.6*1000000/100</f>
        <v>0.97406754783407479</v>
      </c>
      <c r="F5" s="17">
        <f>B17*('E Balans VL '!L25/3.6*1000000+'E Balans VL '!N25/3.6*1000000)/100</f>
        <v>138.07415792791389</v>
      </c>
      <c r="G5" s="18"/>
      <c r="H5" s="17"/>
      <c r="I5" s="17"/>
      <c r="J5" s="17">
        <f>('E Balans VL '!D25+'E Balans VL '!E25)/3.6*1000000*landbouw!B17/100</f>
        <v>5.4381843510315901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37.774819169100006</v>
      </c>
      <c r="C8" s="21">
        <f>C5+C6</f>
        <v>0</v>
      </c>
      <c r="D8" s="21">
        <f>MAX((D5+D6),0)</f>
        <v>57.019298990566</v>
      </c>
      <c r="E8" s="21">
        <f>MAX((E5+E6),0)</f>
        <v>0.97406754783407479</v>
      </c>
      <c r="F8" s="21">
        <f>MAX((F5+F6),0)</f>
        <v>138.07415792791389</v>
      </c>
      <c r="G8" s="21"/>
      <c r="H8" s="21"/>
      <c r="I8" s="21"/>
      <c r="J8" s="21">
        <f>MAX((J5+J6),0)</f>
        <v>5.4381843510315901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0.1921058435477582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7.2567635013439835</v>
      </c>
      <c r="C12" s="23">
        <f ca="1">C8*C10</f>
        <v>0</v>
      </c>
      <c r="D12" s="23">
        <f>D8*D10</f>
        <v>11.517898396094333</v>
      </c>
      <c r="E12" s="23">
        <f>E8*E10</f>
        <v>0.221113333358335</v>
      </c>
      <c r="F12" s="23">
        <f>F8*F10</f>
        <v>36.865800166753012</v>
      </c>
      <c r="G12" s="23"/>
      <c r="H12" s="23"/>
      <c r="I12" s="23"/>
      <c r="J12" s="23">
        <f>J8*J10</f>
        <v>1.9251172602651827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5.3264997176347417E-3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0.874</v>
      </c>
      <c r="C26" s="247">
        <f>B26*'GWP N2O_CH4'!B5</f>
        <v>18.353999999999999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7.468000000000001E-2</v>
      </c>
      <c r="C27" s="247">
        <f>B27*'GWP N2O_CH4'!B5</f>
        <v>1.5682800000000001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5.0545604251087282E-3</v>
      </c>
      <c r="C28" s="247">
        <f>B28*'GWP N2O_CH4'!B4</f>
        <v>1.5669137317837059</v>
      </c>
      <c r="D28" s="50"/>
    </row>
    <row r="29" spans="1:4">
      <c r="A29" s="41" t="s">
        <v>277</v>
      </c>
      <c r="B29" s="247">
        <f>B34*'ha_N2O bodem landbouw'!B4</f>
        <v>0.31850705213414293</v>
      </c>
      <c r="C29" s="247">
        <f>B29*'GWP N2O_CH4'!B4</f>
        <v>98.737186161584305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7.1681394906879516E-5</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1.2071416330389732E-4</v>
      </c>
      <c r="C5" s="463" t="s">
        <v>211</v>
      </c>
      <c r="D5" s="448">
        <f>SUM(D6:D11)</f>
        <v>2.6313812381267615E-4</v>
      </c>
      <c r="E5" s="448">
        <f>SUM(E6:E11)</f>
        <v>1.0999832046828827E-3</v>
      </c>
      <c r="F5" s="461" t="s">
        <v>211</v>
      </c>
      <c r="G5" s="448">
        <f>SUM(G6:G11)</f>
        <v>0.37578895414759794</v>
      </c>
      <c r="H5" s="448">
        <f>SUM(H6:H11)</f>
        <v>7.1820632600926165E-2</v>
      </c>
      <c r="I5" s="463" t="s">
        <v>211</v>
      </c>
      <c r="J5" s="463" t="s">
        <v>211</v>
      </c>
      <c r="K5" s="463" t="s">
        <v>211</v>
      </c>
      <c r="L5" s="463" t="s">
        <v>211</v>
      </c>
      <c r="M5" s="448">
        <f>SUM(M6:M11)</f>
        <v>1.3991026350847478E-2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6.9228350725238181E-5</v>
      </c>
      <c r="C6" s="449"/>
      <c r="D6" s="892">
        <f>vkm_2011_GW_PW*SUMIFS(TableVerdeelsleutelVkm[CNG],TableVerdeelsleutelVkm[Voertuigtype],"Lichte voertuigen")*SUMIFS(TableECFTransport[EnergieConsumptieFactor (PJ per km)],TableECFTransport[Index],CONCATENATE($A6,"_CNG_CNG"))</f>
        <v>1.3755794553183944E-4</v>
      </c>
      <c r="E6" s="892">
        <f>vkm_2011_GW_PW*SUMIFS(TableVerdeelsleutelVkm[LPG],TableVerdeelsleutelVkm[Voertuigtype],"Lichte voertuigen")*SUMIFS(TableECFTransport[EnergieConsumptieFactor (PJ per km)],TableECFTransport[Index],CONCATENATE($A6,"_LPG_LPG"))</f>
        <v>5.4133982649470162E-4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0.12871203628788516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3.7241074194770296E-2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5.1712521659823523E-3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7.0034855420385095E-2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2.2624249735126434E-5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2.2066911356402805E-3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1.2852847605966041E-5</v>
      </c>
      <c r="C8" s="449"/>
      <c r="D8" s="451">
        <f>vkm_2011_NGW_PW*SUMIFS(TableVerdeelsleutelVkm[CNG],TableVerdeelsleutelVkm[Voertuigtype],"Lichte voertuigen")*SUMIFS(TableECFTransport[EnergieConsumptieFactor (PJ per km)],TableECFTransport[Index],CONCATENATE($A8,"_CNG_CNG"))</f>
        <v>4.5219957509336015E-5</v>
      </c>
      <c r="E8" s="451">
        <f>vkm_2011_NGW_PW*SUMIFS(TableVerdeelsleutelVkm[LPG],TableVerdeelsleutelVkm[Voertuigtype],"Lichte voertuigen")*SUMIFS(TableECFTransport[EnergieConsumptieFactor (PJ per km)],TableECFTransport[Index],CONCATENATE($A8,"_LPG_LPG"))</f>
        <v>1.6457854852995672E-4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3.6541064245088975E-2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1.1870901017010301E-2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1.5070455877736529E-3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1.0921307604645256E-2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3.3365520761368875E-6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3.44107948585224E-4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3.8632964972693106E-5</v>
      </c>
      <c r="C10" s="449"/>
      <c r="D10" s="451">
        <f>vkm_2011_SW_PW*SUMIFS(TableVerdeelsleutelVkm[CNG],TableVerdeelsleutelVkm[Voertuigtype],"Lichte voertuigen")*SUMIFS(TableECFTransport[EnergieConsumptieFactor (PJ per km)],TableECFTransport[Index],CONCATENATE($A10,"_CNG_CNG"))</f>
        <v>8.0360220771500714E-5</v>
      </c>
      <c r="E10" s="451">
        <f>vkm_2011_SW_PW*SUMIFS(TableVerdeelsleutelVkm[LPG],TableVerdeelsleutelVkm[Voertuigtype],"Lichte voertuigen")*SUMIFS(TableECFTransport[EnergieConsumptieFactor (PJ per km)],TableECFTransport[Index],CONCATENATE($A10,"_LPG_LPG"))</f>
        <v>3.9406482965822435E-4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8.3931284213098173E-2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2.2666808271941331E-2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3.3235838233024975E-3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4.5648406376495254E-2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1.588831539298289E-5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1.4383456895634716E-3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33.531712028860369</v>
      </c>
      <c r="C14" s="21"/>
      <c r="D14" s="21">
        <f t="shared" ref="D14:M14" si="0">((D5)*10^9/3600)+D12</f>
        <v>73.093923281298942</v>
      </c>
      <c r="E14" s="21">
        <f t="shared" si="0"/>
        <v>305.5508901896896</v>
      </c>
      <c r="F14" s="21"/>
      <c r="G14" s="21">
        <f t="shared" si="0"/>
        <v>104385.82059655499</v>
      </c>
      <c r="H14" s="21">
        <f t="shared" si="0"/>
        <v>19950.175722479489</v>
      </c>
      <c r="I14" s="21"/>
      <c r="J14" s="21"/>
      <c r="K14" s="21"/>
      <c r="L14" s="21"/>
      <c r="M14" s="21">
        <f t="shared" si="0"/>
        <v>3886.3962085687435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0.1921058435477582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6.4416378249047312</v>
      </c>
      <c r="C18" s="23"/>
      <c r="D18" s="23">
        <f t="shared" ref="D18:M18" si="1">D14*D16</f>
        <v>14.764972502822387</v>
      </c>
      <c r="E18" s="23">
        <f t="shared" si="1"/>
        <v>69.360052073059535</v>
      </c>
      <c r="F18" s="23"/>
      <c r="G18" s="23">
        <f t="shared" si="1"/>
        <v>27871.014099280183</v>
      </c>
      <c r="H18" s="23">
        <f t="shared" si="1"/>
        <v>4967.5937548973925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7.4082813504618124E-3</v>
      </c>
      <c r="H50" s="321">
        <f t="shared" si="2"/>
        <v>0</v>
      </c>
      <c r="I50" s="321">
        <f t="shared" si="2"/>
        <v>0</v>
      </c>
      <c r="J50" s="321">
        <f t="shared" si="2"/>
        <v>0</v>
      </c>
      <c r="K50" s="321">
        <f t="shared" si="2"/>
        <v>0</v>
      </c>
      <c r="L50" s="321">
        <f t="shared" si="2"/>
        <v>0</v>
      </c>
      <c r="M50" s="321">
        <f t="shared" si="2"/>
        <v>2.2978831381698431E-4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7.4082813504618124E-3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2.2978831381698431E-4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2057.855930683837</v>
      </c>
      <c r="H54" s="21">
        <f t="shared" si="3"/>
        <v>0</v>
      </c>
      <c r="I54" s="21">
        <f t="shared" si="3"/>
        <v>0</v>
      </c>
      <c r="J54" s="21">
        <f t="shared" si="3"/>
        <v>0</v>
      </c>
      <c r="K54" s="21">
        <f t="shared" si="3"/>
        <v>0</v>
      </c>
      <c r="L54" s="21">
        <f t="shared" si="3"/>
        <v>0</v>
      </c>
      <c r="M54" s="21">
        <f t="shared" si="3"/>
        <v>63.830087171384527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0.1921058435477582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549.44753349258451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20240.112232630003</v>
      </c>
      <c r="D10" s="1012">
        <f ca="1">tertiair!C16</f>
        <v>0</v>
      </c>
      <c r="E10" s="1012">
        <f ca="1">tertiair!D16</f>
        <v>31150.392819833323</v>
      </c>
      <c r="F10" s="1012">
        <f>tertiair!E16</f>
        <v>385.29760090275329</v>
      </c>
      <c r="G10" s="1012">
        <f ca="1">tertiair!F16</f>
        <v>5188.5969168740285</v>
      </c>
      <c r="H10" s="1012">
        <f>tertiair!G16</f>
        <v>0</v>
      </c>
      <c r="I10" s="1012">
        <f>tertiair!H16</f>
        <v>0</v>
      </c>
      <c r="J10" s="1012">
        <f>tertiair!I16</f>
        <v>0</v>
      </c>
      <c r="K10" s="1012">
        <f>tertiair!J16</f>
        <v>0</v>
      </c>
      <c r="L10" s="1012">
        <f>tertiair!K16</f>
        <v>0</v>
      </c>
      <c r="M10" s="1012">
        <f ca="1">tertiair!L16</f>
        <v>0</v>
      </c>
      <c r="N10" s="1012">
        <f>tertiair!M16</f>
        <v>0</v>
      </c>
      <c r="O10" s="1012">
        <f ca="1">tertiair!N16</f>
        <v>1264.2646771861394</v>
      </c>
      <c r="P10" s="1012">
        <f>tertiair!O16</f>
        <v>1.5633333333333335</v>
      </c>
      <c r="Q10" s="1013">
        <f>tertiair!P16</f>
        <v>0</v>
      </c>
      <c r="R10" s="700">
        <f ca="1">SUM(C10:Q10)</f>
        <v>58230.22758075958</v>
      </c>
      <c r="S10" s="67"/>
    </row>
    <row r="11" spans="1:19" s="473" customFormat="1">
      <c r="A11" s="809" t="s">
        <v>225</v>
      </c>
      <c r="B11" s="814"/>
      <c r="C11" s="1012">
        <f>huishoudens!B8</f>
        <v>26537.326022268466</v>
      </c>
      <c r="D11" s="1012">
        <f>huishoudens!C8</f>
        <v>0</v>
      </c>
      <c r="E11" s="1012">
        <f>huishoudens!D8</f>
        <v>74766.860971638002</v>
      </c>
      <c r="F11" s="1012">
        <f>huishoudens!E8</f>
        <v>716.84515958335317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2908.4107665396059</v>
      </c>
      <c r="P11" s="1012">
        <f>huishoudens!O8</f>
        <v>54.716666666666669</v>
      </c>
      <c r="Q11" s="1013">
        <f>huishoudens!P8</f>
        <v>171.6</v>
      </c>
      <c r="R11" s="700">
        <f>SUM(C11:Q11)</f>
        <v>105155.75958669608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6094.1135739299998</v>
      </c>
      <c r="D13" s="1012">
        <f>industrie!C18</f>
        <v>0</v>
      </c>
      <c r="E13" s="1012">
        <f>industrie!D18</f>
        <v>4155.5400510408399</v>
      </c>
      <c r="F13" s="1012">
        <f>industrie!E18</f>
        <v>441.10745675593307</v>
      </c>
      <c r="G13" s="1012">
        <f>industrie!F18</f>
        <v>1935.3383259810819</v>
      </c>
      <c r="H13" s="1012">
        <f>industrie!G18</f>
        <v>0</v>
      </c>
      <c r="I13" s="1012">
        <f>industrie!H18</f>
        <v>0</v>
      </c>
      <c r="J13" s="1012">
        <f>industrie!I18</f>
        <v>0</v>
      </c>
      <c r="K13" s="1012">
        <f>industrie!J18</f>
        <v>34.781040230221009</v>
      </c>
      <c r="L13" s="1012">
        <f>industrie!K18</f>
        <v>0</v>
      </c>
      <c r="M13" s="1012">
        <f>industrie!L18</f>
        <v>0</v>
      </c>
      <c r="N13" s="1012">
        <f>industrie!M18</f>
        <v>0</v>
      </c>
      <c r="O13" s="1012">
        <f>industrie!N18</f>
        <v>1241.4280663156262</v>
      </c>
      <c r="P13" s="1012">
        <f>industrie!O18</f>
        <v>0</v>
      </c>
      <c r="Q13" s="1013">
        <f>industrie!P18</f>
        <v>0</v>
      </c>
      <c r="R13" s="700">
        <f>SUM(C13:Q13)</f>
        <v>13902.308514253702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52871.551828828473</v>
      </c>
      <c r="D16" s="732">
        <f t="shared" ref="D16:R16" ca="1" si="0">SUM(D9:D15)</f>
        <v>0</v>
      </c>
      <c r="E16" s="732">
        <f t="shared" ca="1" si="0"/>
        <v>110072.79384251217</v>
      </c>
      <c r="F16" s="732">
        <f t="shared" si="0"/>
        <v>1543.2502172420395</v>
      </c>
      <c r="G16" s="732">
        <f t="shared" ca="1" si="0"/>
        <v>7123.9352428551101</v>
      </c>
      <c r="H16" s="732">
        <f t="shared" si="0"/>
        <v>0</v>
      </c>
      <c r="I16" s="732">
        <f t="shared" si="0"/>
        <v>0</v>
      </c>
      <c r="J16" s="732">
        <f t="shared" si="0"/>
        <v>0</v>
      </c>
      <c r="K16" s="732">
        <f t="shared" si="0"/>
        <v>34.781040230221009</v>
      </c>
      <c r="L16" s="732">
        <f t="shared" si="0"/>
        <v>0</v>
      </c>
      <c r="M16" s="732">
        <f t="shared" ca="1" si="0"/>
        <v>0</v>
      </c>
      <c r="N16" s="732">
        <f t="shared" si="0"/>
        <v>0</v>
      </c>
      <c r="O16" s="732">
        <f t="shared" ca="1" si="0"/>
        <v>5414.103510041371</v>
      </c>
      <c r="P16" s="732">
        <f t="shared" si="0"/>
        <v>56.28</v>
      </c>
      <c r="Q16" s="732">
        <f t="shared" si="0"/>
        <v>171.6</v>
      </c>
      <c r="R16" s="732">
        <f t="shared" ca="1" si="0"/>
        <v>177288.29568170937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2057.855930683837</v>
      </c>
      <c r="I19" s="1012">
        <f>transport!H54</f>
        <v>0</v>
      </c>
      <c r="J19" s="1012">
        <f>transport!I54</f>
        <v>0</v>
      </c>
      <c r="K19" s="1012">
        <f>transport!J54</f>
        <v>0</v>
      </c>
      <c r="L19" s="1012">
        <f>transport!K54</f>
        <v>0</v>
      </c>
      <c r="M19" s="1012">
        <f>transport!L54</f>
        <v>0</v>
      </c>
      <c r="N19" s="1012">
        <f>transport!M54</f>
        <v>63.830087171384527</v>
      </c>
      <c r="O19" s="1012">
        <f>transport!N54</f>
        <v>0</v>
      </c>
      <c r="P19" s="1012">
        <f>transport!O54</f>
        <v>0</v>
      </c>
      <c r="Q19" s="1013">
        <f>transport!P54</f>
        <v>0</v>
      </c>
      <c r="R19" s="700">
        <f>SUM(C19:Q19)</f>
        <v>2121.6860178552215</v>
      </c>
      <c r="S19" s="67"/>
    </row>
    <row r="20" spans="1:19" s="473" customFormat="1">
      <c r="A20" s="809" t="s">
        <v>307</v>
      </c>
      <c r="B20" s="814"/>
      <c r="C20" s="1012">
        <f>transport!B14</f>
        <v>33.531712028860369</v>
      </c>
      <c r="D20" s="1012">
        <f>transport!C14</f>
        <v>0</v>
      </c>
      <c r="E20" s="1012">
        <f>transport!D14</f>
        <v>73.093923281298942</v>
      </c>
      <c r="F20" s="1012">
        <f>transport!E14</f>
        <v>305.5508901896896</v>
      </c>
      <c r="G20" s="1012">
        <f>transport!F14</f>
        <v>0</v>
      </c>
      <c r="H20" s="1012">
        <f>transport!G14</f>
        <v>104385.82059655499</v>
      </c>
      <c r="I20" s="1012">
        <f>transport!H14</f>
        <v>19950.175722479489</v>
      </c>
      <c r="J20" s="1012">
        <f>transport!I14</f>
        <v>0</v>
      </c>
      <c r="K20" s="1012">
        <f>transport!J14</f>
        <v>0</v>
      </c>
      <c r="L20" s="1012">
        <f>transport!K14</f>
        <v>0</v>
      </c>
      <c r="M20" s="1012">
        <f>transport!L14</f>
        <v>0</v>
      </c>
      <c r="N20" s="1012">
        <f>transport!M14</f>
        <v>3886.3962085687435</v>
      </c>
      <c r="O20" s="1012">
        <f>transport!N14</f>
        <v>0</v>
      </c>
      <c r="P20" s="1012">
        <f>transport!O14</f>
        <v>0</v>
      </c>
      <c r="Q20" s="1013">
        <f>transport!P14</f>
        <v>0</v>
      </c>
      <c r="R20" s="700">
        <f>SUM(C20:Q20)</f>
        <v>128634.56905310306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33.531712028860369</v>
      </c>
      <c r="D22" s="812">
        <f t="shared" ref="D22:R22" si="1">SUM(D18:D21)</f>
        <v>0</v>
      </c>
      <c r="E22" s="812">
        <f t="shared" si="1"/>
        <v>73.093923281298942</v>
      </c>
      <c r="F22" s="812">
        <f t="shared" si="1"/>
        <v>305.5508901896896</v>
      </c>
      <c r="G22" s="812">
        <f t="shared" si="1"/>
        <v>0</v>
      </c>
      <c r="H22" s="812">
        <f t="shared" si="1"/>
        <v>106443.67652723883</v>
      </c>
      <c r="I22" s="812">
        <f t="shared" si="1"/>
        <v>19950.175722479489</v>
      </c>
      <c r="J22" s="812">
        <f t="shared" si="1"/>
        <v>0</v>
      </c>
      <c r="K22" s="812">
        <f t="shared" si="1"/>
        <v>0</v>
      </c>
      <c r="L22" s="812">
        <f t="shared" si="1"/>
        <v>0</v>
      </c>
      <c r="M22" s="812">
        <f t="shared" si="1"/>
        <v>0</v>
      </c>
      <c r="N22" s="812">
        <f t="shared" si="1"/>
        <v>3950.2262957401281</v>
      </c>
      <c r="O22" s="812">
        <f t="shared" si="1"/>
        <v>0</v>
      </c>
      <c r="P22" s="812">
        <f t="shared" si="1"/>
        <v>0</v>
      </c>
      <c r="Q22" s="812">
        <f t="shared" si="1"/>
        <v>0</v>
      </c>
      <c r="R22" s="812">
        <f t="shared" si="1"/>
        <v>130756.25507095827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37.774819169100006</v>
      </c>
      <c r="D24" s="1012">
        <f>+landbouw!C8</f>
        <v>0</v>
      </c>
      <c r="E24" s="1012">
        <f>+landbouw!D8</f>
        <v>57.019298990566</v>
      </c>
      <c r="F24" s="1012">
        <f>+landbouw!E8</f>
        <v>0.97406754783407479</v>
      </c>
      <c r="G24" s="1012">
        <f>+landbouw!F8</f>
        <v>138.07415792791389</v>
      </c>
      <c r="H24" s="1012">
        <f>+landbouw!G8</f>
        <v>0</v>
      </c>
      <c r="I24" s="1012">
        <f>+landbouw!H8</f>
        <v>0</v>
      </c>
      <c r="J24" s="1012">
        <f>+landbouw!I8</f>
        <v>0</v>
      </c>
      <c r="K24" s="1012">
        <f>+landbouw!J8</f>
        <v>5.4381843510315901</v>
      </c>
      <c r="L24" s="1012">
        <f>+landbouw!K8</f>
        <v>0</v>
      </c>
      <c r="M24" s="1012">
        <f>+landbouw!L8</f>
        <v>0</v>
      </c>
      <c r="N24" s="1012">
        <f>+landbouw!M8</f>
        <v>0</v>
      </c>
      <c r="O24" s="1012">
        <f>+landbouw!N8</f>
        <v>0</v>
      </c>
      <c r="P24" s="1012">
        <f>+landbouw!O8</f>
        <v>0</v>
      </c>
      <c r="Q24" s="1013">
        <f>+landbouw!P8</f>
        <v>0</v>
      </c>
      <c r="R24" s="700">
        <f>SUM(C24:Q24)</f>
        <v>239.28052798644555</v>
      </c>
      <c r="S24" s="67"/>
    </row>
    <row r="25" spans="1:19" s="473" customFormat="1" ht="15" thickBot="1">
      <c r="A25" s="831" t="s">
        <v>848</v>
      </c>
      <c r="B25" s="1015"/>
      <c r="C25" s="1016">
        <f>IF(Onbekend_ele_kWh="---",0,Onbekend_ele_kWh)/1000+IF(REST_rest_ele_kWh="---",0,REST_rest_ele_kWh)/1000</f>
        <v>2882.7887194</v>
      </c>
      <c r="D25" s="1016"/>
      <c r="E25" s="1016">
        <f>IF(onbekend_gas_kWh="---",0,onbekend_gas_kWh)/1000+IF(REST_rest_gas_kWh="---",0,REST_rest_gas_kWh)/1000</f>
        <v>3827.7993741999999</v>
      </c>
      <c r="F25" s="1016"/>
      <c r="G25" s="1016"/>
      <c r="H25" s="1016"/>
      <c r="I25" s="1016"/>
      <c r="J25" s="1016"/>
      <c r="K25" s="1016"/>
      <c r="L25" s="1016"/>
      <c r="M25" s="1016"/>
      <c r="N25" s="1016"/>
      <c r="O25" s="1016"/>
      <c r="P25" s="1016"/>
      <c r="Q25" s="1017"/>
      <c r="R25" s="700">
        <f>SUM(C25:Q25)</f>
        <v>6710.5880935999994</v>
      </c>
      <c r="S25" s="67"/>
    </row>
    <row r="26" spans="1:19" s="473" customFormat="1" ht="15.75" thickBot="1">
      <c r="A26" s="705" t="s">
        <v>849</v>
      </c>
      <c r="B26" s="817"/>
      <c r="C26" s="812">
        <f>SUM(C24:C25)</f>
        <v>2920.5635385690998</v>
      </c>
      <c r="D26" s="812">
        <f t="shared" ref="D26:R26" si="2">SUM(D24:D25)</f>
        <v>0</v>
      </c>
      <c r="E26" s="812">
        <f t="shared" si="2"/>
        <v>3884.8186731905657</v>
      </c>
      <c r="F26" s="812">
        <f t="shared" si="2"/>
        <v>0.97406754783407479</v>
      </c>
      <c r="G26" s="812">
        <f t="shared" si="2"/>
        <v>138.07415792791389</v>
      </c>
      <c r="H26" s="812">
        <f t="shared" si="2"/>
        <v>0</v>
      </c>
      <c r="I26" s="812">
        <f t="shared" si="2"/>
        <v>0</v>
      </c>
      <c r="J26" s="812">
        <f t="shared" si="2"/>
        <v>0</v>
      </c>
      <c r="K26" s="812">
        <f t="shared" si="2"/>
        <v>5.4381843510315901</v>
      </c>
      <c r="L26" s="812">
        <f t="shared" si="2"/>
        <v>0</v>
      </c>
      <c r="M26" s="812">
        <f t="shared" si="2"/>
        <v>0</v>
      </c>
      <c r="N26" s="812">
        <f t="shared" si="2"/>
        <v>0</v>
      </c>
      <c r="O26" s="812">
        <f t="shared" si="2"/>
        <v>0</v>
      </c>
      <c r="P26" s="812">
        <f t="shared" si="2"/>
        <v>0</v>
      </c>
      <c r="Q26" s="812">
        <f t="shared" si="2"/>
        <v>0</v>
      </c>
      <c r="R26" s="812">
        <f t="shared" si="2"/>
        <v>6949.8686215864445</v>
      </c>
      <c r="S26" s="67"/>
    </row>
    <row r="27" spans="1:19" s="473" customFormat="1" ht="17.25" thickTop="1" thickBot="1">
      <c r="A27" s="706" t="s">
        <v>116</v>
      </c>
      <c r="B27" s="805"/>
      <c r="C27" s="707">
        <f ca="1">C22+C16+C26</f>
        <v>55825.647079426431</v>
      </c>
      <c r="D27" s="707">
        <f t="shared" ref="D27:R27" ca="1" si="3">D22+D16+D26</f>
        <v>0</v>
      </c>
      <c r="E27" s="707">
        <f t="shared" ca="1" si="3"/>
        <v>114030.70643898402</v>
      </c>
      <c r="F27" s="707">
        <f t="shared" si="3"/>
        <v>1849.7751749795632</v>
      </c>
      <c r="G27" s="707">
        <f t="shared" ca="1" si="3"/>
        <v>7262.0094007830239</v>
      </c>
      <c r="H27" s="707">
        <f t="shared" si="3"/>
        <v>106443.67652723883</v>
      </c>
      <c r="I27" s="707">
        <f t="shared" si="3"/>
        <v>19950.175722479489</v>
      </c>
      <c r="J27" s="707">
        <f t="shared" si="3"/>
        <v>0</v>
      </c>
      <c r="K27" s="707">
        <f t="shared" si="3"/>
        <v>40.219224581252597</v>
      </c>
      <c r="L27" s="707">
        <f t="shared" si="3"/>
        <v>0</v>
      </c>
      <c r="M27" s="707">
        <f t="shared" ca="1" si="3"/>
        <v>0</v>
      </c>
      <c r="N27" s="707">
        <f t="shared" si="3"/>
        <v>3950.2262957401281</v>
      </c>
      <c r="O27" s="707">
        <f t="shared" ca="1" si="3"/>
        <v>5414.103510041371</v>
      </c>
      <c r="P27" s="707">
        <f t="shared" si="3"/>
        <v>56.28</v>
      </c>
      <c r="Q27" s="707">
        <f t="shared" si="3"/>
        <v>171.6</v>
      </c>
      <c r="R27" s="707">
        <f t="shared" ca="1" si="3"/>
        <v>314994.41937425412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3888.2438339506862</v>
      </c>
      <c r="D40" s="1012">
        <f ca="1">tertiair!C20</f>
        <v>0</v>
      </c>
      <c r="E40" s="1012">
        <f ca="1">tertiair!D20</f>
        <v>6292.3793496063317</v>
      </c>
      <c r="F40" s="1012">
        <f>tertiair!E20</f>
        <v>87.462555404924998</v>
      </c>
      <c r="G40" s="1012">
        <f ca="1">tertiair!F20</f>
        <v>1385.3553768053657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11653.441115767309</v>
      </c>
    </row>
    <row r="41" spans="1:18">
      <c r="A41" s="822" t="s">
        <v>225</v>
      </c>
      <c r="B41" s="829"/>
      <c r="C41" s="1012">
        <f ca="1">huishoudens!B12</f>
        <v>5097.9754010097586</v>
      </c>
      <c r="D41" s="1012">
        <f ca="1">huishoudens!C12</f>
        <v>0</v>
      </c>
      <c r="E41" s="1012">
        <f>huishoudens!D12</f>
        <v>15102.905916270878</v>
      </c>
      <c r="F41" s="1012">
        <f>huishoudens!E12</f>
        <v>162.72385122542119</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20363.605168506059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1170.7148287956661</v>
      </c>
      <c r="D43" s="1012">
        <f ca="1">industrie!C22</f>
        <v>0</v>
      </c>
      <c r="E43" s="1012">
        <f>industrie!D22</f>
        <v>839.41909031024966</v>
      </c>
      <c r="F43" s="1012">
        <f>industrie!E22</f>
        <v>100.13139268359681</v>
      </c>
      <c r="G43" s="1012">
        <f>industrie!F22</f>
        <v>516.73533303694887</v>
      </c>
      <c r="H43" s="1012">
        <f>industrie!G22</f>
        <v>0</v>
      </c>
      <c r="I43" s="1012">
        <f>industrie!H22</f>
        <v>0</v>
      </c>
      <c r="J43" s="1012">
        <f>industrie!I22</f>
        <v>0</v>
      </c>
      <c r="K43" s="1012">
        <f>industrie!J22</f>
        <v>12.312488241498237</v>
      </c>
      <c r="L43" s="1012">
        <f>industrie!K22</f>
        <v>0</v>
      </c>
      <c r="M43" s="1012">
        <f>industrie!L22</f>
        <v>0</v>
      </c>
      <c r="N43" s="1012">
        <f>industrie!M22</f>
        <v>0</v>
      </c>
      <c r="O43" s="1012">
        <f>industrie!N22</f>
        <v>0</v>
      </c>
      <c r="P43" s="1012">
        <f>industrie!O22</f>
        <v>0</v>
      </c>
      <c r="Q43" s="774">
        <f>industrie!P22</f>
        <v>0</v>
      </c>
      <c r="R43" s="849">
        <f t="shared" ca="1" si="4"/>
        <v>2639.3131330679594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10156.934063756111</v>
      </c>
      <c r="D46" s="732">
        <f t="shared" ref="D46:Q46" ca="1" si="5">SUM(D39:D45)</f>
        <v>0</v>
      </c>
      <c r="E46" s="732">
        <f t="shared" ca="1" si="5"/>
        <v>22234.70435618746</v>
      </c>
      <c r="F46" s="732">
        <f t="shared" si="5"/>
        <v>350.317799313943</v>
      </c>
      <c r="G46" s="732">
        <f t="shared" ca="1" si="5"/>
        <v>1902.0907098423145</v>
      </c>
      <c r="H46" s="732">
        <f t="shared" si="5"/>
        <v>0</v>
      </c>
      <c r="I46" s="732">
        <f t="shared" si="5"/>
        <v>0</v>
      </c>
      <c r="J46" s="732">
        <f t="shared" si="5"/>
        <v>0</v>
      </c>
      <c r="K46" s="732">
        <f t="shared" si="5"/>
        <v>12.312488241498237</v>
      </c>
      <c r="L46" s="732">
        <f t="shared" si="5"/>
        <v>0</v>
      </c>
      <c r="M46" s="732">
        <f t="shared" ca="1" si="5"/>
        <v>0</v>
      </c>
      <c r="N46" s="732">
        <f t="shared" si="5"/>
        <v>0</v>
      </c>
      <c r="O46" s="732">
        <f t="shared" ca="1" si="5"/>
        <v>0</v>
      </c>
      <c r="P46" s="732">
        <f t="shared" si="5"/>
        <v>0</v>
      </c>
      <c r="Q46" s="732">
        <f t="shared" si="5"/>
        <v>0</v>
      </c>
      <c r="R46" s="732">
        <f ca="1">SUM(R39:R45)</f>
        <v>34656.359417341329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549.44753349258451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549.44753349258451</v>
      </c>
    </row>
    <row r="50" spans="1:18">
      <c r="A50" s="825" t="s">
        <v>307</v>
      </c>
      <c r="B50" s="835"/>
      <c r="C50" s="703">
        <f ca="1">transport!B18</f>
        <v>6.4416378249047312</v>
      </c>
      <c r="D50" s="703">
        <f>transport!C18</f>
        <v>0</v>
      </c>
      <c r="E50" s="703">
        <f>transport!D18</f>
        <v>14.764972502822387</v>
      </c>
      <c r="F50" s="703">
        <f>transport!E18</f>
        <v>69.360052073059535</v>
      </c>
      <c r="G50" s="703">
        <f>transport!F18</f>
        <v>0</v>
      </c>
      <c r="H50" s="703">
        <f>transport!G18</f>
        <v>27871.014099280183</v>
      </c>
      <c r="I50" s="703">
        <f>transport!H18</f>
        <v>4967.5937548973925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32929.174516578365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6.4416378249047312</v>
      </c>
      <c r="D52" s="732">
        <f t="shared" ref="D52:Q52" ca="1" si="6">SUM(D48:D51)</f>
        <v>0</v>
      </c>
      <c r="E52" s="732">
        <f t="shared" si="6"/>
        <v>14.764972502822387</v>
      </c>
      <c r="F52" s="732">
        <f t="shared" si="6"/>
        <v>69.360052073059535</v>
      </c>
      <c r="G52" s="732">
        <f t="shared" si="6"/>
        <v>0</v>
      </c>
      <c r="H52" s="732">
        <f t="shared" si="6"/>
        <v>28420.461632772767</v>
      </c>
      <c r="I52" s="732">
        <f t="shared" si="6"/>
        <v>4967.5937548973925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33478.622050070946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7.2567635013439835</v>
      </c>
      <c r="D54" s="703">
        <f ca="1">+landbouw!C12</f>
        <v>0</v>
      </c>
      <c r="E54" s="703">
        <f>+landbouw!D12</f>
        <v>11.517898396094333</v>
      </c>
      <c r="F54" s="703">
        <f>+landbouw!E12</f>
        <v>0.221113333358335</v>
      </c>
      <c r="G54" s="703">
        <f>+landbouw!F12</f>
        <v>36.865800166753012</v>
      </c>
      <c r="H54" s="703">
        <f>+landbouw!G12</f>
        <v>0</v>
      </c>
      <c r="I54" s="703">
        <f>+landbouw!H12</f>
        <v>0</v>
      </c>
      <c r="J54" s="703">
        <f>+landbouw!I12</f>
        <v>0</v>
      </c>
      <c r="K54" s="703">
        <f>+landbouw!J12</f>
        <v>1.9251172602651827</v>
      </c>
      <c r="L54" s="703">
        <f>+landbouw!K12</f>
        <v>0</v>
      </c>
      <c r="M54" s="703">
        <f>+landbouw!L12</f>
        <v>0</v>
      </c>
      <c r="N54" s="703">
        <f>+landbouw!M12</f>
        <v>0</v>
      </c>
      <c r="O54" s="703">
        <f>+landbouw!N12</f>
        <v>0</v>
      </c>
      <c r="P54" s="703">
        <f>+landbouw!O12</f>
        <v>0</v>
      </c>
      <c r="Q54" s="704">
        <f>+landbouw!P12</f>
        <v>0</v>
      </c>
      <c r="R54" s="731">
        <f ca="1">SUM(C54:Q54)</f>
        <v>57.786692657814847</v>
      </c>
    </row>
    <row r="55" spans="1:18" ht="15" thickBot="1">
      <c r="A55" s="825" t="s">
        <v>848</v>
      </c>
      <c r="B55" s="835"/>
      <c r="C55" s="703">
        <f ca="1">C25*'EF ele_warmte'!B12</f>
        <v>553.80055871029856</v>
      </c>
      <c r="D55" s="703"/>
      <c r="E55" s="703">
        <f>E25*EF_CO2_aardgas</f>
        <v>773.21547358840007</v>
      </c>
      <c r="F55" s="703"/>
      <c r="G55" s="703"/>
      <c r="H55" s="703"/>
      <c r="I55" s="703"/>
      <c r="J55" s="703"/>
      <c r="K55" s="703"/>
      <c r="L55" s="703"/>
      <c r="M55" s="703"/>
      <c r="N55" s="703"/>
      <c r="O55" s="703"/>
      <c r="P55" s="703"/>
      <c r="Q55" s="704"/>
      <c r="R55" s="731">
        <f ca="1">SUM(C55:Q55)</f>
        <v>1327.0160322986985</v>
      </c>
    </row>
    <row r="56" spans="1:18" ht="15.75" thickBot="1">
      <c r="A56" s="823" t="s">
        <v>849</v>
      </c>
      <c r="B56" s="836"/>
      <c r="C56" s="732">
        <f ca="1">SUM(C54:C55)</f>
        <v>561.0573222116426</v>
      </c>
      <c r="D56" s="732">
        <f t="shared" ref="D56:Q56" ca="1" si="7">SUM(D54:D55)</f>
        <v>0</v>
      </c>
      <c r="E56" s="732">
        <f t="shared" si="7"/>
        <v>784.7333719844944</v>
      </c>
      <c r="F56" s="732">
        <f t="shared" si="7"/>
        <v>0.221113333358335</v>
      </c>
      <c r="G56" s="732">
        <f t="shared" si="7"/>
        <v>36.865800166753012</v>
      </c>
      <c r="H56" s="732">
        <f t="shared" si="7"/>
        <v>0</v>
      </c>
      <c r="I56" s="732">
        <f t="shared" si="7"/>
        <v>0</v>
      </c>
      <c r="J56" s="732">
        <f t="shared" si="7"/>
        <v>0</v>
      </c>
      <c r="K56" s="732">
        <f t="shared" si="7"/>
        <v>1.9251172602651827</v>
      </c>
      <c r="L56" s="732">
        <f t="shared" si="7"/>
        <v>0</v>
      </c>
      <c r="M56" s="732">
        <f t="shared" si="7"/>
        <v>0</v>
      </c>
      <c r="N56" s="732">
        <f t="shared" si="7"/>
        <v>0</v>
      </c>
      <c r="O56" s="732">
        <f t="shared" si="7"/>
        <v>0</v>
      </c>
      <c r="P56" s="732">
        <f t="shared" si="7"/>
        <v>0</v>
      </c>
      <c r="Q56" s="733">
        <f t="shared" si="7"/>
        <v>0</v>
      </c>
      <c r="R56" s="734">
        <f ca="1">SUM(R54:R55)</f>
        <v>1384.8027249565134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10724.433023792657</v>
      </c>
      <c r="D61" s="740">
        <f t="shared" ref="D61:Q61" ca="1" si="8">D46+D52+D56</f>
        <v>0</v>
      </c>
      <c r="E61" s="740">
        <f t="shared" ca="1" si="8"/>
        <v>23034.202700674778</v>
      </c>
      <c r="F61" s="740">
        <f t="shared" si="8"/>
        <v>419.89896472036088</v>
      </c>
      <c r="G61" s="740">
        <f t="shared" ca="1" si="8"/>
        <v>1938.9565100090674</v>
      </c>
      <c r="H61" s="740">
        <f t="shared" si="8"/>
        <v>28420.461632772767</v>
      </c>
      <c r="I61" s="740">
        <f t="shared" si="8"/>
        <v>4967.5937548973925</v>
      </c>
      <c r="J61" s="740">
        <f t="shared" si="8"/>
        <v>0</v>
      </c>
      <c r="K61" s="740">
        <f t="shared" si="8"/>
        <v>14.237605501763419</v>
      </c>
      <c r="L61" s="740">
        <f t="shared" si="8"/>
        <v>0</v>
      </c>
      <c r="M61" s="740">
        <f t="shared" ca="1" si="8"/>
        <v>0</v>
      </c>
      <c r="N61" s="740">
        <f t="shared" si="8"/>
        <v>0</v>
      </c>
      <c r="O61" s="740">
        <f t="shared" ca="1" si="8"/>
        <v>0</v>
      </c>
      <c r="P61" s="740">
        <f t="shared" si="8"/>
        <v>0</v>
      </c>
      <c r="Q61" s="740">
        <f t="shared" si="8"/>
        <v>0</v>
      </c>
      <c r="R61" s="740">
        <f ca="1">R46+R52+R56</f>
        <v>69519.784192368796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0.19210584354775817</v>
      </c>
      <c r="D63" s="781">
        <f t="shared" ca="1" si="9"/>
        <v>0</v>
      </c>
      <c r="E63" s="1023">
        <f t="shared" ca="1" si="9"/>
        <v>0.20200000000000004</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7298.8008179211938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7298.8008179211938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7298.8008179211938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7298.8008179211938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26537.326022268466</v>
      </c>
      <c r="C4" s="477">
        <f>huishoudens!C8</f>
        <v>0</v>
      </c>
      <c r="D4" s="477">
        <f>huishoudens!D8</f>
        <v>74766.860971638002</v>
      </c>
      <c r="E4" s="477">
        <f>huishoudens!E8</f>
        <v>716.84515958335317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2908.4107665396059</v>
      </c>
      <c r="O4" s="477">
        <f>huishoudens!O8</f>
        <v>54.716666666666669</v>
      </c>
      <c r="P4" s="478">
        <f>huishoudens!P8</f>
        <v>171.6</v>
      </c>
      <c r="Q4" s="479">
        <f>SUM(B4:P4)</f>
        <v>105155.75958669608</v>
      </c>
    </row>
    <row r="5" spans="1:17">
      <c r="A5" s="476" t="s">
        <v>156</v>
      </c>
      <c r="B5" s="477">
        <f ca="1">tertiair!B16</f>
        <v>19237.197232630002</v>
      </c>
      <c r="C5" s="477">
        <f ca="1">tertiair!C16</f>
        <v>0</v>
      </c>
      <c r="D5" s="477">
        <f ca="1">tertiair!D16</f>
        <v>31150.392819833323</v>
      </c>
      <c r="E5" s="477">
        <f>tertiair!E16</f>
        <v>385.29760090275329</v>
      </c>
      <c r="F5" s="477">
        <f ca="1">tertiair!F16</f>
        <v>5188.5969168740285</v>
      </c>
      <c r="G5" s="477">
        <f>tertiair!G16</f>
        <v>0</v>
      </c>
      <c r="H5" s="477">
        <f>tertiair!H16</f>
        <v>0</v>
      </c>
      <c r="I5" s="477">
        <f>tertiair!I16</f>
        <v>0</v>
      </c>
      <c r="J5" s="477">
        <f>tertiair!J16</f>
        <v>0</v>
      </c>
      <c r="K5" s="477">
        <f>tertiair!K16</f>
        <v>0</v>
      </c>
      <c r="L5" s="477">
        <f ca="1">tertiair!L16</f>
        <v>0</v>
      </c>
      <c r="M5" s="477">
        <f>tertiair!M16</f>
        <v>0</v>
      </c>
      <c r="N5" s="477">
        <f ca="1">tertiair!N16</f>
        <v>1264.2646771861394</v>
      </c>
      <c r="O5" s="477">
        <f>tertiair!O16</f>
        <v>1.5633333333333335</v>
      </c>
      <c r="P5" s="478">
        <f>tertiair!P16</f>
        <v>0</v>
      </c>
      <c r="Q5" s="476">
        <f t="shared" ref="Q5:Q14" ca="1" si="0">SUM(B5:P5)</f>
        <v>57227.312580759579</v>
      </c>
    </row>
    <row r="6" spans="1:17">
      <c r="A6" s="476" t="s">
        <v>194</v>
      </c>
      <c r="B6" s="477">
        <f>'openbare verlichting'!B8</f>
        <v>1002.915</v>
      </c>
      <c r="C6" s="477"/>
      <c r="D6" s="477"/>
      <c r="E6" s="477"/>
      <c r="F6" s="477"/>
      <c r="G6" s="477"/>
      <c r="H6" s="477"/>
      <c r="I6" s="477"/>
      <c r="J6" s="477"/>
      <c r="K6" s="477"/>
      <c r="L6" s="477"/>
      <c r="M6" s="477"/>
      <c r="N6" s="477"/>
      <c r="O6" s="477"/>
      <c r="P6" s="478"/>
      <c r="Q6" s="476">
        <f t="shared" si="0"/>
        <v>1002.915</v>
      </c>
    </row>
    <row r="7" spans="1:17">
      <c r="A7" s="476" t="s">
        <v>112</v>
      </c>
      <c r="B7" s="477">
        <f>landbouw!B8</f>
        <v>37.774819169100006</v>
      </c>
      <c r="C7" s="477">
        <f>landbouw!C8</f>
        <v>0</v>
      </c>
      <c r="D7" s="477">
        <f>landbouw!D8</f>
        <v>57.019298990566</v>
      </c>
      <c r="E7" s="477">
        <f>landbouw!E8</f>
        <v>0.97406754783407479</v>
      </c>
      <c r="F7" s="477">
        <f>landbouw!F8</f>
        <v>138.07415792791389</v>
      </c>
      <c r="G7" s="477">
        <f>landbouw!G8</f>
        <v>0</v>
      </c>
      <c r="H7" s="477">
        <f>landbouw!H8</f>
        <v>0</v>
      </c>
      <c r="I7" s="477">
        <f>landbouw!I8</f>
        <v>0</v>
      </c>
      <c r="J7" s="477">
        <f>landbouw!J8</f>
        <v>5.4381843510315901</v>
      </c>
      <c r="K7" s="477">
        <f>landbouw!K8</f>
        <v>0</v>
      </c>
      <c r="L7" s="477">
        <f>landbouw!L8</f>
        <v>0</v>
      </c>
      <c r="M7" s="477">
        <f>landbouw!M8</f>
        <v>0</v>
      </c>
      <c r="N7" s="477">
        <f>landbouw!N8</f>
        <v>0</v>
      </c>
      <c r="O7" s="477">
        <f>landbouw!O8</f>
        <v>0</v>
      </c>
      <c r="P7" s="478">
        <f>landbouw!P8</f>
        <v>0</v>
      </c>
      <c r="Q7" s="476">
        <f t="shared" si="0"/>
        <v>239.28052798644555</v>
      </c>
    </row>
    <row r="8" spans="1:17">
      <c r="A8" s="476" t="s">
        <v>638</v>
      </c>
      <c r="B8" s="477">
        <f>industrie!B18</f>
        <v>6094.1135739299998</v>
      </c>
      <c r="C8" s="477">
        <f>industrie!C18</f>
        <v>0</v>
      </c>
      <c r="D8" s="477">
        <f>industrie!D18</f>
        <v>4155.5400510408399</v>
      </c>
      <c r="E8" s="477">
        <f>industrie!E18</f>
        <v>441.10745675593307</v>
      </c>
      <c r="F8" s="477">
        <f>industrie!F18</f>
        <v>1935.3383259810819</v>
      </c>
      <c r="G8" s="477">
        <f>industrie!G18</f>
        <v>0</v>
      </c>
      <c r="H8" s="477">
        <f>industrie!H18</f>
        <v>0</v>
      </c>
      <c r="I8" s="477">
        <f>industrie!I18</f>
        <v>0</v>
      </c>
      <c r="J8" s="477">
        <f>industrie!J18</f>
        <v>34.781040230221009</v>
      </c>
      <c r="K8" s="477">
        <f>industrie!K18</f>
        <v>0</v>
      </c>
      <c r="L8" s="477">
        <f>industrie!L18</f>
        <v>0</v>
      </c>
      <c r="M8" s="477">
        <f>industrie!M18</f>
        <v>0</v>
      </c>
      <c r="N8" s="477">
        <f>industrie!N18</f>
        <v>1241.4280663156262</v>
      </c>
      <c r="O8" s="477">
        <f>industrie!O18</f>
        <v>0</v>
      </c>
      <c r="P8" s="478">
        <f>industrie!P18</f>
        <v>0</v>
      </c>
      <c r="Q8" s="476">
        <f t="shared" si="0"/>
        <v>13902.308514253702</v>
      </c>
    </row>
    <row r="9" spans="1:17" s="482" customFormat="1">
      <c r="A9" s="480" t="s">
        <v>564</v>
      </c>
      <c r="B9" s="481">
        <f>transport!B14</f>
        <v>33.531712028860369</v>
      </c>
      <c r="C9" s="481">
        <f>transport!C14</f>
        <v>0</v>
      </c>
      <c r="D9" s="481">
        <f>transport!D14</f>
        <v>73.093923281298942</v>
      </c>
      <c r="E9" s="481">
        <f>transport!E14</f>
        <v>305.5508901896896</v>
      </c>
      <c r="F9" s="481">
        <f>transport!F14</f>
        <v>0</v>
      </c>
      <c r="G9" s="481">
        <f>transport!G14</f>
        <v>104385.82059655499</v>
      </c>
      <c r="H9" s="481">
        <f>transport!H14</f>
        <v>19950.175722479489</v>
      </c>
      <c r="I9" s="481">
        <f>transport!I14</f>
        <v>0</v>
      </c>
      <c r="J9" s="481">
        <f>transport!J14</f>
        <v>0</v>
      </c>
      <c r="K9" s="481">
        <f>transport!K14</f>
        <v>0</v>
      </c>
      <c r="L9" s="481">
        <f>transport!L14</f>
        <v>0</v>
      </c>
      <c r="M9" s="481">
        <f>transport!M14</f>
        <v>3886.3962085687435</v>
      </c>
      <c r="N9" s="481">
        <f>transport!N14</f>
        <v>0</v>
      </c>
      <c r="O9" s="481">
        <f>transport!O14</f>
        <v>0</v>
      </c>
      <c r="P9" s="481">
        <f>transport!P14</f>
        <v>0</v>
      </c>
      <c r="Q9" s="480">
        <f>SUM(B9:P9)</f>
        <v>128634.56905310306</v>
      </c>
    </row>
    <row r="10" spans="1:17">
      <c r="A10" s="476" t="s">
        <v>554</v>
      </c>
      <c r="B10" s="477">
        <f>transport!B54</f>
        <v>0</v>
      </c>
      <c r="C10" s="477">
        <f>transport!C54</f>
        <v>0</v>
      </c>
      <c r="D10" s="477">
        <f>transport!D54</f>
        <v>0</v>
      </c>
      <c r="E10" s="477">
        <f>transport!E54</f>
        <v>0</v>
      </c>
      <c r="F10" s="477">
        <f>transport!F54</f>
        <v>0</v>
      </c>
      <c r="G10" s="477">
        <f>transport!G54</f>
        <v>2057.855930683837</v>
      </c>
      <c r="H10" s="477">
        <f>transport!H54</f>
        <v>0</v>
      </c>
      <c r="I10" s="477">
        <f>transport!I54</f>
        <v>0</v>
      </c>
      <c r="J10" s="477">
        <f>transport!J54</f>
        <v>0</v>
      </c>
      <c r="K10" s="477">
        <f>transport!K54</f>
        <v>0</v>
      </c>
      <c r="L10" s="477">
        <f>transport!L54</f>
        <v>0</v>
      </c>
      <c r="M10" s="477">
        <f>transport!M54</f>
        <v>63.830087171384527</v>
      </c>
      <c r="N10" s="477">
        <f>transport!N54</f>
        <v>0</v>
      </c>
      <c r="O10" s="477">
        <f>transport!O54</f>
        <v>0</v>
      </c>
      <c r="P10" s="478">
        <f>transport!P54</f>
        <v>0</v>
      </c>
      <c r="Q10" s="476">
        <f t="shared" si="0"/>
        <v>2121.6860178552215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2882.7887194</v>
      </c>
      <c r="C14" s="484"/>
      <c r="D14" s="484">
        <f>'SEAP template'!E25</f>
        <v>3827.7993741999999</v>
      </c>
      <c r="E14" s="484"/>
      <c r="F14" s="484"/>
      <c r="G14" s="484"/>
      <c r="H14" s="484"/>
      <c r="I14" s="484"/>
      <c r="J14" s="484"/>
      <c r="K14" s="484"/>
      <c r="L14" s="484"/>
      <c r="M14" s="484"/>
      <c r="N14" s="484"/>
      <c r="O14" s="484"/>
      <c r="P14" s="485"/>
      <c r="Q14" s="476">
        <f t="shared" si="0"/>
        <v>6710.5880935999994</v>
      </c>
    </row>
    <row r="15" spans="1:17" s="486" customFormat="1">
      <c r="A15" s="1038" t="s">
        <v>558</v>
      </c>
      <c r="B15" s="978">
        <f ca="1">SUM(B4:B14)</f>
        <v>55825.647079426424</v>
      </c>
      <c r="C15" s="978">
        <f t="shared" ref="C15:Q15" ca="1" si="1">SUM(C4:C14)</f>
        <v>0</v>
      </c>
      <c r="D15" s="978">
        <f t="shared" ca="1" si="1"/>
        <v>114030.70643898402</v>
      </c>
      <c r="E15" s="978">
        <f t="shared" si="1"/>
        <v>1849.7751749795632</v>
      </c>
      <c r="F15" s="978">
        <f t="shared" ca="1" si="1"/>
        <v>7262.0094007830239</v>
      </c>
      <c r="G15" s="978">
        <f t="shared" si="1"/>
        <v>106443.67652723883</v>
      </c>
      <c r="H15" s="978">
        <f t="shared" si="1"/>
        <v>19950.175722479489</v>
      </c>
      <c r="I15" s="978">
        <f t="shared" si="1"/>
        <v>0</v>
      </c>
      <c r="J15" s="978">
        <f t="shared" si="1"/>
        <v>40.219224581252597</v>
      </c>
      <c r="K15" s="978">
        <f t="shared" si="1"/>
        <v>0</v>
      </c>
      <c r="L15" s="978">
        <f t="shared" ca="1" si="1"/>
        <v>0</v>
      </c>
      <c r="M15" s="978">
        <f t="shared" si="1"/>
        <v>3950.2262957401281</v>
      </c>
      <c r="N15" s="978">
        <f t="shared" ca="1" si="1"/>
        <v>5414.103510041371</v>
      </c>
      <c r="O15" s="978">
        <f t="shared" si="1"/>
        <v>56.28</v>
      </c>
      <c r="P15" s="978">
        <f t="shared" si="1"/>
        <v>171.6</v>
      </c>
      <c r="Q15" s="978">
        <f t="shared" ca="1" si="1"/>
        <v>314994.41937425412</v>
      </c>
    </row>
    <row r="17" spans="1:17">
      <c r="A17" s="487" t="s">
        <v>559</v>
      </c>
      <c r="B17" s="786">
        <f ca="1">huishoudens!B10</f>
        <v>0.1921058435477582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5097.9754010097586</v>
      </c>
      <c r="C22" s="477">
        <f t="shared" ref="C22:C32" ca="1" si="3">C4*$C$17</f>
        <v>0</v>
      </c>
      <c r="D22" s="477">
        <f t="shared" ref="D22:D32" si="4">D4*$D$17</f>
        <v>15102.905916270878</v>
      </c>
      <c r="E22" s="477">
        <f t="shared" ref="E22:E32" si="5">E4*$E$17</f>
        <v>162.72385122542119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20363.605168506059</v>
      </c>
    </row>
    <row r="23" spans="1:17">
      <c r="A23" s="476" t="s">
        <v>156</v>
      </c>
      <c r="B23" s="477">
        <f t="shared" ca="1" si="2"/>
        <v>3695.5780018689861</v>
      </c>
      <c r="C23" s="477">
        <f t="shared" ca="1" si="3"/>
        <v>0</v>
      </c>
      <c r="D23" s="477">
        <f t="shared" ca="1" si="4"/>
        <v>6292.3793496063317</v>
      </c>
      <c r="E23" s="477">
        <f t="shared" si="5"/>
        <v>87.462555404924998</v>
      </c>
      <c r="F23" s="477">
        <f t="shared" ca="1" si="6"/>
        <v>1385.3553768053657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11460.775283685609</v>
      </c>
    </row>
    <row r="24" spans="1:17">
      <c r="A24" s="476" t="s">
        <v>194</v>
      </c>
      <c r="B24" s="477">
        <f t="shared" ca="1" si="2"/>
        <v>192.6658320816999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192.6658320816999</v>
      </c>
    </row>
    <row r="25" spans="1:17">
      <c r="A25" s="476" t="s">
        <v>112</v>
      </c>
      <c r="B25" s="477">
        <f t="shared" ca="1" si="2"/>
        <v>7.2567635013439835</v>
      </c>
      <c r="C25" s="477">
        <f t="shared" ca="1" si="3"/>
        <v>0</v>
      </c>
      <c r="D25" s="477">
        <f t="shared" si="4"/>
        <v>11.517898396094333</v>
      </c>
      <c r="E25" s="477">
        <f t="shared" si="5"/>
        <v>0.221113333358335</v>
      </c>
      <c r="F25" s="477">
        <f t="shared" si="6"/>
        <v>36.865800166753012</v>
      </c>
      <c r="G25" s="477">
        <f t="shared" si="7"/>
        <v>0</v>
      </c>
      <c r="H25" s="477">
        <f t="shared" si="8"/>
        <v>0</v>
      </c>
      <c r="I25" s="477">
        <f t="shared" si="9"/>
        <v>0</v>
      </c>
      <c r="J25" s="477">
        <f t="shared" si="10"/>
        <v>1.9251172602651827</v>
      </c>
      <c r="K25" s="477">
        <f t="shared" si="11"/>
        <v>0</v>
      </c>
      <c r="L25" s="477">
        <f t="shared" si="12"/>
        <v>0</v>
      </c>
      <c r="M25" s="477">
        <f t="shared" si="13"/>
        <v>0</v>
      </c>
      <c r="N25" s="477">
        <f t="shared" si="14"/>
        <v>0</v>
      </c>
      <c r="O25" s="477">
        <f t="shared" si="15"/>
        <v>0</v>
      </c>
      <c r="P25" s="478">
        <f t="shared" si="16"/>
        <v>0</v>
      </c>
      <c r="Q25" s="476">
        <f t="shared" ca="1" si="17"/>
        <v>57.786692657814847</v>
      </c>
    </row>
    <row r="26" spans="1:17">
      <c r="A26" s="476" t="s">
        <v>638</v>
      </c>
      <c r="B26" s="477">
        <f t="shared" ca="1" si="2"/>
        <v>1170.7148287956661</v>
      </c>
      <c r="C26" s="477">
        <f t="shared" ca="1" si="3"/>
        <v>0</v>
      </c>
      <c r="D26" s="477">
        <f t="shared" si="4"/>
        <v>839.41909031024966</v>
      </c>
      <c r="E26" s="477">
        <f t="shared" si="5"/>
        <v>100.13139268359681</v>
      </c>
      <c r="F26" s="477">
        <f t="shared" si="6"/>
        <v>516.73533303694887</v>
      </c>
      <c r="G26" s="477">
        <f t="shared" si="7"/>
        <v>0</v>
      </c>
      <c r="H26" s="477">
        <f t="shared" si="8"/>
        <v>0</v>
      </c>
      <c r="I26" s="477">
        <f t="shared" si="9"/>
        <v>0</v>
      </c>
      <c r="J26" s="477">
        <f t="shared" si="10"/>
        <v>12.312488241498237</v>
      </c>
      <c r="K26" s="477">
        <f t="shared" si="11"/>
        <v>0</v>
      </c>
      <c r="L26" s="477">
        <f t="shared" si="12"/>
        <v>0</v>
      </c>
      <c r="M26" s="477">
        <f t="shared" si="13"/>
        <v>0</v>
      </c>
      <c r="N26" s="477">
        <f t="shared" si="14"/>
        <v>0</v>
      </c>
      <c r="O26" s="477">
        <f t="shared" si="15"/>
        <v>0</v>
      </c>
      <c r="P26" s="478">
        <f t="shared" si="16"/>
        <v>0</v>
      </c>
      <c r="Q26" s="476">
        <f t="shared" ca="1" si="17"/>
        <v>2639.3131330679594</v>
      </c>
    </row>
    <row r="27" spans="1:17" s="482" customFormat="1">
      <c r="A27" s="480" t="s">
        <v>564</v>
      </c>
      <c r="B27" s="780">
        <f t="shared" ca="1" si="2"/>
        <v>6.4416378249047312</v>
      </c>
      <c r="C27" s="481">
        <f t="shared" ca="1" si="3"/>
        <v>0</v>
      </c>
      <c r="D27" s="481">
        <f t="shared" si="4"/>
        <v>14.764972502822387</v>
      </c>
      <c r="E27" s="481">
        <f t="shared" si="5"/>
        <v>69.360052073059535</v>
      </c>
      <c r="F27" s="481">
        <f t="shared" si="6"/>
        <v>0</v>
      </c>
      <c r="G27" s="481">
        <f t="shared" si="7"/>
        <v>27871.014099280183</v>
      </c>
      <c r="H27" s="481">
        <f t="shared" si="8"/>
        <v>4967.5937548973925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32929.174516578365</v>
      </c>
    </row>
    <row r="28" spans="1:17">
      <c r="A28" s="476" t="s">
        <v>554</v>
      </c>
      <c r="B28" s="477">
        <f t="shared" ca="1" si="2"/>
        <v>0</v>
      </c>
      <c r="C28" s="477">
        <f t="shared" ca="1" si="3"/>
        <v>0</v>
      </c>
      <c r="D28" s="477">
        <f t="shared" si="4"/>
        <v>0</v>
      </c>
      <c r="E28" s="477">
        <f t="shared" si="5"/>
        <v>0</v>
      </c>
      <c r="F28" s="477">
        <f t="shared" si="6"/>
        <v>0</v>
      </c>
      <c r="G28" s="477">
        <f t="shared" si="7"/>
        <v>549.44753349258451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549.44753349258451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553.80055871029856</v>
      </c>
      <c r="C32" s="477">
        <f t="shared" ca="1" si="3"/>
        <v>0</v>
      </c>
      <c r="D32" s="477">
        <f t="shared" si="4"/>
        <v>773.21547358840007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1327.0160322986985</v>
      </c>
    </row>
    <row r="33" spans="1:17" s="486" customFormat="1">
      <c r="A33" s="1038" t="s">
        <v>558</v>
      </c>
      <c r="B33" s="978">
        <f ca="1">SUM(B22:B32)</f>
        <v>10724.433023792657</v>
      </c>
      <c r="C33" s="978">
        <f t="shared" ref="C33:Q33" ca="1" si="18">SUM(C22:C32)</f>
        <v>0</v>
      </c>
      <c r="D33" s="978">
        <f t="shared" ca="1" si="18"/>
        <v>23034.202700674778</v>
      </c>
      <c r="E33" s="978">
        <f t="shared" si="18"/>
        <v>419.89896472036088</v>
      </c>
      <c r="F33" s="978">
        <f t="shared" ca="1" si="18"/>
        <v>1938.9565100090676</v>
      </c>
      <c r="G33" s="978">
        <f t="shared" si="18"/>
        <v>28420.461632772767</v>
      </c>
      <c r="H33" s="978">
        <f t="shared" si="18"/>
        <v>4967.5937548973925</v>
      </c>
      <c r="I33" s="978">
        <f t="shared" si="18"/>
        <v>0</v>
      </c>
      <c r="J33" s="978">
        <f t="shared" si="18"/>
        <v>14.237605501763419</v>
      </c>
      <c r="K33" s="978">
        <f t="shared" si="18"/>
        <v>0</v>
      </c>
      <c r="L33" s="978">
        <f t="shared" ca="1" si="18"/>
        <v>0</v>
      </c>
      <c r="M33" s="978">
        <f t="shared" si="18"/>
        <v>0</v>
      </c>
      <c r="N33" s="978">
        <f t="shared" ca="1" si="18"/>
        <v>0</v>
      </c>
      <c r="O33" s="978">
        <f t="shared" si="18"/>
        <v>0</v>
      </c>
      <c r="P33" s="978">
        <f t="shared" si="18"/>
        <v>0</v>
      </c>
      <c r="Q33" s="978">
        <f t="shared" ca="1" si="18"/>
        <v>69519.784192368781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7298.8008179211938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7298.8008179211938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0.1921058435477582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0.1921058435477582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2019-08-12T08:22:06Z</dcterms:modified>
</cp:coreProperties>
</file>