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19" i="59" l="1"/>
  <c r="O20" s="1"/>
  <c r="O90" i="14"/>
  <c r="L18" i="59"/>
  <c r="L90" i="14"/>
  <c r="K17" i="59"/>
  <c r="K90" i="14"/>
  <c r="D10" i="18"/>
  <c r="E77" i="14"/>
  <c r="E9" i="59" s="1"/>
  <c r="C98" i="18"/>
  <c r="D101" s="1"/>
  <c r="B8"/>
  <c r="Q22" i="14"/>
  <c r="H20" i="59"/>
  <c r="L20" i="18"/>
  <c r="O77" i="14"/>
  <c r="Q77" s="1"/>
  <c r="P9" i="59" s="1"/>
  <c r="L10" i="18"/>
  <c r="H78" i="14"/>
  <c r="H8" i="59"/>
  <c r="H10" s="1"/>
  <c r="N77" i="14"/>
  <c r="N9" i="59" s="1"/>
  <c r="K10" i="18"/>
  <c r="P32" i="48"/>
  <c r="P25"/>
  <c r="P31"/>
  <c r="P29"/>
  <c r="O32"/>
  <c r="O29"/>
  <c r="H90" i="14"/>
  <c r="H18" i="59"/>
  <c r="B98" i="18"/>
  <c r="B17"/>
  <c r="B20" s="1"/>
  <c r="B14" i="48"/>
  <c r="Q14" s="1"/>
  <c r="R25" i="14"/>
  <c r="L78"/>
  <c r="L8" i="59"/>
  <c r="L10" s="1"/>
  <c r="N89" i="14"/>
  <c r="P27" i="48"/>
  <c r="O27"/>
  <c r="Q11"/>
  <c r="K78" i="14"/>
  <c r="L6" i="17"/>
  <c r="J9" i="18"/>
  <c r="J77" i="14" s="1"/>
  <c r="J9" i="59" s="1"/>
  <c r="B10" i="18"/>
  <c r="E20" i="59"/>
  <c r="E10"/>
  <c r="K20"/>
  <c r="F13" i="15"/>
  <c r="G78" i="14"/>
  <c r="N10" i="59"/>
  <c r="L20"/>
  <c r="O19" i="18"/>
  <c r="L13" i="15"/>
  <c r="N13"/>
  <c r="O9" i="18"/>
  <c r="O18"/>
  <c r="B89" i="14"/>
  <c r="B19" i="59" s="1"/>
  <c r="G88" i="14"/>
  <c r="F89"/>
  <c r="I102" i="18"/>
  <c r="H17" s="1"/>
  <c r="E102"/>
  <c r="E17" s="1"/>
  <c r="H102"/>
  <c r="D102"/>
  <c r="G102"/>
  <c r="C102"/>
  <c r="F102"/>
  <c r="B102"/>
  <c r="C17" s="1"/>
  <c r="O24" i="48"/>
  <c r="O30"/>
  <c r="P24"/>
  <c r="P30"/>
  <c r="C88" i="14"/>
  <c r="C18" i="59" s="1"/>
  <c r="E78" i="14"/>
  <c r="E90"/>
  <c r="N78"/>
  <c r="G90" l="1"/>
  <c r="G18" i="59"/>
  <c r="G20" s="1"/>
  <c r="C89" i="14"/>
  <c r="C19" i="59" s="1"/>
  <c r="F19"/>
  <c r="C101" i="18"/>
  <c r="Q88" i="14"/>
  <c r="P18" i="59" s="1"/>
  <c r="I101" i="18"/>
  <c r="H8" s="1"/>
  <c r="H10" s="1"/>
  <c r="B77" i="14"/>
  <c r="B9" i="59" s="1"/>
  <c r="H101" i="18"/>
  <c r="O78" i="14"/>
  <c r="O9" i="59"/>
  <c r="O10" s="1"/>
  <c r="N19"/>
  <c r="N20" s="1"/>
  <c r="N90" i="14"/>
  <c r="G101" i="18"/>
  <c r="F101"/>
  <c r="I8" s="1"/>
  <c r="O8" s="1"/>
  <c r="O10" s="1"/>
  <c r="B101"/>
  <c r="C8" s="1"/>
  <c r="B88" i="14"/>
  <c r="B18" i="59" s="1"/>
  <c r="E101" i="18"/>
  <c r="E8" s="1"/>
  <c r="F76" i="14" s="1"/>
  <c r="F8" i="59" s="1"/>
  <c r="F10" s="1"/>
  <c r="C77" i="14"/>
  <c r="C9" i="59" s="1"/>
  <c r="Q89" i="14"/>
  <c r="P19" i="59" s="1"/>
  <c r="C20" i="18"/>
  <c r="D87" i="14"/>
  <c r="D17" i="59" s="1"/>
  <c r="D20" s="1"/>
  <c r="D76" i="14"/>
  <c r="D8" i="59" s="1"/>
  <c r="D10" s="1"/>
  <c r="C10" i="18"/>
  <c r="J17"/>
  <c r="J8"/>
  <c r="F87" i="14"/>
  <c r="E20" i="18"/>
  <c r="I17"/>
  <c r="O17" s="1"/>
  <c r="O20" s="1"/>
  <c r="H20"/>
  <c r="M87" i="14"/>
  <c r="H14" i="15"/>
  <c r="H16" s="1"/>
  <c r="G14"/>
  <c r="G16" s="1"/>
  <c r="H5" i="48" l="1"/>
  <c r="I10" i="14"/>
  <c r="I16" s="1"/>
  <c r="M76"/>
  <c r="F90"/>
  <c r="F17" i="59"/>
  <c r="F20" s="1"/>
  <c r="G5" i="48"/>
  <c r="H10" i="14"/>
  <c r="H16" s="1"/>
  <c r="M90"/>
  <c r="M17" i="59"/>
  <c r="M20" s="1"/>
  <c r="E10" i="18"/>
  <c r="I76" i="14"/>
  <c r="I8" i="59" s="1"/>
  <c r="I10" s="1"/>
  <c r="I10" i="18"/>
  <c r="Q87" i="14"/>
  <c r="D90"/>
  <c r="F78"/>
  <c r="J87"/>
  <c r="J20" i="18"/>
  <c r="J10"/>
  <c r="J76" i="14"/>
  <c r="I87"/>
  <c r="I17" i="59" s="1"/>
  <c r="I20" s="1"/>
  <c r="I20" i="18"/>
  <c r="D78" i="14"/>
  <c r="B24" i="44"/>
  <c r="B23"/>
  <c r="J78" i="14" l="1"/>
  <c r="J8" i="59"/>
  <c r="J10" s="1"/>
  <c r="M78" i="14"/>
  <c r="M8" i="59"/>
  <c r="M10" s="1"/>
  <c r="J90" i="14"/>
  <c r="J17" i="59"/>
  <c r="J20" s="1"/>
  <c r="Q90" i="14"/>
  <c r="B17" i="6" s="1"/>
  <c r="P17" i="59"/>
  <c r="P20" s="1"/>
  <c r="Q76" i="14"/>
  <c r="B87"/>
  <c r="I90"/>
  <c r="C87"/>
  <c r="C76"/>
  <c r="B76"/>
  <c r="I78"/>
  <c r="A31" i="23"/>
  <c r="A32"/>
  <c r="A33"/>
  <c r="C78" i="14" l="1"/>
  <c r="C8" i="59"/>
  <c r="C10" s="1"/>
  <c r="B78" i="14"/>
  <c r="B8" i="59"/>
  <c r="B10" s="1"/>
  <c r="Q78" i="14"/>
  <c r="B9" i="6" s="1"/>
  <c r="P8" i="59"/>
  <c r="P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2"/>
  <c r="I30"/>
  <c r="I28"/>
  <c r="I24"/>
  <c r="D4"/>
  <c r="D22" s="1"/>
  <c r="E11" i="14"/>
  <c r="H32" i="48"/>
  <c r="H25"/>
  <c r="H29"/>
  <c r="H26"/>
  <c r="H28"/>
  <c r="H22"/>
  <c r="H30"/>
  <c r="H24"/>
  <c r="H23"/>
  <c r="C4"/>
  <c r="D11" i="14"/>
  <c r="G32" i="48"/>
  <c r="G25"/>
  <c r="G29"/>
  <c r="G26"/>
  <c r="G22"/>
  <c r="G30"/>
  <c r="G24"/>
  <c r="G23"/>
  <c r="B4"/>
  <c r="C11" i="14"/>
  <c r="F32" i="48"/>
  <c r="F28"/>
  <c r="F27"/>
  <c r="F24"/>
  <c r="F29"/>
  <c r="F31"/>
  <c r="F30"/>
  <c r="N32"/>
  <c r="N28"/>
  <c r="N27"/>
  <c r="N31"/>
  <c r="N29"/>
  <c r="N24"/>
  <c r="N30"/>
  <c r="B10"/>
  <c r="C19" i="14"/>
  <c r="E28" i="48"/>
  <c r="E32"/>
  <c r="E29"/>
  <c r="E31"/>
  <c r="E24"/>
  <c r="E30"/>
  <c r="M32"/>
  <c r="M22"/>
  <c r="M30"/>
  <c r="M24"/>
  <c r="M29"/>
  <c r="M25"/>
  <c r="M26"/>
  <c r="M23"/>
  <c r="L10" i="14"/>
  <c r="L16" s="1"/>
  <c r="L27" s="1"/>
  <c r="K5" i="48"/>
  <c r="D28"/>
  <c r="D32"/>
  <c r="D30"/>
  <c r="D31"/>
  <c r="D24"/>
  <c r="D29"/>
  <c r="L28"/>
  <c r="L27"/>
  <c r="L32"/>
  <c r="L30"/>
  <c r="L22"/>
  <c r="L29"/>
  <c r="L24"/>
  <c r="L31"/>
  <c r="P5"/>
  <c r="P23" s="1"/>
  <c r="Q10" i="14"/>
  <c r="K28" i="48"/>
  <c r="K27"/>
  <c r="K32"/>
  <c r="K31"/>
  <c r="K25"/>
  <c r="K22"/>
  <c r="K24"/>
  <c r="K30"/>
  <c r="K26"/>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H18" i="14"/>
  <c r="G13" i="48"/>
  <c r="H13"/>
  <c r="H31" s="1"/>
  <c r="I18" i="14"/>
  <c r="F4" i="48"/>
  <c r="F22" s="1"/>
  <c r="G11" i="14"/>
  <c r="K23" i="48"/>
  <c r="K33" s="1"/>
  <c r="K15"/>
  <c r="P8"/>
  <c r="P26" s="1"/>
  <c r="Q13" i="14"/>
  <c r="Q16" s="1"/>
  <c r="Q27" s="1"/>
  <c r="Q63" s="1"/>
  <c r="I5" i="48"/>
  <c r="J10" i="14"/>
  <c r="J16" s="1"/>
  <c r="J27" s="1"/>
  <c r="J7" i="48"/>
  <c r="J25" s="1"/>
  <c r="K24" i="14"/>
  <c r="K26" s="1"/>
  <c r="M12" i="22"/>
  <c r="M13" i="48"/>
  <c r="M31" s="1"/>
  <c r="N18" i="14"/>
  <c r="F20"/>
  <c r="F22" s="1"/>
  <c r="E9" i="48"/>
  <c r="E27" s="1"/>
  <c r="E20" i="14"/>
  <c r="E22" s="1"/>
  <c r="D9" i="48"/>
  <c r="D27" s="1"/>
  <c r="O5"/>
  <c r="O23" s="1"/>
  <c r="P10" i="14"/>
  <c r="C20"/>
  <c r="B9" i="48"/>
  <c r="P22"/>
  <c r="P33" s="1"/>
  <c r="I20" i="15"/>
  <c r="J40" i="14" s="1"/>
  <c r="J46" s="1"/>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E12" i="13"/>
  <c r="F41" i="14" s="1"/>
  <c r="F11"/>
  <c r="E4" i="48"/>
  <c r="R18" i="14"/>
  <c r="J4" i="48"/>
  <c r="K11" i="14"/>
  <c r="E7" i="48"/>
  <c r="E25" s="1"/>
  <c r="F24" i="14"/>
  <c r="F26" s="1"/>
  <c r="G31" i="48"/>
  <c r="Q13"/>
  <c r="N20" i="14"/>
  <c r="M9" i="48"/>
  <c r="O22" i="16"/>
  <c r="P43" i="14" s="1"/>
  <c r="P46" s="1"/>
  <c r="P61" s="1"/>
  <c r="P63" s="1"/>
  <c r="O8" i="48"/>
  <c r="P13" i="14"/>
  <c r="P16" s="1"/>
  <c r="P27" s="1"/>
  <c r="I20"/>
  <c r="H9" i="48"/>
  <c r="I23"/>
  <c r="I33" s="1"/>
  <c r="I15"/>
  <c r="M10"/>
  <c r="M28" s="1"/>
  <c r="N19" i="14"/>
  <c r="N22" s="1"/>
  <c r="N27" s="1"/>
  <c r="G14" i="22"/>
  <c r="I22" i="14"/>
  <c r="I27" s="1"/>
  <c r="P15" i="48"/>
  <c r="J63" i="14"/>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N63"/>
  <c r="E5" i="48"/>
  <c r="E23" s="1"/>
  <c r="F10" i="14"/>
  <c r="G9" i="48"/>
  <c r="H20" i="14"/>
  <c r="R20" s="1"/>
  <c r="M27" i="48"/>
  <c r="M33" s="1"/>
  <c r="M15"/>
  <c r="J5"/>
  <c r="J23" s="1"/>
  <c r="K10" i="14"/>
  <c r="J22" i="48"/>
  <c r="O26"/>
  <c r="O33" s="1"/>
  <c r="O15"/>
  <c r="G28"/>
  <c r="Q10"/>
  <c r="H27"/>
  <c r="H33" s="1"/>
  <c r="H15"/>
  <c r="E22"/>
  <c r="Q4"/>
  <c r="R22" i="14"/>
  <c r="R19"/>
  <c r="R24"/>
  <c r="R26" s="1"/>
  <c r="R11"/>
  <c r="J20" i="15"/>
  <c r="K40" i="14" s="1"/>
  <c r="H22"/>
  <c r="H27" s="1"/>
  <c r="Q7" i="48"/>
  <c r="E20" i="15"/>
  <c r="F40" i="14" s="1"/>
  <c r="J18" i="16"/>
  <c r="E18"/>
  <c r="F18"/>
  <c r="F22" s="1"/>
  <c r="G43" i="14" s="1"/>
  <c r="N18" i="16"/>
  <c r="G18" i="22"/>
  <c r="H50" i="14" s="1"/>
  <c r="E22" i="16"/>
  <c r="F43" i="14" s="1"/>
  <c r="H18" i="22"/>
  <c r="I50" i="14" s="1"/>
  <c r="I52" s="1"/>
  <c r="I61" s="1"/>
  <c r="I63" s="1"/>
  <c r="G27" i="48" l="1"/>
  <c r="G33" s="1"/>
  <c r="G15"/>
  <c r="Q9"/>
  <c r="J22" i="16"/>
  <c r="K43" i="14" s="1"/>
  <c r="J8" i="48"/>
  <c r="J26" s="1"/>
  <c r="J33" s="1"/>
  <c r="K13" i="14"/>
  <c r="E8" i="48"/>
  <c r="E26" s="1"/>
  <c r="F13" i="14"/>
  <c r="K16"/>
  <c r="K27" s="1"/>
  <c r="K46"/>
  <c r="K61" s="1"/>
  <c r="E33" i="48"/>
  <c r="J15"/>
  <c r="E15"/>
  <c r="F16" i="14"/>
  <c r="F27" s="1"/>
  <c r="F46"/>
  <c r="F61" s="1"/>
  <c r="N8" i="48"/>
  <c r="N26" s="1"/>
  <c r="O13" i="14"/>
  <c r="N22" i="16"/>
  <c r="O43" i="14" s="1"/>
  <c r="G13"/>
  <c r="F8" i="48"/>
  <c r="K63" i="14" l="1"/>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<sst xmlns="http://schemas.openxmlformats.org/spreadsheetml/2006/main" count="2473" uniqueCount="922">
  <si>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</si>
  <si>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</si>
  <si>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</si>
  <si>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</si>
  <si>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</si>
  <si>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</si>
  <si>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</si>
  <si>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</si>
  <si>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</si>
  <si>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</si>
  <si>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</si>
  <si>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</si>
  <si>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</si>
  <si>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</si>
  <si>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</si>
  <si>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</si>
  <si>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</si>
  <si>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</si>
  <si>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</si>
  <si>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</si>
  <si>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</si>
  <si>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</si>
  <si>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</si>
  <si>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</si>
  <si>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</si>
  <si>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</si>
  <si>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</si>
  <si>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</si>
  <si>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</si>
  <si>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</si>
  <si>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</si>
  <si>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</si>
  <si>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</si>
  <si>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</si>
  <si>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</si>
  <si>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</si>
  <si>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</si>
  <si>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</si>
  <si>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</si>
  <si>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</si>
  <si>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</si>
  <si>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</si>
  <si>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</si>
  <si>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</si>
  <si>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</si>
  <si>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</si>
  <si>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</si>
  <si>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</si>
  <si>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</si>
  <si>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</si>
  <si>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</si>
  <si>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</si>
  <si>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</si>
  <si>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</si>
  <si>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</si>
  <si>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</si>
  <si>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</si>
  <si>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</si>
  <si>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</si>
  <si>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</si>
  <si>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</si>
  <si>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</si>
  <si>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</si>
  <si>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</si>
  <si>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</si>
  <si>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</si>
  <si>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</si>
  <si>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</si>
  <si>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</si>
  <si>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</si>
  <si>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</si>
  <si>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</si>
  <si>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</si>
  <si>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</si>
  <si>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</si>
  <si>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</si>
  <si>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</si>
  <si>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</si>
  <si>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</si>
  <si>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</si>
  <si>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</si>
  <si>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</si>
  <si>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</si>
  <si>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</si>
  <si>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</si>
  <si>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</si>
  <si>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</si>
  <si>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</si>
  <si>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</si>
  <si>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</si>
  <si>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</si>
  <si>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</si>
  <si>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</si>
  <si>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</si>
  <si>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</si>
  <si>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</si>
  <si>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</si>
  <si>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</si>
  <si>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</si>
  <si>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</si>
  <si>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</si>
  <si>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</si>
  <si>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</si>
  <si>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</si>
  <si>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</si>
  <si>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</si>
  <si>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</si>
  <si>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</si>
  <si>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</si>
  <si>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</si>
  <si>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</si>
  <si>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</si>
  <si>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</si>
  <si>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</si>
  <si>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</si>
  <si>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</si>
  <si>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</si>
  <si>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</si>
  <si>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</si>
  <si>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</si>
  <si>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</si>
  <si>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</si>
  <si>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</si>
  <si>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</si>
  <si>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</si>
  <si>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</si>
  <si>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</si>
  <si>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</si>
  <si>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</si>
  <si>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</si>
  <si>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</si>
  <si>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</si>
  <si>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</si>
  <si>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</si>
  <si>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</si>
  <si>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</si>
  <si>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</si>
  <si>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</si>
  <si>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</si>
  <si>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</si>
  <si>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</si>
  <si>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</si>
  <si>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</si>
  <si>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</si>
  <si>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</si>
  <si>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</si>
  <si>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</si>
  <si>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</si>
  <si>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</si>
  <si>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</si>
  <si>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</si>
  <si>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</si>
  <si>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</si>
  <si>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</si>
  <si>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</si>
  <si>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</si>
  <si>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</si>
  <si>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</si>
  <si>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</si>
  <si>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</si>
  <si>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</si>
  <si>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</si>
  <si>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</si>
  <si>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</si>
  <si>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</si>
  <si>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</si>
  <si>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</si>
  <si>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</si>
  <si>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</si>
  <si>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</si>
  <si>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</si>
  <si>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</si>
  <si>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</si>
  <si>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</si>
  <si>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</si>
  <si>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</si>
  <si>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</si>
  <si>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</si>
  <si>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</si>
  <si>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</si>
  <si>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</si>
  <si>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</si>
  <si>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</si>
  <si>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</si>
  <si>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</si>
  <si>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</si>
  <si>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</si>
  <si>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</si>
  <si>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</si>
  <si>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</si>
  <si>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</si>
  <si>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</si>
  <si>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</si>
  <si>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</si>
  <si>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</si>
  <si>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</si>
  <si>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</si>
  <si>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</si>
  <si>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</si>
  <si>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</si>
  <si>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</si>
  <si>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</si>
  <si>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</si>
  <si>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</si>
  <si>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</si>
  <si>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</si>
  <si>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</si>
  <si>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</si>
  <si>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</si>
  <si>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</si>
  <si>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</si>
  <si>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</si>
  <si>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</si>
  <si>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</si>
  <si>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</si>
  <si>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</si>
  <si>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</si>
  <si>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</si>
  <si>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</si>
  <si>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</si>
  <si>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</si>
  <si>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</si>
  <si>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</si>
  <si>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</si>
  <si>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</si>
  <si>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</si>
  <si>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</si>
  <si>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</si>
  <si>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</si>
  <si>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</si>
  <si>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</si>
  <si>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</si>
  <si>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</si>
  <si>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</si>
  <si>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</si>
  <si>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</si>
  <si>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</si>
  <si>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</si>
  <si>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</si>
  <si>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</si>
  <si>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</si>
  <si>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</si>
  <si>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</si>
  <si>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</si>
  <si>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</si>
  <si>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</si>
  <si>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</si>
  <si>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</si>
  <si>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</si>
  <si>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</si>
  <si>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</si>
  <si>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</si>
  <si>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</si>
  <si>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</si>
  <si>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</si>
  <si>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</si>
  <si>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</si>
  <si>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</si>
  <si>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</si>
  <si>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</si>
  <si>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</si>
  <si>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</si>
  <si>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</si>
  <si>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</si>
  <si>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</si>
  <si>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</si>
  <si>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</si>
  <si>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</si>
  <si>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</si>
  <si>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</si>
  <si>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</si>
  <si>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</si>
  <si>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</si>
  <si>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</si>
  <si>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</si>
  <si>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</si>
  <si>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</si>
  <si>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</si>
  <si>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</si>
  <si>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</si>
  <si>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</si>
  <si>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</si>
  <si>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</si>
  <si>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</si>
  <si>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</si>
  <si>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</si>
  <si>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</si>
  <si>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</si>
  <si>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</si>
  <si>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</si>
  <si>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</si>
  <si>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</si>
  <si>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</si>
  <si>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</si>
  <si>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</si>
  <si>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</si>
  <si>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</si>
  <si>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</si>
  <si>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</si>
  <si>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</si>
  <si>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</si>
  <si>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</si>
  <si>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</si>
  <si>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</si>
  <si>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</si>
  <si>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</si>
  <si>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</si>
  <si>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</si>
  <si>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</si>
  <si>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</si>
  <si>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</si>
  <si>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</si>
  <si>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</si>
  <si>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</si>
  <si>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</si>
  <si>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</si>
  <si>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</si>
  <si>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</si>
  <si>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</si>
  <si>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</si>
  <si>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</si>
  <si>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</si>
  <si>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</si>
  <si>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</si>
  <si>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</si>
  <si>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</si>
  <si>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</si>
  <si>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</si>
  <si>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</si>
  <si>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</si>
  <si>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</si>
  <si>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</si>
  <si>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</si>
  <si>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</si>
  <si>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</si>
  <si>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</si>
  <si>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</si>
  <si>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</si>
  <si>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</si>
  <si>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</si>
  <si>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</si>
  <si>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</si>
  <si>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</si>
  <si>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</si>
  <si>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</si>
  <si>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</si>
  <si>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</si>
  <si>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</si>
  <si>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</si>
  <si>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</si>
  <si>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</si>
  <si>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</si>
  <si>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</si>
  <si>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</si>
  <si>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</si>
  <si>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</si>
  <si>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</si>
  <si>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</si>
  <si>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</si>
  <si>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</si>
  <si>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</si>
  <si>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</si>
  <si>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</si>
  <si>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</si>
  <si>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</si>
  <si>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</si>
  <si>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</si>
  <si>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</si>
  <si>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</si>
  <si>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</si>
  <si>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</si>
  <si>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</si>
  <si>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</si>
  <si>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</si>
  <si>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</si>
  <si>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</si>
  <si>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</si>
  <si>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</si>
  <si>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</si>
  <si>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</si>
  <si>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</si>
  <si>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</si>
  <si>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</si>
  <si>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</si>
  <si>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</si>
  <si>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</si>
  <si>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</si>
  <si>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</si>
  <si>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</si>
  <si>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</si>
  <si>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</si>
  <si>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</si>
  <si>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</si>
  <si>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</si>
  <si>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</si>
  <si>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</si>
  <si>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</si>
  <si>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</si>
  <si>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</si>
  <si>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</si>
  <si>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</si>
  <si>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</si>
  <si>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</si>
  <si>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</si>
  <si>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</si>
  <si>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</si>
  <si>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</si>
  <si>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</si>
  <si>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</si>
  <si>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</si>
  <si>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</si>
  <si>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</si>
  <si>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</si>
  <si>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</si>
  <si>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</si>
  <si>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</si>
  <si>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</si>
  <si>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</si>
  <si>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</si>
  <si>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</si>
  <si>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</si>
  <si>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</si>
  <si>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</si>
  <si>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</si>
  <si>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</si>
  <si>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</si>
  <si>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</si>
  <si>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</si>
  <si>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</si>
  <si>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</si>
  <si>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</si>
  <si>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</si>
  <si>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</si>
  <si>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</si>
  <si>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</si>
  <si>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</si>
  <si>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</si>
  <si>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</si>
  <si>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</si>
  <si>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</si>
  <si>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</si>
  <si>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</si>
  <si>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</si>
  <si>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</si>
  <si>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</si>
  <si>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</si>
  <si>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</si>
  <si>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</si>
  <si>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</si>
  <si>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</si>
  <si>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</si>
  <si>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</si>
  <si>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</si>
  <si>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</si>
  <si>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</si>
  <si>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</si>
  <si>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</si>
  <si>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</si>
  <si>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</si>
  <si>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</si>
  <si>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</si>
  <si>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</si>
  <si>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</si>
  <si>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</si>
  <si>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</si>
  <si>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</si>
  <si>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</si>
  <si>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</si>
  <si>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</si>
  <si>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</si>
  <si>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</si>
  <si>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</si>
  <si>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</si>
  <si>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</si>
  <si>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</si>
  <si>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</si>
  <si>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</si>
  <si>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</si>
  <si>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</si>
  <si>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</si>
  <si>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</si>
  <si>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</si>
  <si>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</si>
  <si>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</si>
  <si>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</si>
  <si>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</si>
  <si>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</si>
  <si>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</si>
  <si>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</si>
  <si>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</si>
  <si>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</si>
  <si>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</si>
  <si>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</si>
  <si>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</si>
  <si>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</si>
  <si>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</si>
  <si>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</si>
  <si>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</si>
  <si>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</si>
  <si>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</si>
  <si>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</si>
  <si>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</si>
  <si>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</si>
  <si>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</si>
  <si>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</si>
  <si>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</si>
  <si>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</si>
  <si>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</si>
  <si>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</si>
  <si>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</si>
  <si>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</si>
  <si>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</si>
  <si>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</si>
  <si>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</si>
  <si>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</si>
  <si>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</si>
  <si>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</si>
  <si>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</si>
  <si>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</si>
  <si>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</si>
  <si>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</si>
  <si>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</si>
  <si>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</si>
  <si>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</si>
  <si>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</si>
  <si>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</si>
  <si>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</si>
  <si>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</si>
  <si>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</si>
  <si>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</si>
  <si>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</si>
  <si>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</si>
  <si>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</si>
  <si>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</si>
  <si>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</si>
  <si>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</si>
  <si>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</si>
  <si>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</si>
  <si>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</si>
  <si>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</si>
  <si>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</si>
  <si>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</si>
  <si>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</si>
  <si>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</si>
  <si>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</si>
  <si>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</si>
  <si>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</si>
  <si>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</si>
  <si>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</si>
  <si>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</si>
  <si>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</si>
  <si>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</si>
  <si>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</si>
  <si>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</si>
  <si>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</si>
  <si>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</si>
  <si>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</si>
  <si>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</si>
  <si>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</si>
  <si>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</si>
  <si>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</si>
  <si>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</si>
  <si>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</si>
  <si>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</si>
  <si>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</si>
  <si>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</si>
  <si>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</si>
  <si>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</si>
  <si>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</si>
  <si>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</si>
  <si>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</si>
  <si>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</si>
  <si>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</si>
  <si>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</si>
  <si>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</si>
  <si>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</si>
  <si>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</si>
  <si>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</si>
  <si>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</si>
  <si>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</si>
  <si>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</si>
  <si>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</si>
  <si>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</si>
  <si>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</si>
  <si>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</si>
  <si>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</si>
  <si>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</si>
  <si>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</si>
  <si>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</si>
  <si>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</si>
  <si>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</si>
  <si>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</si>
  <si>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</si>
  <si>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</si>
  <si>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</si>
  <si>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</si>
  <si>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</si>
  <si>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</si>
  <si>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</si>
  <si>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</si>
  <si>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</si>
  <si>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</si>
  <si>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</si>
  <si>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</si>
  <si>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</si>
  <si>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</si>
  <si>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</si>
  <si>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</si>
  <si>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</si>
  <si>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</si>
  <si>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</si>
  <si>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</si>
  <si>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</si>
  <si>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</si>
  <si>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</si>
  <si>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</si>
  <si>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</si>
  <si>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</si>
  <si>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</si>
  <si>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</si>
  <si>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</si>
  <si>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</si>
  <si>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</si>
  <si>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</si>
  <si>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</si>
  <si>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</si>
  <si>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</si>
  <si>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</si>
  <si>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</si>
  <si>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</si>
  <si>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</si>
  <si>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</si>
  <si>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</si>
  <si>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</si>
  <si>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</si>
  <si>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</si>
  <si>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</si>
  <si>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</si>
  <si>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</si>
  <si>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</si>
  <si>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</si>
  <si>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</si>
  <si>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</si>
  <si>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</si>
  <si>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</si>
  <si>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</si>
  <si>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</si>
  <si>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</si>
  <si>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</si>
  <si>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</si>
  <si>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</si>
  <si>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</si>
  <si>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</si>
  <si>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</si>
  <si>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</si>
  <si>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</si>
  <si>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</si>
  <si>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</si>
  <si>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</si>
  <si>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</si>
  <si>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</si>
  <si>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</si>
  <si>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</si>
  <si>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</si>
  <si>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</si>
  <si>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</si>
  <si>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</si>
  <si>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</si>
  <si>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</si>
  <si>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</si>
  <si>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</si>
  <si>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</si>
  <si>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</si>
  <si>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</si>
  <si>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</si>
  <si>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</si>
  <si>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</si>
  <si>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</si>
  <si>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</si>
  <si>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</si>
  <si>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</si>
  <si>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</si>
  <si>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</si>
  <si>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</si>
  <si>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</si>
  <si>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</si>
  <si>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</si>
  <si>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</si>
  <si>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</si>
  <si>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</si>
  <si>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</si>
  <si>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</si>
  <si>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</si>
  <si>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</si>
  <si>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</si>
  <si>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</si>
  <si>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</si>
  <si>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</si>
  <si>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</si>
  <si>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</si>
  <si>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</si>
  <si>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</si>
  <si>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</si>
  <si>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</si>
  <si>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</si>
  <si>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</si>
  <si>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</si>
  <si>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</si>
  <si>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</si>
  <si>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</si>
  <si>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</si>
  <si>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</si>
  <si>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</si>
  <si>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</si>
  <si>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</si>
  <si>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</si>
  <si>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</si>
  <si>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</si>
  <si>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</si>
  <si>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</si>
  <si>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</si>
  <si>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</si>
  <si>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</si>
  <si>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</si>
  <si>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</si>
  <si>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</si>
  <si>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</si>
  <si>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</si>
  <si>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</si>
  <si>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</si>
  <si>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</si>
  <si>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</si>
  <si>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</si>
  <si>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</si>
  <si>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</si>
  <si>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</si>
  <si>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</si>
  <si>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</si>
  <si>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</si>
  <si>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</si>
  <si>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</si>
  <si>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</si>
  <si>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</si>
  <si>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</si>
  <si>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</si>
  <si>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</si>
  <si>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</si>
  <si>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</si>
  <si>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</si>
  <si>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</si>
  <si>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</si>
  <si>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</si>
  <si>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</si>
  <si>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</si>
  <si>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</si>
  <si>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</si>
  <si>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</si>
  <si>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</si>
  <si>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</si>
  <si>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</si>
  <si>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</si>
  <si>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</si>
  <si>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</si>
  <si>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</si>
  <si>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</si>
  <si>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</si>
  <si>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</si>
  <si>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</si>
  <si>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</si>
  <si>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</si>
  <si>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</si>
  <si>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</si>
  <si>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</si>
  <si>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</si>
  <si>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</si>
  <si>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</si>
  <si>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</si>
  <si>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</si>
  <si>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</si>
  <si>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</si>
  <si>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</si>
  <si>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</si>
  <si>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</si>
  <si>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</si>
  <si>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</si>
  <si>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</si>
  <si>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</si>
  <si>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</si>
  <si>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</si>
  <si>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</si>
  <si>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</si>
  <si>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</si>
  <si>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</si>
  <si>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</si>
  <si>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</si>
  <si>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</si>
  <si>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</si>
  <si>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</si>
  <si>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</si>
  <si>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</si>
  <si>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</si>
  <si>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</si>
  <si>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</si>
  <si>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</si>
  <si>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</si>
  <si>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</si>
  <si>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</si>
  <si>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</si>
  <si>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</si>
  <si>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</si>
  <si>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</si>
  <si>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</si>
  <si>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</si>
  <si>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</si>
  <si>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</si>
  <si>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</si>
  <si>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</si>
  <si>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</si>
  <si>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</si>
  <si>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</si>
  <si>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</si>
  <si>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</si>
  <si>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</si>
  <si>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</si>
  <si>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</si>
  <si>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</si>
  <si>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</si>
  <si>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</si>
  <si>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</si>
  <si>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</si>
  <si>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</si>
  <si>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</si>
  <si>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</si>
  <si>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</si>
  <si>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</si>
  <si>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</si>
  <si>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</si>
  <si>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</si>
  <si>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</si>
  <si>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</si>
  <si>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</si>
  <si>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</si>
  <si>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</si>
  <si>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</si>
  <si>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</si>
  <si>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</si>
  <si>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</si>
  <si>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</si>
  <si>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</si>
  <si>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</si>
  <si>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</si>
  <si>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</si>
  <si>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</si>
  <si>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</si>
  <si>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</si>
  <si>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</si>
  <si>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</si>
  <si>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</si>
  <si>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</si>
  <si>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</si>
  <si>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</si>
  <si>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</si>
  <si>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</si>
  <si>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</si>
  <si>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</si>
  <si>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</si>
  <si>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</si>
  <si>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</si>
  <si>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</si>
  <si>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</si>
  <si>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</si>
  <si>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</si>
  <si>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</si>
  <si>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</si>
  <si>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</si>
  <si>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</si>
  <si>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</si>
  <si>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</si>
  <si>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</si>
  <si>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</si>
  <si>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</si>
  <si>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</si>
  <si>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11004</t>
  </si>
  <si>
    <t>BOECHOUT</t>
  </si>
  <si>
    <t>Paarden&amp;pony's 200 - 600 kg</t>
  </si>
  <si>
    <t>Paarden&amp;pony's &lt; 200 kg</t>
  </si>
  <si>
    <t>referentietaak LNE (2017); Jaarverslag De Lijn (2015)</t>
  </si>
  <si>
    <t>op basis van VEA (maart 2018) en Inventaris Hernieuwbare Energiebronnen (juni 2018)</t>
  </si>
  <si>
    <t>VEA (januari 2017)</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</si>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</sst>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89771.703017845051</c:v>
                </c:pt>
                <c:pt idx="1">
                  <c:v>34817.7804575345</c:v>
                </c:pt>
                <c:pt idx="2">
                  <c:v>713.97900000000004</c:v>
                </c:pt>
                <c:pt idx="3">
                  <c:v>154937.06282438853</c:v>
                </c:pt>
                <c:pt idx="4">
                  <c:v>30980.09650246377</c:v>
                </c:pt>
                <c:pt idx="5">
                  <c:v>43911.681847637767</c:v>
                </c:pt>
                <c:pt idx="6">
                  <c:v>2161.0216116494003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78624"/>
        <c:axId val="183580160"/>
      </c:barChart>
      <c:catAx>
        <c:axId val="183578624"/>
        <c:scaling>
          <c:orientation val="minMax"/>
        </c:scaling>
        <c:axPos val="b"/>
        <c:numFmt formatCode="General" sourceLinked="0"/>
        <c:tickLblPos val="nextTo"/>
        <c:crossAx val="183580160"/>
        <c:crosses val="autoZero"/>
        <c:auto val="1"/>
        <c:lblAlgn val="ctr"/>
        <c:lblOffset val="100"/>
      </c:catAx>
      <c:valAx>
        <c:axId val="183580160"/>
        <c:scaling>
          <c:orientation val="minMax"/>
        </c:scaling>
        <c:axPos val="l"/>
        <c:majorGridlines/>
        <c:numFmt formatCode="#,##0" sourceLinked="1"/>
        <c:tickLblPos val="nextTo"/>
        <c:crossAx val="183578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89771.703017845051</c:v>
                </c:pt>
                <c:pt idx="1">
                  <c:v>34817.7804575345</c:v>
                </c:pt>
                <c:pt idx="2">
                  <c:v>713.97900000000004</c:v>
                </c:pt>
                <c:pt idx="3">
                  <c:v>154937.06282438853</c:v>
                </c:pt>
                <c:pt idx="4">
                  <c:v>30980.09650246377</c:v>
                </c:pt>
                <c:pt idx="5">
                  <c:v>43911.681847637767</c:v>
                </c:pt>
                <c:pt idx="6">
                  <c:v>2161.0216116494003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16607.219707714474</c:v>
                </c:pt>
                <c:pt idx="2">
                  <c:v>7217.1026737206921</c:v>
                </c:pt>
                <c:pt idx="3">
                  <c:v>150.16231095325617</c:v>
                </c:pt>
                <c:pt idx="4">
                  <c:v>33352.792995230244</c:v>
                </c:pt>
                <c:pt idx="5">
                  <c:v>3761.7951177550081</c:v>
                </c:pt>
                <c:pt idx="6">
                  <c:v>11239.628374654738</c:v>
                </c:pt>
                <c:pt idx="7">
                  <c:v>523.7691209225394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126080"/>
        <c:axId val="184148352"/>
      </c:barChart>
      <c:catAx>
        <c:axId val="184126080"/>
        <c:scaling>
          <c:orientation val="minMax"/>
        </c:scaling>
        <c:axPos val="b"/>
        <c:numFmt formatCode="General" sourceLinked="0"/>
        <c:tickLblPos val="nextTo"/>
        <c:crossAx val="184148352"/>
        <c:crosses val="autoZero"/>
        <c:auto val="1"/>
        <c:lblAlgn val="ctr"/>
        <c:lblOffset val="100"/>
      </c:catAx>
      <c:valAx>
        <c:axId val="184148352"/>
        <c:scaling>
          <c:orientation val="minMax"/>
        </c:scaling>
        <c:axPos val="l"/>
        <c:majorGridlines/>
        <c:numFmt formatCode="#,##0" sourceLinked="1"/>
        <c:tickLblPos val="nextTo"/>
        <c:crossAx val="18412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16607.219707714474</c:v>
                </c:pt>
                <c:pt idx="2">
                  <c:v>7217.1026737206921</c:v>
                </c:pt>
                <c:pt idx="3">
                  <c:v>150.16231095325617</c:v>
                </c:pt>
                <c:pt idx="4">
                  <c:v>33352.792995230244</c:v>
                </c:pt>
                <c:pt idx="5">
                  <c:v>3761.7951177550081</c:v>
                </c:pt>
                <c:pt idx="6">
                  <c:v>11239.628374654738</c:v>
                </c:pt>
                <c:pt idx="7">
                  <c:v>523.7691209225394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11004</v>
      </c>
      <c r="B6" s="415"/>
      <c r="C6" s="416"/>
    </row>
    <row r="7" spans="1:7" s="413" customFormat="1" ht="15.75" customHeight="1">
      <c r="A7" s="417" t="str">
        <f>txtMunicipality</f>
        <v>BOECHOUT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11293.271999999999</v>
      </c>
      <c r="D10" s="1012">
        <f ca="1">tertiair!C16</f>
        <v>0</v>
      </c>
      <c r="E10" s="1012">
        <f ca="1">tertiair!D16</f>
        <v>20575.860250000002</v>
      </c>
      <c r="F10" s="1012">
        <f>tertiair!E16</f>
        <v>215.54110682749632</v>
      </c>
      <c r="G10" s="1012">
        <f ca="1">tertiair!F16</f>
        <v>2946.9667905971755</v>
      </c>
      <c r="H10" s="1012">
        <f>tertiair!G16</f>
        <v>0</v>
      </c>
      <c r="I10" s="1012">
        <f>tertiair!H16</f>
        <v>0</v>
      </c>
      <c r="J10" s="1012">
        <f>tertiair!I16</f>
        <v>0</v>
      </c>
      <c r="K10" s="1012">
        <f>tertiair!J16</f>
        <v>0</v>
      </c>
      <c r="L10" s="1012">
        <f>tertiair!K16</f>
        <v>0</v>
      </c>
      <c r="M10" s="1012">
        <f ca="1">tertiair!L16</f>
        <v>0</v>
      </c>
      <c r="N10" s="1012">
        <f>tertiair!M16</f>
        <v>0</v>
      </c>
      <c r="O10" s="1012">
        <f ca="1">tertiair!N16</f>
        <v>496.99264344315969</v>
      </c>
      <c r="P10" s="1012">
        <f>tertiair!O16</f>
        <v>3.1266666666666669</v>
      </c>
      <c r="Q10" s="1013">
        <f>tertiair!P16</f>
        <v>0</v>
      </c>
      <c r="R10" s="700">
        <f ca="1">SUM(C10:Q10)</f>
        <v>35531.759457534499</v>
      </c>
      <c r="S10" s="67"/>
    </row>
    <row r="11" spans="1:19" s="473" customFormat="1">
      <c r="A11" s="809" t="s">
        <v>225</v>
      </c>
      <c r="B11" s="814"/>
      <c r="C11" s="1012">
        <f>huishoudens!B8</f>
        <v>21110.193294524524</v>
      </c>
      <c r="D11" s="1012">
        <f>huishoudens!C8</f>
        <v>0</v>
      </c>
      <c r="E11" s="1012">
        <f>huishoudens!D8</f>
        <v>58809.262578000002</v>
      </c>
      <c r="F11" s="1012">
        <f>huishoudens!E8</f>
        <v>1268.3023094295181</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7859.0448358910098</v>
      </c>
      <c r="P11" s="1012">
        <f>huishoudens!O8</f>
        <v>171.96666666666667</v>
      </c>
      <c r="Q11" s="1013">
        <f>huishoudens!P8</f>
        <v>552.93333333333339</v>
      </c>
      <c r="R11" s="700">
        <f>SUM(C11:Q11)</f>
        <v>89771.703017845051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10481.81</v>
      </c>
      <c r="D13" s="1012">
        <f>industrie!C18</f>
        <v>0</v>
      </c>
      <c r="E13" s="1012">
        <f>industrie!D18</f>
        <v>2330.252958</v>
      </c>
      <c r="F13" s="1012">
        <f>industrie!E18</f>
        <v>779.09577452150154</v>
      </c>
      <c r="G13" s="1012">
        <f>industrie!F18</f>
        <v>2767.604693896958</v>
      </c>
      <c r="H13" s="1012">
        <f>industrie!G18</f>
        <v>0</v>
      </c>
      <c r="I13" s="1012">
        <f>industrie!H18</f>
        <v>0</v>
      </c>
      <c r="J13" s="1012">
        <f>industrie!I18</f>
        <v>0</v>
      </c>
      <c r="K13" s="1012">
        <f>industrie!J18</f>
        <v>482.40189993532374</v>
      </c>
      <c r="L13" s="1012">
        <f>industrie!K18</f>
        <v>0</v>
      </c>
      <c r="M13" s="1012">
        <f>industrie!L18</f>
        <v>0</v>
      </c>
      <c r="N13" s="1012">
        <f>industrie!M18</f>
        <v>0</v>
      </c>
      <c r="O13" s="1012">
        <f>industrie!N18</f>
        <v>14138.931176109987</v>
      </c>
      <c r="P13" s="1012">
        <f>industrie!O18</f>
        <v>0</v>
      </c>
      <c r="Q13" s="1013">
        <f>industrie!P18</f>
        <v>0</v>
      </c>
      <c r="R13" s="700">
        <f>SUM(C13:Q13)</f>
        <v>30980.09650246377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42885.275294524523</v>
      </c>
      <c r="D16" s="732">
        <f t="shared" ref="D16:R16" ca="1" si="0">SUM(D9:D15)</f>
        <v>0</v>
      </c>
      <c r="E16" s="732">
        <f t="shared" ca="1" si="0"/>
        <v>81715.375786000004</v>
      </c>
      <c r="F16" s="732">
        <f t="shared" si="0"/>
        <v>2262.9391907785161</v>
      </c>
      <c r="G16" s="732">
        <f t="shared" ca="1" si="0"/>
        <v>5714.571484494134</v>
      </c>
      <c r="H16" s="732">
        <f t="shared" si="0"/>
        <v>0</v>
      </c>
      <c r="I16" s="732">
        <f t="shared" si="0"/>
        <v>0</v>
      </c>
      <c r="J16" s="732">
        <f t="shared" si="0"/>
        <v>0</v>
      </c>
      <c r="K16" s="732">
        <f t="shared" si="0"/>
        <v>482.40189993532374</v>
      </c>
      <c r="L16" s="732">
        <f t="shared" si="0"/>
        <v>0</v>
      </c>
      <c r="M16" s="732">
        <f t="shared" ca="1" si="0"/>
        <v>0</v>
      </c>
      <c r="N16" s="732">
        <f t="shared" si="0"/>
        <v>0</v>
      </c>
      <c r="O16" s="732">
        <f t="shared" ca="1" si="0"/>
        <v>22494.968655444158</v>
      </c>
      <c r="P16" s="732">
        <f t="shared" si="0"/>
        <v>175.09333333333333</v>
      </c>
      <c r="Q16" s="732">
        <f t="shared" si="0"/>
        <v>552.93333333333339</v>
      </c>
      <c r="R16" s="732">
        <f t="shared" ca="1" si="0"/>
        <v>156283.55897784332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737.20758980550249</v>
      </c>
      <c r="D19" s="1012">
        <f>transport!C54</f>
        <v>0</v>
      </c>
      <c r="E19" s="1012">
        <f>transport!D54</f>
        <v>0</v>
      </c>
      <c r="F19" s="1012">
        <f>transport!E54</f>
        <v>0</v>
      </c>
      <c r="G19" s="1012">
        <f>transport!F54</f>
        <v>0</v>
      </c>
      <c r="H19" s="1012">
        <f>transport!G54</f>
        <v>1380.9791384703406</v>
      </c>
      <c r="I19" s="1012">
        <f>transport!H54</f>
        <v>0</v>
      </c>
      <c r="J19" s="1012">
        <f>transport!I54</f>
        <v>0</v>
      </c>
      <c r="K19" s="1012">
        <f>transport!J54</f>
        <v>0</v>
      </c>
      <c r="L19" s="1012">
        <f>transport!K54</f>
        <v>0</v>
      </c>
      <c r="M19" s="1012">
        <f>transport!L54</f>
        <v>0</v>
      </c>
      <c r="N19" s="1012">
        <f>transport!M54</f>
        <v>42.83488337355729</v>
      </c>
      <c r="O19" s="1012">
        <f>transport!N54</f>
        <v>0</v>
      </c>
      <c r="P19" s="1012">
        <f>transport!O54</f>
        <v>0</v>
      </c>
      <c r="Q19" s="1013">
        <f>transport!P54</f>
        <v>0</v>
      </c>
      <c r="R19" s="700">
        <f>SUM(C19:Q19)</f>
        <v>2161.0216116494003</v>
      </c>
      <c r="S19" s="67"/>
    </row>
    <row r="20" spans="1:19" s="473" customFormat="1">
      <c r="A20" s="809" t="s">
        <v>307</v>
      </c>
      <c r="B20" s="814"/>
      <c r="C20" s="1012">
        <f>transport!B14</f>
        <v>11.884311833894087</v>
      </c>
      <c r="D20" s="1012">
        <f>transport!C14</f>
        <v>0</v>
      </c>
      <c r="E20" s="1012">
        <f>transport!D14</f>
        <v>25.622958605829893</v>
      </c>
      <c r="F20" s="1012">
        <f>transport!E14</f>
        <v>99.470170971780462</v>
      </c>
      <c r="G20" s="1012">
        <f>transport!F14</f>
        <v>0</v>
      </c>
      <c r="H20" s="1012">
        <f>transport!G14</f>
        <v>35545.135128281188</v>
      </c>
      <c r="I20" s="1012">
        <f>transport!H14</f>
        <v>6902.9006010344792</v>
      </c>
      <c r="J20" s="1012">
        <f>transport!I14</f>
        <v>0</v>
      </c>
      <c r="K20" s="1012">
        <f>transport!J14</f>
        <v>0</v>
      </c>
      <c r="L20" s="1012">
        <f>transport!K14</f>
        <v>0</v>
      </c>
      <c r="M20" s="1012">
        <f>transport!L14</f>
        <v>0</v>
      </c>
      <c r="N20" s="1012">
        <f>transport!M14</f>
        <v>1326.6686769105931</v>
      </c>
      <c r="O20" s="1012">
        <f>transport!N14</f>
        <v>0</v>
      </c>
      <c r="P20" s="1012">
        <f>transport!O14</f>
        <v>0</v>
      </c>
      <c r="Q20" s="1013">
        <f>transport!P14</f>
        <v>0</v>
      </c>
      <c r="R20" s="700">
        <f>SUM(C20:Q20)</f>
        <v>43911.681847637767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749.09190163939661</v>
      </c>
      <c r="D22" s="812">
        <f t="shared" ref="D22:R22" si="1">SUM(D18:D21)</f>
        <v>0</v>
      </c>
      <c r="E22" s="812">
        <f t="shared" si="1"/>
        <v>25.622958605829893</v>
      </c>
      <c r="F22" s="812">
        <f t="shared" si="1"/>
        <v>99.470170971780462</v>
      </c>
      <c r="G22" s="812">
        <f t="shared" si="1"/>
        <v>0</v>
      </c>
      <c r="H22" s="812">
        <f t="shared" si="1"/>
        <v>36926.114266751531</v>
      </c>
      <c r="I22" s="812">
        <f t="shared" si="1"/>
        <v>6902.9006010344792</v>
      </c>
      <c r="J22" s="812">
        <f t="shared" si="1"/>
        <v>0</v>
      </c>
      <c r="K22" s="812">
        <f t="shared" si="1"/>
        <v>0</v>
      </c>
      <c r="L22" s="812">
        <f t="shared" si="1"/>
        <v>0</v>
      </c>
      <c r="M22" s="812">
        <f t="shared" si="1"/>
        <v>0</v>
      </c>
      <c r="N22" s="812">
        <f t="shared" si="1"/>
        <v>1369.5035602841504</v>
      </c>
      <c r="O22" s="812">
        <f t="shared" si="1"/>
        <v>0</v>
      </c>
      <c r="P22" s="812">
        <f t="shared" si="1"/>
        <v>0</v>
      </c>
      <c r="Q22" s="812">
        <f t="shared" si="1"/>
        <v>0</v>
      </c>
      <c r="R22" s="812">
        <f t="shared" si="1"/>
        <v>46072.703459287164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2348.42</v>
      </c>
      <c r="D24" s="1012">
        <f>+landbouw!C8</f>
        <v>152190.00000000003</v>
      </c>
      <c r="E24" s="1012">
        <f>+landbouw!D8</f>
        <v>0</v>
      </c>
      <c r="F24" s="1012">
        <f>+landbouw!E8</f>
        <v>60.556734909685581</v>
      </c>
      <c r="G24" s="1012">
        <f>+landbouw!F8</f>
        <v>0</v>
      </c>
      <c r="H24" s="1012">
        <f>+landbouw!G8</f>
        <v>0</v>
      </c>
      <c r="I24" s="1012">
        <f>+landbouw!H8</f>
        <v>0</v>
      </c>
      <c r="J24" s="1012">
        <f>+landbouw!I8</f>
        <v>0</v>
      </c>
      <c r="K24" s="1012">
        <f>+landbouw!J8</f>
        <v>338.08608947879407</v>
      </c>
      <c r="L24" s="1012">
        <f>+landbouw!K8</f>
        <v>0</v>
      </c>
      <c r="M24" s="1012">
        <f>+landbouw!L8</f>
        <v>0</v>
      </c>
      <c r="N24" s="1012">
        <f>+landbouw!M8</f>
        <v>0</v>
      </c>
      <c r="O24" s="1012">
        <f>+landbouw!N8</f>
        <v>0</v>
      </c>
      <c r="P24" s="1012">
        <f>+landbouw!O8</f>
        <v>0</v>
      </c>
      <c r="Q24" s="1013">
        <f>+landbouw!P8</f>
        <v>0</v>
      </c>
      <c r="R24" s="700">
        <f>SUM(C24:Q24)</f>
        <v>154937.06282438853</v>
      </c>
      <c r="S24" s="67"/>
    </row>
    <row r="25" spans="1:19" s="473" customFormat="1" ht="15" thickBot="1">
      <c r="A25" s="831" t="s">
        <v>848</v>
      </c>
      <c r="B25" s="1015"/>
      <c r="C25" s="1016">
        <f>IF(Onbekend_ele_kWh="---",0,Onbekend_ele_kWh)/1000+IF(REST_rest_ele_kWh="---",0,REST_rest_ele_kWh)/1000</f>
        <v>479.55099999999999</v>
      </c>
      <c r="D25" s="1016"/>
      <c r="E25" s="1016">
        <f>IF(onbekend_gas_kWh="---",0,onbekend_gas_kWh)/1000+IF(REST_rest_gas_kWh="---",0,REST_rest_gas_kWh)/1000</f>
        <v>1519.8130000000001</v>
      </c>
      <c r="F25" s="1016"/>
      <c r="G25" s="1016"/>
      <c r="H25" s="1016"/>
      <c r="I25" s="1016"/>
      <c r="J25" s="1016"/>
      <c r="K25" s="1016"/>
      <c r="L25" s="1016"/>
      <c r="M25" s="1016"/>
      <c r="N25" s="1016"/>
      <c r="O25" s="1016"/>
      <c r="P25" s="1016"/>
      <c r="Q25" s="1017"/>
      <c r="R25" s="700">
        <f>SUM(C25:Q25)</f>
        <v>1999.364</v>
      </c>
      <c r="S25" s="67"/>
    </row>
    <row r="26" spans="1:19" s="473" customFormat="1" ht="15.75" thickBot="1">
      <c r="A26" s="705" t="s">
        <v>849</v>
      </c>
      <c r="B26" s="817"/>
      <c r="C26" s="812">
        <f>SUM(C24:C25)</f>
        <v>2827.971</v>
      </c>
      <c r="D26" s="812">
        <f t="shared" ref="D26:R26" si="2">SUM(D24:D25)</f>
        <v>152190.00000000003</v>
      </c>
      <c r="E26" s="812">
        <f t="shared" si="2"/>
        <v>1519.8130000000001</v>
      </c>
      <c r="F26" s="812">
        <f t="shared" si="2"/>
        <v>60.556734909685581</v>
      </c>
      <c r="G26" s="812">
        <f t="shared" si="2"/>
        <v>0</v>
      </c>
      <c r="H26" s="812">
        <f t="shared" si="2"/>
        <v>0</v>
      </c>
      <c r="I26" s="812">
        <f t="shared" si="2"/>
        <v>0</v>
      </c>
      <c r="J26" s="812">
        <f t="shared" si="2"/>
        <v>0</v>
      </c>
      <c r="K26" s="812">
        <f t="shared" si="2"/>
        <v>338.08608947879407</v>
      </c>
      <c r="L26" s="812">
        <f t="shared" si="2"/>
        <v>0</v>
      </c>
      <c r="M26" s="812">
        <f t="shared" si="2"/>
        <v>0</v>
      </c>
      <c r="N26" s="812">
        <f t="shared" si="2"/>
        <v>0</v>
      </c>
      <c r="O26" s="812">
        <f t="shared" si="2"/>
        <v>0</v>
      </c>
      <c r="P26" s="812">
        <f t="shared" si="2"/>
        <v>0</v>
      </c>
      <c r="Q26" s="812">
        <f t="shared" si="2"/>
        <v>0</v>
      </c>
      <c r="R26" s="812">
        <f t="shared" si="2"/>
        <v>156936.42682438853</v>
      </c>
      <c r="S26" s="67"/>
    </row>
    <row r="27" spans="1:19" s="473" customFormat="1" ht="17.25" thickTop="1" thickBot="1">
      <c r="A27" s="706" t="s">
        <v>116</v>
      </c>
      <c r="B27" s="805"/>
      <c r="C27" s="707">
        <f ca="1">C22+C16+C26</f>
        <v>46462.338196163917</v>
      </c>
      <c r="D27" s="707">
        <f t="shared" ref="D27:R27" ca="1" si="3">D22+D16+D26</f>
        <v>152190.00000000003</v>
      </c>
      <c r="E27" s="707">
        <f t="shared" ca="1" si="3"/>
        <v>83260.811744605831</v>
      </c>
      <c r="F27" s="707">
        <f t="shared" si="3"/>
        <v>2422.9660966599822</v>
      </c>
      <c r="G27" s="707">
        <f t="shared" ca="1" si="3"/>
        <v>5714.571484494134</v>
      </c>
      <c r="H27" s="707">
        <f t="shared" si="3"/>
        <v>36926.114266751531</v>
      </c>
      <c r="I27" s="707">
        <f t="shared" si="3"/>
        <v>6902.9006010344792</v>
      </c>
      <c r="J27" s="707">
        <f t="shared" si="3"/>
        <v>0</v>
      </c>
      <c r="K27" s="707">
        <f t="shared" si="3"/>
        <v>820.48798941411781</v>
      </c>
      <c r="L27" s="707">
        <f t="shared" si="3"/>
        <v>0</v>
      </c>
      <c r="M27" s="707">
        <f t="shared" ca="1" si="3"/>
        <v>0</v>
      </c>
      <c r="N27" s="707">
        <f t="shared" si="3"/>
        <v>1369.5035602841504</v>
      </c>
      <c r="O27" s="707">
        <f t="shared" ca="1" si="3"/>
        <v>22494.968655444158</v>
      </c>
      <c r="P27" s="707">
        <f t="shared" si="3"/>
        <v>175.09333333333333</v>
      </c>
      <c r="Q27" s="707">
        <f t="shared" si="3"/>
        <v>552.93333333333339</v>
      </c>
      <c r="R27" s="707">
        <f t="shared" ca="1" si="3"/>
        <v>359292.689261519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2375.1732498346605</v>
      </c>
      <c r="D40" s="1012">
        <f ca="1">tertiair!C20</f>
        <v>0</v>
      </c>
      <c r="E40" s="1012">
        <f ca="1">tertiair!D20</f>
        <v>4156.3237705000001</v>
      </c>
      <c r="F40" s="1012">
        <f>tertiair!E20</f>
        <v>48.927831249841667</v>
      </c>
      <c r="G40" s="1012">
        <f ca="1">tertiair!F20</f>
        <v>786.84013308944589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7367.2649846739478</v>
      </c>
    </row>
    <row r="41" spans="1:18">
      <c r="A41" s="822" t="s">
        <v>225</v>
      </c>
      <c r="B41" s="829"/>
      <c r="C41" s="1012">
        <f ca="1">huishoudens!B12</f>
        <v>4439.8440427179712</v>
      </c>
      <c r="D41" s="1012">
        <f ca="1">huishoudens!C12</f>
        <v>0</v>
      </c>
      <c r="E41" s="1012">
        <f>huishoudens!D12</f>
        <v>11879.471040756001</v>
      </c>
      <c r="F41" s="1012">
        <f>huishoudens!E12</f>
        <v>287.9046242405006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16607.219707714474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2204.508553575035</v>
      </c>
      <c r="D43" s="1012">
        <f ca="1">industrie!C22</f>
        <v>0</v>
      </c>
      <c r="E43" s="1012">
        <f>industrie!D22</f>
        <v>470.71109751600005</v>
      </c>
      <c r="F43" s="1012">
        <f>industrie!E22</f>
        <v>176.85474081638085</v>
      </c>
      <c r="G43" s="1012">
        <f>industrie!F22</f>
        <v>738.95045327048786</v>
      </c>
      <c r="H43" s="1012">
        <f>industrie!G22</f>
        <v>0</v>
      </c>
      <c r="I43" s="1012">
        <f>industrie!H22</f>
        <v>0</v>
      </c>
      <c r="J43" s="1012">
        <f>industrie!I22</f>
        <v>0</v>
      </c>
      <c r="K43" s="1012">
        <f>industrie!J22</f>
        <v>170.77027257710461</v>
      </c>
      <c r="L43" s="1012">
        <f>industrie!K22</f>
        <v>0</v>
      </c>
      <c r="M43" s="1012">
        <f>industrie!L22</f>
        <v>0</v>
      </c>
      <c r="N43" s="1012">
        <f>industrie!M22</f>
        <v>0</v>
      </c>
      <c r="O43" s="1012">
        <f>industrie!N22</f>
        <v>0</v>
      </c>
      <c r="P43" s="1012">
        <f>industrie!O22</f>
        <v>0</v>
      </c>
      <c r="Q43" s="774">
        <f>industrie!P22</f>
        <v>0</v>
      </c>
      <c r="R43" s="849">
        <f t="shared" ca="1" si="4"/>
        <v>3761.7951177550081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9019.5258461276662</v>
      </c>
      <c r="D46" s="732">
        <f t="shared" ref="D46:Q46" ca="1" si="5">SUM(D39:D45)</f>
        <v>0</v>
      </c>
      <c r="E46" s="732">
        <f t="shared" ca="1" si="5"/>
        <v>16506.505908772</v>
      </c>
      <c r="F46" s="732">
        <f t="shared" si="5"/>
        <v>513.68719630672308</v>
      </c>
      <c r="G46" s="732">
        <f t="shared" ca="1" si="5"/>
        <v>1525.7905863599337</v>
      </c>
      <c r="H46" s="732">
        <f t="shared" si="5"/>
        <v>0</v>
      </c>
      <c r="I46" s="732">
        <f t="shared" si="5"/>
        <v>0</v>
      </c>
      <c r="J46" s="732">
        <f t="shared" si="5"/>
        <v>0</v>
      </c>
      <c r="K46" s="732">
        <f t="shared" si="5"/>
        <v>170.77027257710461</v>
      </c>
      <c r="L46" s="732">
        <f t="shared" si="5"/>
        <v>0</v>
      </c>
      <c r="M46" s="732">
        <f t="shared" ca="1" si="5"/>
        <v>0</v>
      </c>
      <c r="N46" s="732">
        <f t="shared" si="5"/>
        <v>0</v>
      </c>
      <c r="O46" s="732">
        <f t="shared" ca="1" si="5"/>
        <v>0</v>
      </c>
      <c r="P46" s="732">
        <f t="shared" si="5"/>
        <v>0</v>
      </c>
      <c r="Q46" s="732">
        <f t="shared" si="5"/>
        <v>0</v>
      </c>
      <c r="R46" s="732">
        <f ca="1">SUM(R39:R45)</f>
        <v>27736.279810143431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155.04769095095847</v>
      </c>
      <c r="D49" s="1012">
        <f ca="1">transport!C58</f>
        <v>0</v>
      </c>
      <c r="E49" s="1012">
        <f>transport!D58</f>
        <v>0</v>
      </c>
      <c r="F49" s="1012">
        <f>transport!E58</f>
        <v>0</v>
      </c>
      <c r="G49" s="1012">
        <f>transport!F58</f>
        <v>0</v>
      </c>
      <c r="H49" s="1012">
        <f>transport!G58</f>
        <v>368.72142997158096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523.7691209225394</v>
      </c>
    </row>
    <row r="50" spans="1:18">
      <c r="A50" s="825" t="s">
        <v>307</v>
      </c>
      <c r="B50" s="835"/>
      <c r="C50" s="703">
        <f ca="1">transport!B18</f>
        <v>2.499479297103508</v>
      </c>
      <c r="D50" s="703">
        <f>transport!C18</f>
        <v>0</v>
      </c>
      <c r="E50" s="703">
        <f>transport!D18</f>
        <v>5.1758376383776392</v>
      </c>
      <c r="F50" s="703">
        <f>transport!E18</f>
        <v>22.579728810594165</v>
      </c>
      <c r="G50" s="703">
        <f>transport!F18</f>
        <v>0</v>
      </c>
      <c r="H50" s="703">
        <f>transport!G18</f>
        <v>9490.5510792510777</v>
      </c>
      <c r="I50" s="703">
        <f>transport!H18</f>
        <v>1718.8222496575854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11239.628374654738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157.54717024806197</v>
      </c>
      <c r="D52" s="732">
        <f t="shared" ref="D52:Q52" ca="1" si="6">SUM(D48:D51)</f>
        <v>0</v>
      </c>
      <c r="E52" s="732">
        <f t="shared" si="6"/>
        <v>5.1758376383776392</v>
      </c>
      <c r="F52" s="732">
        <f t="shared" si="6"/>
        <v>22.579728810594165</v>
      </c>
      <c r="G52" s="732">
        <f t="shared" si="6"/>
        <v>0</v>
      </c>
      <c r="H52" s="732">
        <f t="shared" si="6"/>
        <v>9859.2725092226592</v>
      </c>
      <c r="I52" s="732">
        <f t="shared" si="6"/>
        <v>1718.8222496575854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11763.397495577277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493.91393064620365</v>
      </c>
      <c r="D54" s="703">
        <f ca="1">+landbouw!C12</f>
        <v>32725.450210084044</v>
      </c>
      <c r="E54" s="703">
        <f>+landbouw!D12</f>
        <v>0</v>
      </c>
      <c r="F54" s="703">
        <f>+landbouw!E12</f>
        <v>13.746378824498628</v>
      </c>
      <c r="G54" s="703">
        <f>+landbouw!F12</f>
        <v>0</v>
      </c>
      <c r="H54" s="703">
        <f>+landbouw!G12</f>
        <v>0</v>
      </c>
      <c r="I54" s="703">
        <f>+landbouw!H12</f>
        <v>0</v>
      </c>
      <c r="J54" s="703">
        <f>+landbouw!I12</f>
        <v>0</v>
      </c>
      <c r="K54" s="703">
        <f>+landbouw!J12</f>
        <v>119.68247567549309</v>
      </c>
      <c r="L54" s="703">
        <f>+landbouw!K12</f>
        <v>0</v>
      </c>
      <c r="M54" s="703">
        <f>+landbouw!L12</f>
        <v>0</v>
      </c>
      <c r="N54" s="703">
        <f>+landbouw!M12</f>
        <v>0</v>
      </c>
      <c r="O54" s="703">
        <f>+landbouw!N12</f>
        <v>0</v>
      </c>
      <c r="P54" s="703">
        <f>+landbouw!O12</f>
        <v>0</v>
      </c>
      <c r="Q54" s="704">
        <f>+landbouw!P12</f>
        <v>0</v>
      </c>
      <c r="R54" s="731">
        <f ca="1">SUM(C54:Q54)</f>
        <v>33352.792995230244</v>
      </c>
    </row>
    <row r="55" spans="1:18" ht="15" thickBot="1">
      <c r="A55" s="825" t="s">
        <v>848</v>
      </c>
      <c r="B55" s="835"/>
      <c r="C55" s="703">
        <f ca="1">C25*'EF ele_warmte'!B12</f>
        <v>100.8579893525509</v>
      </c>
      <c r="D55" s="703"/>
      <c r="E55" s="703">
        <f>E25*EF_CO2_aardgas</f>
        <v>307.00222600000006</v>
      </c>
      <c r="F55" s="703"/>
      <c r="G55" s="703"/>
      <c r="H55" s="703"/>
      <c r="I55" s="703"/>
      <c r="J55" s="703"/>
      <c r="K55" s="703"/>
      <c r="L55" s="703"/>
      <c r="M55" s="703"/>
      <c r="N55" s="703"/>
      <c r="O55" s="703"/>
      <c r="P55" s="703"/>
      <c r="Q55" s="704"/>
      <c r="R55" s="731">
        <f ca="1">SUM(C55:Q55)</f>
        <v>407.86021535255099</v>
      </c>
    </row>
    <row r="56" spans="1:18" ht="15.75" thickBot="1">
      <c r="A56" s="823" t="s">
        <v>849</v>
      </c>
      <c r="B56" s="836"/>
      <c r="C56" s="732">
        <f ca="1">SUM(C54:C55)</f>
        <v>594.77191999875458</v>
      </c>
      <c r="D56" s="732">
        <f t="shared" ref="D56:Q56" ca="1" si="7">SUM(D54:D55)</f>
        <v>32725.450210084044</v>
      </c>
      <c r="E56" s="732">
        <f t="shared" si="7"/>
        <v>307.00222600000006</v>
      </c>
      <c r="F56" s="732">
        <f t="shared" si="7"/>
        <v>13.746378824498628</v>
      </c>
      <c r="G56" s="732">
        <f t="shared" si="7"/>
        <v>0</v>
      </c>
      <c r="H56" s="732">
        <f t="shared" si="7"/>
        <v>0</v>
      </c>
      <c r="I56" s="732">
        <f t="shared" si="7"/>
        <v>0</v>
      </c>
      <c r="J56" s="732">
        <f t="shared" si="7"/>
        <v>0</v>
      </c>
      <c r="K56" s="732">
        <f t="shared" si="7"/>
        <v>119.68247567549309</v>
      </c>
      <c r="L56" s="732">
        <f t="shared" si="7"/>
        <v>0</v>
      </c>
      <c r="M56" s="732">
        <f t="shared" si="7"/>
        <v>0</v>
      </c>
      <c r="N56" s="732">
        <f t="shared" si="7"/>
        <v>0</v>
      </c>
      <c r="O56" s="732">
        <f t="shared" si="7"/>
        <v>0</v>
      </c>
      <c r="P56" s="732">
        <f t="shared" si="7"/>
        <v>0</v>
      </c>
      <c r="Q56" s="733">
        <f t="shared" si="7"/>
        <v>0</v>
      </c>
      <c r="R56" s="734">
        <f ca="1">SUM(R54:R55)</f>
        <v>33760.653210582794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9771.844936374484</v>
      </c>
      <c r="D61" s="740">
        <f t="shared" ref="D61:Q61" ca="1" si="8">D46+D52+D56</f>
        <v>32725.450210084044</v>
      </c>
      <c r="E61" s="740">
        <f t="shared" ca="1" si="8"/>
        <v>16818.683972410377</v>
      </c>
      <c r="F61" s="740">
        <f t="shared" si="8"/>
        <v>550.01330394181582</v>
      </c>
      <c r="G61" s="740">
        <f t="shared" ca="1" si="8"/>
        <v>1525.7905863599337</v>
      </c>
      <c r="H61" s="740">
        <f t="shared" si="8"/>
        <v>9859.2725092226592</v>
      </c>
      <c r="I61" s="740">
        <f t="shared" si="8"/>
        <v>1718.8222496575854</v>
      </c>
      <c r="J61" s="740">
        <f t="shared" si="8"/>
        <v>0</v>
      </c>
      <c r="K61" s="740">
        <f t="shared" si="8"/>
        <v>290.4527482525977</v>
      </c>
      <c r="L61" s="740">
        <f t="shared" si="8"/>
        <v>0</v>
      </c>
      <c r="M61" s="740">
        <f t="shared" ca="1" si="8"/>
        <v>0</v>
      </c>
      <c r="N61" s="740">
        <f t="shared" si="8"/>
        <v>0</v>
      </c>
      <c r="O61" s="740">
        <f t="shared" ca="1" si="8"/>
        <v>0</v>
      </c>
      <c r="P61" s="740">
        <f t="shared" si="8"/>
        <v>0</v>
      </c>
      <c r="Q61" s="740">
        <f t="shared" si="8"/>
        <v>0</v>
      </c>
      <c r="R61" s="740">
        <f ca="1">R46+R52+R56</f>
        <v>73260.330516303511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0.21031754568867736</v>
      </c>
      <c r="D63" s="781">
        <f t="shared" ca="1" si="9"/>
        <v>0.21503022675658084</v>
      </c>
      <c r="E63" s="1023">
        <f t="shared" ca="1" si="9"/>
        <v>0.20199999999999999</v>
      </c>
      <c r="F63" s="781">
        <f t="shared" si="9"/>
        <v>0.22699999999999995</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2387.1334679329684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11356.875000000002</v>
      </c>
      <c r="C76" s="750">
        <f>'lokale energieproductie'!B8*IFERROR(SUM(D76:H76)/SUM(D76:O76),0)</f>
        <v>95176.125</v>
      </c>
      <c r="D76" s="1033">
        <f>'lokale energieproductie'!C8</f>
        <v>107518.23529411765</v>
      </c>
      <c r="E76" s="1034">
        <f>'lokale energieproductie'!D8</f>
        <v>0</v>
      </c>
      <c r="F76" s="1034">
        <f>'lokale energieproductie'!E8</f>
        <v>4453.676470588236</v>
      </c>
      <c r="G76" s="1034">
        <f>'lokale energieproductie'!F8</f>
        <v>0</v>
      </c>
      <c r="H76" s="1034">
        <f>'lokale energieproductie'!G8</f>
        <v>0</v>
      </c>
      <c r="I76" s="1034">
        <f>'lokale energieproductie'!I8</f>
        <v>13361.029411764708</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22907.815147058827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13744.00846793297</v>
      </c>
      <c r="C78" s="755">
        <f>SUM(C72:C77)</f>
        <v>95176.125</v>
      </c>
      <c r="D78" s="756">
        <f t="shared" ref="D78:H78" si="10">SUM(D76:D77)</f>
        <v>107518.23529411765</v>
      </c>
      <c r="E78" s="756">
        <f t="shared" si="10"/>
        <v>0</v>
      </c>
      <c r="F78" s="756">
        <f t="shared" si="10"/>
        <v>4453.676470588236</v>
      </c>
      <c r="G78" s="756">
        <f t="shared" si="10"/>
        <v>0</v>
      </c>
      <c r="H78" s="756">
        <f t="shared" si="10"/>
        <v>0</v>
      </c>
      <c r="I78" s="756">
        <f>SUM(I76:I77)</f>
        <v>13361.029411764708</v>
      </c>
      <c r="J78" s="756">
        <f>SUM(J76:J77)</f>
        <v>0</v>
      </c>
      <c r="K78" s="756">
        <f t="shared" ref="K78:L78" si="11">SUM(K76:K77)</f>
        <v>0</v>
      </c>
      <c r="L78" s="756">
        <f t="shared" si="11"/>
        <v>0</v>
      </c>
      <c r="M78" s="756">
        <f>SUM(M76:M77)</f>
        <v>0</v>
      </c>
      <c r="N78" s="756">
        <f>SUM(N76:N77)</f>
        <v>0</v>
      </c>
      <c r="O78" s="860">
        <f>SUM(O76:O77)</f>
        <v>0</v>
      </c>
      <c r="P78" s="757">
        <v>0</v>
      </c>
      <c r="Q78" s="757">
        <f>SUM(Q76:Q77)</f>
        <v>22907.815147058827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16224.107142857145</v>
      </c>
      <c r="C87" s="766">
        <f>'lokale energieproductie'!B17*IFERROR(SUM(D87:H87)/SUM(D87:O87),0)</f>
        <v>135965.89285714287</v>
      </c>
      <c r="D87" s="777">
        <f>'lokale energieproductie'!C17</f>
        <v>153597.47899159667</v>
      </c>
      <c r="E87" s="777">
        <f>'lokale energieproductie'!D17</f>
        <v>0</v>
      </c>
      <c r="F87" s="777">
        <f>'lokale energieproductie'!E17</f>
        <v>6362.3949579831951</v>
      </c>
      <c r="G87" s="777">
        <f>'lokale energieproductie'!F17</f>
        <v>0</v>
      </c>
      <c r="H87" s="777">
        <f>'lokale energieproductie'!G17</f>
        <v>0</v>
      </c>
      <c r="I87" s="777">
        <f>'lokale energieproductie'!I17</f>
        <v>19087.184873949584</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32725.450210084044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16224.107142857145</v>
      </c>
      <c r="C90" s="755">
        <f>SUM(C87:C89)</f>
        <v>135965.89285714287</v>
      </c>
      <c r="D90" s="755">
        <f t="shared" ref="D90:H90" si="12">SUM(D87:D89)</f>
        <v>153597.47899159667</v>
      </c>
      <c r="E90" s="755">
        <f t="shared" si="12"/>
        <v>0</v>
      </c>
      <c r="F90" s="755">
        <f t="shared" si="12"/>
        <v>6362.3949579831951</v>
      </c>
      <c r="G90" s="755">
        <f t="shared" si="12"/>
        <v>0</v>
      </c>
      <c r="H90" s="755">
        <f t="shared" si="12"/>
        <v>0</v>
      </c>
      <c r="I90" s="755">
        <f>SUM(I87:I89)</f>
        <v>19087.184873949584</v>
      </c>
      <c r="J90" s="755">
        <f>SUM(J87:J89)</f>
        <v>0</v>
      </c>
      <c r="K90" s="755">
        <f t="shared" ref="K90:L90" si="13">SUM(K87:K89)</f>
        <v>0</v>
      </c>
      <c r="L90" s="755">
        <f t="shared" si="13"/>
        <v>0</v>
      </c>
      <c r="M90" s="755">
        <f>SUM(M87:M89)</f>
        <v>0</v>
      </c>
      <c r="N90" s="755">
        <f>SUM(N87:N89)</f>
        <v>0</v>
      </c>
      <c r="O90" s="755">
        <f>SUM(O87:O89)</f>
        <v>0</v>
      </c>
      <c r="P90" s="755">
        <v>0</v>
      </c>
      <c r="Q90" s="755">
        <f>SUM(Q87:Q89)</f>
        <v>32725.450210084044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21110.193294524524</v>
      </c>
      <c r="C4" s="477">
        <f>huishoudens!C8</f>
        <v>0</v>
      </c>
      <c r="D4" s="477">
        <f>huishoudens!D8</f>
        <v>58809.262578000002</v>
      </c>
      <c r="E4" s="477">
        <f>huishoudens!E8</f>
        <v>1268.3023094295181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7859.0448358910098</v>
      </c>
      <c r="O4" s="477">
        <f>huishoudens!O8</f>
        <v>171.96666666666667</v>
      </c>
      <c r="P4" s="478">
        <f>huishoudens!P8</f>
        <v>552.93333333333339</v>
      </c>
      <c r="Q4" s="479">
        <f>SUM(B4:P4)</f>
        <v>89771.703017845051</v>
      </c>
    </row>
    <row r="5" spans="1:17">
      <c r="A5" s="476" t="s">
        <v>156</v>
      </c>
      <c r="B5" s="477">
        <f ca="1">tertiair!B16</f>
        <v>10579.293</v>
      </c>
      <c r="C5" s="477">
        <f ca="1">tertiair!C16</f>
        <v>0</v>
      </c>
      <c r="D5" s="477">
        <f ca="1">tertiair!D16</f>
        <v>20575.860250000002</v>
      </c>
      <c r="E5" s="477">
        <f>tertiair!E16</f>
        <v>215.54110682749632</v>
      </c>
      <c r="F5" s="477">
        <f ca="1">tertiair!F16</f>
        <v>2946.9667905971755</v>
      </c>
      <c r="G5" s="477">
        <f>tertiair!G16</f>
        <v>0</v>
      </c>
      <c r="H5" s="477">
        <f>tertiair!H16</f>
        <v>0</v>
      </c>
      <c r="I5" s="477">
        <f>tertiair!I16</f>
        <v>0</v>
      </c>
      <c r="J5" s="477">
        <f>tertiair!J16</f>
        <v>0</v>
      </c>
      <c r="K5" s="477">
        <f>tertiair!K16</f>
        <v>0</v>
      </c>
      <c r="L5" s="477">
        <f ca="1">tertiair!L16</f>
        <v>0</v>
      </c>
      <c r="M5" s="477">
        <f>tertiair!M16</f>
        <v>0</v>
      </c>
      <c r="N5" s="477">
        <f ca="1">tertiair!N16</f>
        <v>496.99264344315969</v>
      </c>
      <c r="O5" s="477">
        <f>tertiair!O16</f>
        <v>3.1266666666666669</v>
      </c>
      <c r="P5" s="478">
        <f>tertiair!P16</f>
        <v>0</v>
      </c>
      <c r="Q5" s="476">
        <f t="shared" ref="Q5:Q14" ca="1" si="0">SUM(B5:P5)</f>
        <v>34817.7804575345</v>
      </c>
    </row>
    <row r="6" spans="1:17">
      <c r="A6" s="476" t="s">
        <v>194</v>
      </c>
      <c r="B6" s="477">
        <f>'openbare verlichting'!B8</f>
        <v>713.97900000000004</v>
      </c>
      <c r="C6" s="477"/>
      <c r="D6" s="477"/>
      <c r="E6" s="477"/>
      <c r="F6" s="477"/>
      <c r="G6" s="477"/>
      <c r="H6" s="477"/>
      <c r="I6" s="477"/>
      <c r="J6" s="477"/>
      <c r="K6" s="477"/>
      <c r="L6" s="477"/>
      <c r="M6" s="477"/>
      <c r="N6" s="477"/>
      <c r="O6" s="477"/>
      <c r="P6" s="478"/>
      <c r="Q6" s="476">
        <f t="shared" si="0"/>
        <v>713.97900000000004</v>
      </c>
    </row>
    <row r="7" spans="1:17">
      <c r="A7" s="476" t="s">
        <v>112</v>
      </c>
      <c r="B7" s="477">
        <f>landbouw!B8</f>
        <v>2348.42</v>
      </c>
      <c r="C7" s="477">
        <f>landbouw!C8</f>
        <v>152190.00000000003</v>
      </c>
      <c r="D7" s="477">
        <f>landbouw!D8</f>
        <v>0</v>
      </c>
      <c r="E7" s="477">
        <f>landbouw!E8</f>
        <v>60.556734909685581</v>
      </c>
      <c r="F7" s="477">
        <f>landbouw!F8</f>
        <v>0</v>
      </c>
      <c r="G7" s="477">
        <f>landbouw!G8</f>
        <v>0</v>
      </c>
      <c r="H7" s="477">
        <f>landbouw!H8</f>
        <v>0</v>
      </c>
      <c r="I7" s="477">
        <f>landbouw!I8</f>
        <v>0</v>
      </c>
      <c r="J7" s="477">
        <f>landbouw!J8</f>
        <v>338.08608947879407</v>
      </c>
      <c r="K7" s="477">
        <f>landbouw!K8</f>
        <v>0</v>
      </c>
      <c r="L7" s="477">
        <f>landbouw!L8</f>
        <v>0</v>
      </c>
      <c r="M7" s="477">
        <f>landbouw!M8</f>
        <v>0</v>
      </c>
      <c r="N7" s="477">
        <f>landbouw!N8</f>
        <v>0</v>
      </c>
      <c r="O7" s="477">
        <f>landbouw!O8</f>
        <v>0</v>
      </c>
      <c r="P7" s="478">
        <f>landbouw!P8</f>
        <v>0</v>
      </c>
      <c r="Q7" s="476">
        <f t="shared" si="0"/>
        <v>154937.06282438853</v>
      </c>
    </row>
    <row r="8" spans="1:17">
      <c r="A8" s="476" t="s">
        <v>638</v>
      </c>
      <c r="B8" s="477">
        <f>industrie!B18</f>
        <v>10481.81</v>
      </c>
      <c r="C8" s="477">
        <f>industrie!C18</f>
        <v>0</v>
      </c>
      <c r="D8" s="477">
        <f>industrie!D18</f>
        <v>2330.252958</v>
      </c>
      <c r="E8" s="477">
        <f>industrie!E18</f>
        <v>779.09577452150154</v>
      </c>
      <c r="F8" s="477">
        <f>industrie!F18</f>
        <v>2767.604693896958</v>
      </c>
      <c r="G8" s="477">
        <f>industrie!G18</f>
        <v>0</v>
      </c>
      <c r="H8" s="477">
        <f>industrie!H18</f>
        <v>0</v>
      </c>
      <c r="I8" s="477">
        <f>industrie!I18</f>
        <v>0</v>
      </c>
      <c r="J8" s="477">
        <f>industrie!J18</f>
        <v>482.40189993532374</v>
      </c>
      <c r="K8" s="477">
        <f>industrie!K18</f>
        <v>0</v>
      </c>
      <c r="L8" s="477">
        <f>industrie!L18</f>
        <v>0</v>
      </c>
      <c r="M8" s="477">
        <f>industrie!M18</f>
        <v>0</v>
      </c>
      <c r="N8" s="477">
        <f>industrie!N18</f>
        <v>14138.931176109987</v>
      </c>
      <c r="O8" s="477">
        <f>industrie!O18</f>
        <v>0</v>
      </c>
      <c r="P8" s="478">
        <f>industrie!P18</f>
        <v>0</v>
      </c>
      <c r="Q8" s="476">
        <f t="shared" si="0"/>
        <v>30980.09650246377</v>
      </c>
    </row>
    <row r="9" spans="1:17" s="482" customFormat="1">
      <c r="A9" s="480" t="s">
        <v>564</v>
      </c>
      <c r="B9" s="481">
        <f>transport!B14</f>
        <v>11.884311833894087</v>
      </c>
      <c r="C9" s="481">
        <f>transport!C14</f>
        <v>0</v>
      </c>
      <c r="D9" s="481">
        <f>transport!D14</f>
        <v>25.622958605829893</v>
      </c>
      <c r="E9" s="481">
        <f>transport!E14</f>
        <v>99.470170971780462</v>
      </c>
      <c r="F9" s="481">
        <f>transport!F14</f>
        <v>0</v>
      </c>
      <c r="G9" s="481">
        <f>transport!G14</f>
        <v>35545.135128281188</v>
      </c>
      <c r="H9" s="481">
        <f>transport!H14</f>
        <v>6902.9006010344792</v>
      </c>
      <c r="I9" s="481">
        <f>transport!I14</f>
        <v>0</v>
      </c>
      <c r="J9" s="481">
        <f>transport!J14</f>
        <v>0</v>
      </c>
      <c r="K9" s="481">
        <f>transport!K14</f>
        <v>0</v>
      </c>
      <c r="L9" s="481">
        <f>transport!L14</f>
        <v>0</v>
      </c>
      <c r="M9" s="481">
        <f>transport!M14</f>
        <v>1326.6686769105931</v>
      </c>
      <c r="N9" s="481">
        <f>transport!N14</f>
        <v>0</v>
      </c>
      <c r="O9" s="481">
        <f>transport!O14</f>
        <v>0</v>
      </c>
      <c r="P9" s="481">
        <f>transport!P14</f>
        <v>0</v>
      </c>
      <c r="Q9" s="480">
        <f>SUM(B9:P9)</f>
        <v>43911.681847637767</v>
      </c>
    </row>
    <row r="10" spans="1:17">
      <c r="A10" s="476" t="s">
        <v>554</v>
      </c>
      <c r="B10" s="477">
        <f>transport!B54</f>
        <v>737.20758980550249</v>
      </c>
      <c r="C10" s="477">
        <f>transport!C54</f>
        <v>0</v>
      </c>
      <c r="D10" s="477">
        <f>transport!D54</f>
        <v>0</v>
      </c>
      <c r="E10" s="477">
        <f>transport!E54</f>
        <v>0</v>
      </c>
      <c r="F10" s="477">
        <f>transport!F54</f>
        <v>0</v>
      </c>
      <c r="G10" s="477">
        <f>transport!G54</f>
        <v>1380.9791384703406</v>
      </c>
      <c r="H10" s="477">
        <f>transport!H54</f>
        <v>0</v>
      </c>
      <c r="I10" s="477">
        <f>transport!I54</f>
        <v>0</v>
      </c>
      <c r="J10" s="477">
        <f>transport!J54</f>
        <v>0</v>
      </c>
      <c r="K10" s="477">
        <f>transport!K54</f>
        <v>0</v>
      </c>
      <c r="L10" s="477">
        <f>transport!L54</f>
        <v>0</v>
      </c>
      <c r="M10" s="477">
        <f>transport!M54</f>
        <v>42.83488337355729</v>
      </c>
      <c r="N10" s="477">
        <f>transport!N54</f>
        <v>0</v>
      </c>
      <c r="O10" s="477">
        <f>transport!O54</f>
        <v>0</v>
      </c>
      <c r="P10" s="478">
        <f>transport!P54</f>
        <v>0</v>
      </c>
      <c r="Q10" s="476">
        <f t="shared" si="0"/>
        <v>2161.0216116494003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479.55099999999999</v>
      </c>
      <c r="C14" s="484"/>
      <c r="D14" s="484">
        <f>'SEAP template'!E25</f>
        <v>1519.8130000000001</v>
      </c>
      <c r="E14" s="484"/>
      <c r="F14" s="484"/>
      <c r="G14" s="484"/>
      <c r="H14" s="484"/>
      <c r="I14" s="484"/>
      <c r="J14" s="484"/>
      <c r="K14" s="484"/>
      <c r="L14" s="484"/>
      <c r="M14" s="484"/>
      <c r="N14" s="484"/>
      <c r="O14" s="484"/>
      <c r="P14" s="485"/>
      <c r="Q14" s="476">
        <f t="shared" si="0"/>
        <v>1999.364</v>
      </c>
    </row>
    <row r="15" spans="1:17" s="486" customFormat="1">
      <c r="A15" s="1038" t="s">
        <v>558</v>
      </c>
      <c r="B15" s="978">
        <f ca="1">SUM(B4:B14)</f>
        <v>46462.338196163917</v>
      </c>
      <c r="C15" s="978">
        <f t="shared" ref="C15:Q15" ca="1" si="1">SUM(C4:C14)</f>
        <v>152190.00000000003</v>
      </c>
      <c r="D15" s="978">
        <f t="shared" ca="1" si="1"/>
        <v>83260.811744605831</v>
      </c>
      <c r="E15" s="978">
        <f t="shared" si="1"/>
        <v>2422.9660966599822</v>
      </c>
      <c r="F15" s="978">
        <f t="shared" ca="1" si="1"/>
        <v>5714.571484494134</v>
      </c>
      <c r="G15" s="978">
        <f t="shared" si="1"/>
        <v>36926.114266751531</v>
      </c>
      <c r="H15" s="978">
        <f t="shared" si="1"/>
        <v>6902.9006010344792</v>
      </c>
      <c r="I15" s="978">
        <f t="shared" si="1"/>
        <v>0</v>
      </c>
      <c r="J15" s="978">
        <f t="shared" si="1"/>
        <v>820.48798941411781</v>
      </c>
      <c r="K15" s="978">
        <f t="shared" si="1"/>
        <v>0</v>
      </c>
      <c r="L15" s="978">
        <f t="shared" ca="1" si="1"/>
        <v>0</v>
      </c>
      <c r="M15" s="978">
        <f t="shared" si="1"/>
        <v>1369.5035602841504</v>
      </c>
      <c r="N15" s="978">
        <f t="shared" ca="1" si="1"/>
        <v>22494.968655444158</v>
      </c>
      <c r="O15" s="978">
        <f t="shared" si="1"/>
        <v>175.09333333333333</v>
      </c>
      <c r="P15" s="978">
        <f t="shared" si="1"/>
        <v>552.93333333333339</v>
      </c>
      <c r="Q15" s="978">
        <f t="shared" ca="1" si="1"/>
        <v>359292.68926151906</v>
      </c>
    </row>
    <row r="17" spans="1:17">
      <c r="A17" s="487" t="s">
        <v>559</v>
      </c>
      <c r="B17" s="786">
        <f ca="1">huishoudens!B10</f>
        <v>0.21031754568867733</v>
      </c>
      <c r="C17" s="786">
        <f ca="1">huishoudens!C10</f>
        <v>0.21503022675658084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4439.8440427179712</v>
      </c>
      <c r="C22" s="477">
        <f t="shared" ref="C22:C32" ca="1" si="3">C4*$C$17</f>
        <v>0</v>
      </c>
      <c r="D22" s="477">
        <f t="shared" ref="D22:D32" si="4">D4*$D$17</f>
        <v>11879.471040756001</v>
      </c>
      <c r="E22" s="477">
        <f t="shared" ref="E22:E32" si="5">E4*$E$17</f>
        <v>287.9046242405006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16607.219707714474</v>
      </c>
    </row>
    <row r="23" spans="1:17">
      <c r="A23" s="476" t="s">
        <v>156</v>
      </c>
      <c r="B23" s="477">
        <f t="shared" ca="1" si="2"/>
        <v>2225.0109388814044</v>
      </c>
      <c r="C23" s="477">
        <f t="shared" ca="1" si="3"/>
        <v>0</v>
      </c>
      <c r="D23" s="477">
        <f t="shared" ca="1" si="4"/>
        <v>4156.3237705000001</v>
      </c>
      <c r="E23" s="477">
        <f t="shared" si="5"/>
        <v>48.927831249841667</v>
      </c>
      <c r="F23" s="477">
        <f t="shared" ca="1" si="6"/>
        <v>786.84013308944589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7217.1026737206921</v>
      </c>
    </row>
    <row r="24" spans="1:17">
      <c r="A24" s="476" t="s">
        <v>194</v>
      </c>
      <c r="B24" s="477">
        <f t="shared" ca="1" si="2"/>
        <v>150.16231095325617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150.16231095325617</v>
      </c>
    </row>
    <row r="25" spans="1:17">
      <c r="A25" s="476" t="s">
        <v>112</v>
      </c>
      <c r="B25" s="477">
        <f t="shared" ca="1" si="2"/>
        <v>493.91393064620365</v>
      </c>
      <c r="C25" s="477">
        <f t="shared" ca="1" si="3"/>
        <v>32725.450210084044</v>
      </c>
      <c r="D25" s="477">
        <f t="shared" si="4"/>
        <v>0</v>
      </c>
      <c r="E25" s="477">
        <f t="shared" si="5"/>
        <v>13.746378824498628</v>
      </c>
      <c r="F25" s="477">
        <f t="shared" si="6"/>
        <v>0</v>
      </c>
      <c r="G25" s="477">
        <f t="shared" si="7"/>
        <v>0</v>
      </c>
      <c r="H25" s="477">
        <f t="shared" si="8"/>
        <v>0</v>
      </c>
      <c r="I25" s="477">
        <f t="shared" si="9"/>
        <v>0</v>
      </c>
      <c r="J25" s="477">
        <f t="shared" si="10"/>
        <v>119.68247567549309</v>
      </c>
      <c r="K25" s="477">
        <f t="shared" si="11"/>
        <v>0</v>
      </c>
      <c r="L25" s="477">
        <f t="shared" si="12"/>
        <v>0</v>
      </c>
      <c r="M25" s="477">
        <f t="shared" si="13"/>
        <v>0</v>
      </c>
      <c r="N25" s="477">
        <f t="shared" si="14"/>
        <v>0</v>
      </c>
      <c r="O25" s="477">
        <f t="shared" si="15"/>
        <v>0</v>
      </c>
      <c r="P25" s="478">
        <f t="shared" si="16"/>
        <v>0</v>
      </c>
      <c r="Q25" s="476">
        <f t="shared" ca="1" si="17"/>
        <v>33352.792995230244</v>
      </c>
    </row>
    <row r="26" spans="1:17">
      <c r="A26" s="476" t="s">
        <v>638</v>
      </c>
      <c r="B26" s="477">
        <f t="shared" ca="1" si="2"/>
        <v>2204.508553575035</v>
      </c>
      <c r="C26" s="477">
        <f t="shared" ca="1" si="3"/>
        <v>0</v>
      </c>
      <c r="D26" s="477">
        <f t="shared" si="4"/>
        <v>470.71109751600005</v>
      </c>
      <c r="E26" s="477">
        <f t="shared" si="5"/>
        <v>176.85474081638085</v>
      </c>
      <c r="F26" s="477">
        <f t="shared" si="6"/>
        <v>738.95045327048786</v>
      </c>
      <c r="G26" s="477">
        <f t="shared" si="7"/>
        <v>0</v>
      </c>
      <c r="H26" s="477">
        <f t="shared" si="8"/>
        <v>0</v>
      </c>
      <c r="I26" s="477">
        <f t="shared" si="9"/>
        <v>0</v>
      </c>
      <c r="J26" s="477">
        <f t="shared" si="10"/>
        <v>170.77027257710461</v>
      </c>
      <c r="K26" s="477">
        <f t="shared" si="11"/>
        <v>0</v>
      </c>
      <c r="L26" s="477">
        <f t="shared" si="12"/>
        <v>0</v>
      </c>
      <c r="M26" s="477">
        <f t="shared" si="13"/>
        <v>0</v>
      </c>
      <c r="N26" s="477">
        <f t="shared" si="14"/>
        <v>0</v>
      </c>
      <c r="O26" s="477">
        <f t="shared" si="15"/>
        <v>0</v>
      </c>
      <c r="P26" s="478">
        <f t="shared" si="16"/>
        <v>0</v>
      </c>
      <c r="Q26" s="476">
        <f t="shared" ca="1" si="17"/>
        <v>3761.7951177550081</v>
      </c>
    </row>
    <row r="27" spans="1:17" s="482" customFormat="1">
      <c r="A27" s="480" t="s">
        <v>564</v>
      </c>
      <c r="B27" s="780">
        <f t="shared" ca="1" si="2"/>
        <v>2.499479297103508</v>
      </c>
      <c r="C27" s="481">
        <f t="shared" ca="1" si="3"/>
        <v>0</v>
      </c>
      <c r="D27" s="481">
        <f t="shared" si="4"/>
        <v>5.1758376383776392</v>
      </c>
      <c r="E27" s="481">
        <f t="shared" si="5"/>
        <v>22.579728810594165</v>
      </c>
      <c r="F27" s="481">
        <f t="shared" si="6"/>
        <v>0</v>
      </c>
      <c r="G27" s="481">
        <f t="shared" si="7"/>
        <v>9490.5510792510777</v>
      </c>
      <c r="H27" s="481">
        <f t="shared" si="8"/>
        <v>1718.8222496575854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11239.628374654738</v>
      </c>
    </row>
    <row r="28" spans="1:17">
      <c r="A28" s="476" t="s">
        <v>554</v>
      </c>
      <c r="B28" s="477">
        <f t="shared" ca="1" si="2"/>
        <v>155.04769095095847</v>
      </c>
      <c r="C28" s="477">
        <f t="shared" ca="1" si="3"/>
        <v>0</v>
      </c>
      <c r="D28" s="477">
        <f t="shared" si="4"/>
        <v>0</v>
      </c>
      <c r="E28" s="477">
        <f t="shared" si="5"/>
        <v>0</v>
      </c>
      <c r="F28" s="477">
        <f t="shared" si="6"/>
        <v>0</v>
      </c>
      <c r="G28" s="477">
        <f t="shared" si="7"/>
        <v>368.72142997158096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523.7691209225394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100.8579893525509</v>
      </c>
      <c r="C32" s="477">
        <f t="shared" ca="1" si="3"/>
        <v>0</v>
      </c>
      <c r="D32" s="477">
        <f t="shared" si="4"/>
        <v>307.00222600000006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407.86021535255099</v>
      </c>
    </row>
    <row r="33" spans="1:17" s="486" customFormat="1">
      <c r="A33" s="1038" t="s">
        <v>558</v>
      </c>
      <c r="B33" s="978">
        <f ca="1">SUM(B22:B32)</f>
        <v>9771.8449363744821</v>
      </c>
      <c r="C33" s="978">
        <f t="shared" ref="C33:Q33" ca="1" si="18">SUM(C22:C32)</f>
        <v>32725.450210084044</v>
      </c>
      <c r="D33" s="978">
        <f t="shared" ca="1" si="18"/>
        <v>16818.683972410377</v>
      </c>
      <c r="E33" s="978">
        <f t="shared" si="18"/>
        <v>550.01330394181582</v>
      </c>
      <c r="F33" s="978">
        <f t="shared" ca="1" si="18"/>
        <v>1525.7905863599337</v>
      </c>
      <c r="G33" s="978">
        <f t="shared" si="18"/>
        <v>9859.2725092226592</v>
      </c>
      <c r="H33" s="978">
        <f t="shared" si="18"/>
        <v>1718.8222496575854</v>
      </c>
      <c r="I33" s="978">
        <f t="shared" si="18"/>
        <v>0</v>
      </c>
      <c r="J33" s="978">
        <f t="shared" si="18"/>
        <v>290.4527482525977</v>
      </c>
      <c r="K33" s="978">
        <f t="shared" si="18"/>
        <v>0</v>
      </c>
      <c r="L33" s="978">
        <f t="shared" ca="1" si="18"/>
        <v>0</v>
      </c>
      <c r="M33" s="978">
        <f t="shared" si="18"/>
        <v>0</v>
      </c>
      <c r="N33" s="978">
        <f t="shared" ca="1" si="18"/>
        <v>0</v>
      </c>
      <c r="O33" s="978">
        <f t="shared" si="18"/>
        <v>0</v>
      </c>
      <c r="P33" s="978">
        <f t="shared" si="18"/>
        <v>0</v>
      </c>
      <c r="Q33" s="978">
        <f t="shared" ca="1" si="18"/>
        <v>73260.330516303511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2387.1334679329684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11356.875000000002</v>
      </c>
      <c r="C8" s="1055">
        <f>'SEAP template'!C76</f>
        <v>95176.125</v>
      </c>
      <c r="D8" s="1055">
        <f>'SEAP template'!D76</f>
        <v>107518.23529411765</v>
      </c>
      <c r="E8" s="1055">
        <f>'SEAP template'!E76</f>
        <v>0</v>
      </c>
      <c r="F8" s="1055">
        <f>'SEAP template'!F76</f>
        <v>4453.676470588236</v>
      </c>
      <c r="G8" s="1055">
        <f>'SEAP template'!G76</f>
        <v>0</v>
      </c>
      <c r="H8" s="1055">
        <f>'SEAP template'!H76</f>
        <v>0</v>
      </c>
      <c r="I8" s="1055">
        <f>'SEAP template'!I76</f>
        <v>13361.029411764708</v>
      </c>
      <c r="J8" s="1055">
        <f>'SEAP template'!J76</f>
        <v>0</v>
      </c>
      <c r="K8" s="1055">
        <f>'SEAP template'!K76</f>
        <v>0</v>
      </c>
      <c r="L8" s="1055">
        <f>'SEAP template'!L76</f>
        <v>0</v>
      </c>
      <c r="M8" s="1055">
        <f>'SEAP template'!M76</f>
        <v>0</v>
      </c>
      <c r="N8" s="1055">
        <f>'SEAP template'!N76</f>
        <v>0</v>
      </c>
      <c r="O8" s="1055">
        <f>'SEAP template'!O76</f>
        <v>0</v>
      </c>
      <c r="P8" s="1056">
        <f>'SEAP template'!Q76</f>
        <v>22907.815147058827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13744.00846793297</v>
      </c>
      <c r="C10" s="1059">
        <f>SUM(C4:C9)</f>
        <v>95176.125</v>
      </c>
      <c r="D10" s="1059">
        <f t="shared" ref="D10:H10" si="0">SUM(D8:D9)</f>
        <v>107518.23529411765</v>
      </c>
      <c r="E10" s="1059">
        <f t="shared" si="0"/>
        <v>0</v>
      </c>
      <c r="F10" s="1059">
        <f t="shared" si="0"/>
        <v>4453.676470588236</v>
      </c>
      <c r="G10" s="1059">
        <f t="shared" si="0"/>
        <v>0</v>
      </c>
      <c r="H10" s="1059">
        <f t="shared" si="0"/>
        <v>0</v>
      </c>
      <c r="I10" s="1059">
        <f>SUM(I8:I9)</f>
        <v>13361.029411764708</v>
      </c>
      <c r="J10" s="1059">
        <f>SUM(J8:J9)</f>
        <v>0</v>
      </c>
      <c r="K10" s="1059">
        <f t="shared" ref="K10:L10" si="1">SUM(K8:K9)</f>
        <v>0</v>
      </c>
      <c r="L10" s="1059">
        <f t="shared" si="1"/>
        <v>0</v>
      </c>
      <c r="M10" s="1059">
        <f>SUM(M8:M9)</f>
        <v>0</v>
      </c>
      <c r="N10" s="1059">
        <f>SUM(N8:N9)</f>
        <v>0</v>
      </c>
      <c r="O10" s="1059">
        <f>SUM(O8:O9)</f>
        <v>0</v>
      </c>
      <c r="P10" s="1059">
        <f>SUM(P8:P9)</f>
        <v>22907.815147058827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0.21031754568867733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16224.107142857145</v>
      </c>
      <c r="C17" s="1061">
        <f>'SEAP template'!C87</f>
        <v>135965.89285714287</v>
      </c>
      <c r="D17" s="1056">
        <f>'SEAP template'!D87</f>
        <v>153597.47899159667</v>
      </c>
      <c r="E17" s="1056">
        <f>'SEAP template'!E87</f>
        <v>0</v>
      </c>
      <c r="F17" s="1056">
        <f>'SEAP template'!F87</f>
        <v>6362.3949579831951</v>
      </c>
      <c r="G17" s="1056">
        <f>'SEAP template'!G87</f>
        <v>0</v>
      </c>
      <c r="H17" s="1056">
        <f>'SEAP template'!H87</f>
        <v>0</v>
      </c>
      <c r="I17" s="1056">
        <f>'SEAP template'!I87</f>
        <v>19087.184873949584</v>
      </c>
      <c r="J17" s="1056">
        <f>'SEAP template'!J87</f>
        <v>0</v>
      </c>
      <c r="K17" s="1056">
        <f>'SEAP template'!K87</f>
        <v>0</v>
      </c>
      <c r="L17" s="1056">
        <f>'SEAP template'!L87</f>
        <v>0</v>
      </c>
      <c r="M17" s="1056">
        <f>'SEAP template'!M87</f>
        <v>0</v>
      </c>
      <c r="N17" s="1056">
        <f>'SEAP template'!N87</f>
        <v>0</v>
      </c>
      <c r="O17" s="1056">
        <f>'SEAP template'!O87</f>
        <v>0</v>
      </c>
      <c r="P17" s="1056">
        <f>'SEAP template'!Q87</f>
        <v>32725.450210084044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16224.107142857145</v>
      </c>
      <c r="C20" s="1059">
        <f>SUM(C17:C19)</f>
        <v>135965.89285714287</v>
      </c>
      <c r="D20" s="1059">
        <f t="shared" ref="D20:H20" si="2">SUM(D17:D19)</f>
        <v>153597.47899159667</v>
      </c>
      <c r="E20" s="1059">
        <f t="shared" si="2"/>
        <v>0</v>
      </c>
      <c r="F20" s="1059">
        <f t="shared" si="2"/>
        <v>6362.3949579831951</v>
      </c>
      <c r="G20" s="1059">
        <f t="shared" si="2"/>
        <v>0</v>
      </c>
      <c r="H20" s="1059">
        <f t="shared" si="2"/>
        <v>0</v>
      </c>
      <c r="I20" s="1059">
        <f>SUM(I17:I19)</f>
        <v>19087.184873949584</v>
      </c>
      <c r="J20" s="1059">
        <f>SUM(J17:J19)</f>
        <v>0</v>
      </c>
      <c r="K20" s="1059">
        <f t="shared" ref="K20:L20" si="3">SUM(K17:K19)</f>
        <v>0</v>
      </c>
      <c r="L20" s="1059">
        <f t="shared" si="3"/>
        <v>0</v>
      </c>
      <c r="M20" s="1059">
        <f>SUM(M17:M19)</f>
        <v>0</v>
      </c>
      <c r="N20" s="1059">
        <f>SUM(N17:N19)</f>
        <v>0</v>
      </c>
      <c r="O20" s="1059">
        <f>SUM(O17:O19)</f>
        <v>0</v>
      </c>
      <c r="P20" s="1059">
        <f>SUM(P17:P19)</f>
        <v>32725.450210084044</v>
      </c>
    </row>
    <row r="22" spans="1:16">
      <c r="A22" s="487" t="s">
        <v>871</v>
      </c>
      <c r="B22" s="786" t="s">
        <v>865</v>
      </c>
      <c r="C22" s="786">
        <f ca="1">'EF ele_warmte'!B22</f>
        <v>0.21503022675658084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0.21031754568867733</v>
      </c>
      <c r="C17" s="524">
        <f ca="1">'EF ele_warmte'!B22</f>
        <v>0.21503022675658084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0.21031754568867733</v>
      </c>
      <c r="C17" s="524">
        <f ca="1">'EF ele_warmte'!B22</f>
        <v>0.21503022675658084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0.21031754568867733</v>
      </c>
      <c r="C29" s="525">
        <f ca="1">'EF ele_warmte'!B22</f>
        <v>0.21503022675658084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5076</v>
      </c>
      <c r="C9" s="342">
        <v>5289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1009.16</v>
      </c>
    </row>
    <row r="15" spans="1:6">
      <c r="A15" s="348" t="s">
        <v>184</v>
      </c>
      <c r="B15" s="334">
        <v>2</v>
      </c>
    </row>
    <row r="16" spans="1:6">
      <c r="A16" s="348" t="s">
        <v>6</v>
      </c>
      <c r="B16" s="334">
        <v>32</v>
      </c>
    </row>
    <row r="17" spans="1:6">
      <c r="A17" s="348" t="s">
        <v>7</v>
      </c>
      <c r="B17" s="334">
        <v>119</v>
      </c>
    </row>
    <row r="18" spans="1:6">
      <c r="A18" s="348" t="s">
        <v>8</v>
      </c>
      <c r="B18" s="334">
        <v>103</v>
      </c>
    </row>
    <row r="19" spans="1:6">
      <c r="A19" s="348" t="s">
        <v>9</v>
      </c>
      <c r="B19" s="334">
        <v>91</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1</v>
      </c>
    </row>
    <row r="25" spans="1:6">
      <c r="A25" s="348" t="s">
        <v>15</v>
      </c>
      <c r="B25" s="334">
        <v>0</v>
      </c>
    </row>
    <row r="26" spans="1:6">
      <c r="A26" s="348" t="s">
        <v>16</v>
      </c>
      <c r="B26" s="334">
        <v>40</v>
      </c>
    </row>
    <row r="27" spans="1:6">
      <c r="A27" s="348" t="s">
        <v>17</v>
      </c>
      <c r="B27" s="334">
        <v>0</v>
      </c>
    </row>
    <row r="28" spans="1:6" s="356" customFormat="1">
      <c r="A28" s="355" t="s">
        <v>18</v>
      </c>
      <c r="B28" s="355">
        <v>20</v>
      </c>
    </row>
    <row r="29" spans="1:6">
      <c r="A29" s="355" t="s">
        <v>884</v>
      </c>
      <c r="B29" s="355">
        <v>102</v>
      </c>
      <c r="C29" s="356"/>
      <c r="D29" s="356"/>
      <c r="E29" s="356"/>
      <c r="F29" s="356"/>
    </row>
    <row r="30" spans="1:6">
      <c r="A30" s="355" t="s">
        <v>885</v>
      </c>
      <c r="B30" s="341">
        <v>22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15271505</v>
      </c>
      <c r="E38" s="334">
        <v>3</v>
      </c>
      <c r="F38" s="334">
        <v>144267</v>
      </c>
    </row>
    <row r="39" spans="1:6">
      <c r="A39" s="348" t="s">
        <v>30</v>
      </c>
      <c r="B39" s="348" t="s">
        <v>31</v>
      </c>
      <c r="C39" s="334">
        <v>4030</v>
      </c>
      <c r="D39" s="334">
        <v>65198739</v>
      </c>
      <c r="E39" s="334">
        <v>5110</v>
      </c>
      <c r="F39" s="334">
        <v>19125005</v>
      </c>
    </row>
    <row r="40" spans="1:6">
      <c r="A40" s="348" t="s">
        <v>30</v>
      </c>
      <c r="B40" s="348" t="s">
        <v>29</v>
      </c>
      <c r="C40" s="334">
        <v>0</v>
      </c>
      <c r="D40" s="334">
        <v>0</v>
      </c>
      <c r="E40" s="334">
        <v>0</v>
      </c>
      <c r="F40" s="334">
        <v>0</v>
      </c>
    </row>
    <row r="41" spans="1:6">
      <c r="A41" s="348" t="s">
        <v>32</v>
      </c>
      <c r="B41" s="348" t="s">
        <v>33</v>
      </c>
      <c r="C41" s="334">
        <v>26</v>
      </c>
      <c r="D41" s="334">
        <v>529897</v>
      </c>
      <c r="E41" s="334">
        <v>67</v>
      </c>
      <c r="F41" s="334">
        <v>2888281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56287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10</v>
      </c>
      <c r="D47" s="334">
        <v>1737854</v>
      </c>
      <c r="E47" s="334">
        <v>10</v>
      </c>
      <c r="F47" s="334">
        <v>7203215</v>
      </c>
    </row>
    <row r="48" spans="1:6">
      <c r="A48" s="348" t="s">
        <v>32</v>
      </c>
      <c r="B48" s="348" t="s">
        <v>29</v>
      </c>
      <c r="C48" s="334">
        <v>3</v>
      </c>
      <c r="D48" s="334">
        <v>78127</v>
      </c>
      <c r="E48" s="334">
        <v>4</v>
      </c>
      <c r="F48" s="334">
        <v>22963</v>
      </c>
    </row>
    <row r="49" spans="1:6">
      <c r="A49" s="348" t="s">
        <v>32</v>
      </c>
      <c r="B49" s="348" t="s">
        <v>40</v>
      </c>
      <c r="C49" s="334">
        <v>0</v>
      </c>
      <c r="D49" s="334">
        <v>0</v>
      </c>
      <c r="E49" s="334">
        <v>0</v>
      </c>
      <c r="F49" s="334">
        <v>0</v>
      </c>
    </row>
    <row r="50" spans="1:6">
      <c r="A50" s="348" t="s">
        <v>32</v>
      </c>
      <c r="B50" s="348" t="s">
        <v>41</v>
      </c>
      <c r="C50" s="334">
        <v>7</v>
      </c>
      <c r="D50" s="334">
        <v>237551</v>
      </c>
      <c r="E50" s="334">
        <v>11</v>
      </c>
      <c r="F50" s="334">
        <v>311064</v>
      </c>
    </row>
    <row r="51" spans="1:6">
      <c r="A51" s="348" t="s">
        <v>42</v>
      </c>
      <c r="B51" s="348" t="s">
        <v>43</v>
      </c>
      <c r="C51" s="334">
        <v>24</v>
      </c>
      <c r="D51" s="334">
        <v>255046827</v>
      </c>
      <c r="E51" s="334">
        <v>71</v>
      </c>
      <c r="F51" s="334">
        <v>2348420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39</v>
      </c>
      <c r="F54" s="334">
        <v>713979</v>
      </c>
    </row>
    <row r="55" spans="1:6">
      <c r="A55" s="348" t="s">
        <v>46</v>
      </c>
      <c r="B55" s="348" t="s">
        <v>29</v>
      </c>
      <c r="C55" s="334">
        <v>0</v>
      </c>
      <c r="D55" s="334">
        <v>0</v>
      </c>
      <c r="E55" s="334">
        <v>0</v>
      </c>
      <c r="F55" s="334">
        <v>0</v>
      </c>
    </row>
    <row r="56" spans="1:6">
      <c r="A56" s="348" t="s">
        <v>48</v>
      </c>
      <c r="B56" s="348" t="s">
        <v>29</v>
      </c>
      <c r="C56" s="334">
        <v>64</v>
      </c>
      <c r="D56" s="334">
        <v>1519813</v>
      </c>
      <c r="E56" s="334">
        <v>126</v>
      </c>
      <c r="F56" s="334">
        <v>479551</v>
      </c>
    </row>
    <row r="57" spans="1:6">
      <c r="A57" s="348" t="s">
        <v>49</v>
      </c>
      <c r="B57" s="348" t="s">
        <v>50</v>
      </c>
      <c r="C57" s="334">
        <v>27</v>
      </c>
      <c r="D57" s="334">
        <v>1109512</v>
      </c>
      <c r="E57" s="334">
        <v>51</v>
      </c>
      <c r="F57" s="334">
        <v>600320</v>
      </c>
    </row>
    <row r="58" spans="1:6">
      <c r="A58" s="348" t="s">
        <v>49</v>
      </c>
      <c r="B58" s="348" t="s">
        <v>51</v>
      </c>
      <c r="C58" s="334">
        <v>27</v>
      </c>
      <c r="D58" s="334">
        <v>7856969</v>
      </c>
      <c r="E58" s="334">
        <v>26</v>
      </c>
      <c r="F58" s="334">
        <v>1400002</v>
      </c>
    </row>
    <row r="59" spans="1:6">
      <c r="A59" s="348" t="s">
        <v>49</v>
      </c>
      <c r="B59" s="348" t="s">
        <v>52</v>
      </c>
      <c r="C59" s="334">
        <v>61</v>
      </c>
      <c r="D59" s="334">
        <v>3115795</v>
      </c>
      <c r="E59" s="334">
        <v>114</v>
      </c>
      <c r="F59" s="334">
        <v>2946811</v>
      </c>
    </row>
    <row r="60" spans="1:6">
      <c r="A60" s="348" t="s">
        <v>49</v>
      </c>
      <c r="B60" s="348" t="s">
        <v>53</v>
      </c>
      <c r="C60" s="334">
        <v>30</v>
      </c>
      <c r="D60" s="334">
        <v>2660083</v>
      </c>
      <c r="E60" s="334">
        <v>42</v>
      </c>
      <c r="F60" s="334">
        <v>2554591</v>
      </c>
    </row>
    <row r="61" spans="1:6">
      <c r="A61" s="348" t="s">
        <v>49</v>
      </c>
      <c r="B61" s="348" t="s">
        <v>54</v>
      </c>
      <c r="C61" s="334">
        <v>165</v>
      </c>
      <c r="D61" s="334">
        <v>6857687</v>
      </c>
      <c r="E61" s="334">
        <v>347</v>
      </c>
      <c r="F61" s="334">
        <v>2779486</v>
      </c>
    </row>
    <row r="62" spans="1:6">
      <c r="A62" s="348" t="s">
        <v>49</v>
      </c>
      <c r="B62" s="348" t="s">
        <v>55</v>
      </c>
      <c r="C62" s="334">
        <v>9</v>
      </c>
      <c r="D62" s="334">
        <v>1211329</v>
      </c>
      <c r="E62" s="334">
        <v>9</v>
      </c>
      <c r="F62" s="334">
        <v>298083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28407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276733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45117292</v>
      </c>
      <c r="E73" s="475">
        <v>39949840.50195118</v>
      </c>
    </row>
    <row r="74" spans="1:6">
      <c r="A74" s="348" t="s">
        <v>64</v>
      </c>
      <c r="B74" s="348" t="s">
        <v>667</v>
      </c>
      <c r="C74" s="1294" t="s">
        <v>669</v>
      </c>
      <c r="D74" s="475">
        <v>4179911.482357238</v>
      </c>
      <c r="E74" s="475">
        <v>3887585.1978464327</v>
      </c>
    </row>
    <row r="75" spans="1:6">
      <c r="A75" s="348" t="s">
        <v>65</v>
      </c>
      <c r="B75" s="348" t="s">
        <v>666</v>
      </c>
      <c r="C75" s="1294" t="s">
        <v>670</v>
      </c>
      <c r="D75" s="475">
        <v>5597708</v>
      </c>
      <c r="E75" s="475">
        <v>4986047.8472429849</v>
      </c>
    </row>
    <row r="76" spans="1:6">
      <c r="A76" s="348" t="s">
        <v>65</v>
      </c>
      <c r="B76" s="348" t="s">
        <v>667</v>
      </c>
      <c r="C76" s="1294" t="s">
        <v>671</v>
      </c>
      <c r="D76" s="475">
        <v>304088.48235723807</v>
      </c>
      <c r="E76" s="475">
        <v>270670.19900573377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382417.03528552386</v>
      </c>
      <c r="C83" s="475">
        <v>382417.03528552386</v>
      </c>
    </row>
    <row r="84" spans="1:6">
      <c r="A84" s="341" t="s">
        <v>337</v>
      </c>
      <c r="B84" s="1295">
        <v>209136.90490936241</v>
      </c>
      <c r="C84" s="1295">
        <v>209136.90490936241</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1985.1882945245234</v>
      </c>
    </row>
    <row r="92" spans="1:6">
      <c r="A92" s="341" t="s">
        <v>69</v>
      </c>
      <c r="B92" s="342">
        <v>401.94517340844521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2</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46462.338196163917</v>
      </c>
      <c r="C3" s="43" t="s">
        <v>170</v>
      </c>
      <c r="D3" s="43"/>
      <c r="E3" s="154"/>
      <c r="F3" s="43"/>
      <c r="G3" s="43"/>
      <c r="H3" s="43"/>
      <c r="I3" s="43"/>
      <c r="J3" s="43"/>
      <c r="K3" s="96"/>
    </row>
    <row r="4" spans="1:11">
      <c r="A4" s="383" t="s">
        <v>171</v>
      </c>
      <c r="B4" s="49">
        <f>IF(ISERROR('SEAP template'!B78+'SEAP template'!C78),0,'SEAP template'!B78+'SEAP template'!C78)</f>
        <v>108920.13346793297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22907.815147058827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0.21031754568867733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32725.450210084044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152190.00000000003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0.21503022675658084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713.97900000000004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713.97900000000004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0.21031754568867733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150.16231095325617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19125.005000000001</v>
      </c>
      <c r="C5" s="17">
        <f>IF(ISERROR('Eigen informatie GS &amp; warmtenet'!B57),0,'Eigen informatie GS &amp; warmtenet'!B57)</f>
        <v>0</v>
      </c>
      <c r="D5" s="30">
        <f>(SUM(HH_hh_gas_kWh,HH_rest_gas_kWh)/1000)*0.902</f>
        <v>58809.262578000002</v>
      </c>
      <c r="E5" s="17">
        <f>B46*B57</f>
        <v>1268.3023094295181</v>
      </c>
      <c r="F5" s="17">
        <f>B51*B62</f>
        <v>0</v>
      </c>
      <c r="G5" s="18"/>
      <c r="H5" s="17"/>
      <c r="I5" s="17"/>
      <c r="J5" s="17">
        <f>B50*B61+C50*C61</f>
        <v>0</v>
      </c>
      <c r="K5" s="17"/>
      <c r="L5" s="17"/>
      <c r="M5" s="17"/>
      <c r="N5" s="17">
        <f>B48*B59+C48*C59</f>
        <v>7859.0448358910098</v>
      </c>
      <c r="O5" s="17">
        <f>B69*B70*B71</f>
        <v>171.96666666666667</v>
      </c>
      <c r="P5" s="17">
        <f>B77*B78*B79/1000-B77*B78*B79/1000/B80</f>
        <v>552.93333333333339</v>
      </c>
    </row>
    <row r="6" spans="1:16">
      <c r="A6" s="16" t="s">
        <v>624</v>
      </c>
      <c r="B6" s="788">
        <f>kWh_PV_kleiner_dan_10kW</f>
        <v>1985.1882945245234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21110.193294524524</v>
      </c>
      <c r="C8" s="21">
        <f>C5</f>
        <v>0</v>
      </c>
      <c r="D8" s="21">
        <f>D5</f>
        <v>58809.262578000002</v>
      </c>
      <c r="E8" s="21">
        <f>E5</f>
        <v>1268.3023094295181</v>
      </c>
      <c r="F8" s="21">
        <f>F5</f>
        <v>0</v>
      </c>
      <c r="G8" s="21"/>
      <c r="H8" s="21"/>
      <c r="I8" s="21"/>
      <c r="J8" s="21">
        <f>J5</f>
        <v>0</v>
      </c>
      <c r="K8" s="21"/>
      <c r="L8" s="21">
        <f>L5</f>
        <v>0</v>
      </c>
      <c r="M8" s="21">
        <f>M5</f>
        <v>0</v>
      </c>
      <c r="N8" s="21">
        <f>N5</f>
        <v>7859.0448358910098</v>
      </c>
      <c r="O8" s="21">
        <f>O5</f>
        <v>171.96666666666667</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0.21031754568867733</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4439.8440427179712</v>
      </c>
      <c r="C12" s="23">
        <f ca="1">C10*C8</f>
        <v>0</v>
      </c>
      <c r="D12" s="23">
        <f>D8*D10</f>
        <v>11879.471040756001</v>
      </c>
      <c r="E12" s="23">
        <f>E10*E8</f>
        <v>287.9046242405006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5076</v>
      </c>
      <c r="C28" s="36"/>
      <c r="D28" s="228"/>
    </row>
    <row r="29" spans="1:7" s="15" customFormat="1">
      <c r="A29" s="230" t="s">
        <v>699</v>
      </c>
      <c r="B29" s="37">
        <f>SUM(HH_hh_gas_aantal,HH_rest_gas_aantal)</f>
        <v>4030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4030</v>
      </c>
      <c r="C32" s="167">
        <f>IF(ISERROR(B32/SUM($B$32,$B$34,$B$35,$B$36,$B$38,$B$39)*100),0,B32/SUM($B$32,$B$34,$B$35,$B$36,$B$38,$B$39)*100)</f>
        <v>79.849415494353082</v>
      </c>
      <c r="D32" s="233"/>
      <c r="G32" s="15"/>
    </row>
    <row r="33" spans="1:7">
      <c r="A33" s="171" t="s">
        <v>72</v>
      </c>
      <c r="B33" s="34" t="s">
        <v>111</v>
      </c>
      <c r="C33" s="167"/>
      <c r="D33" s="233"/>
      <c r="G33" s="15"/>
    </row>
    <row r="34" spans="1:7">
      <c r="A34" s="171" t="s">
        <v>73</v>
      </c>
      <c r="B34" s="33">
        <f>IF((($B$28-$B$32-$B$39-$B$77-$B$38)*C20/100)&lt;0,0,($B$28-$B$32-$B$39-$B$77-$B$38)*C20/100)</f>
        <v>56.075187969924812</v>
      </c>
      <c r="C34" s="167">
        <f>IF(ISERROR(B34/SUM($B$32,$B$34,$B$35,$B$36,$B$38,$B$39)*100),0,B34/SUM($B$32,$B$34,$B$35,$B$36,$B$38,$B$39)*100)</f>
        <v>1.1110597973038401</v>
      </c>
      <c r="D34" s="233"/>
      <c r="G34" s="15"/>
    </row>
    <row r="35" spans="1:7">
      <c r="A35" s="171" t="s">
        <v>74</v>
      </c>
      <c r="B35" s="33">
        <f>IF((($B$28-$B$32-$B$39-$B$77-$B$38)*C21/100)&lt;0,0,($B$28-$B$32-$B$39-$B$77-$B$38)*C21/100)</f>
        <v>838.57894736842104</v>
      </c>
      <c r="C35" s="167">
        <f>IF(ISERROR(B35/SUM($B$32,$B$34,$B$35,$B$36,$B$38,$B$39)*100),0,B35/SUM($B$32,$B$34,$B$35,$B$36,$B$38,$B$39)*100)</f>
        <v>16.615394241498336</v>
      </c>
      <c r="D35" s="233"/>
      <c r="G35" s="15"/>
    </row>
    <row r="36" spans="1:7">
      <c r="A36" s="171" t="s">
        <v>75</v>
      </c>
      <c r="B36" s="33">
        <f>IF((($B$28-$B$32-$B$39-$B$77-$B$38)*C22/100)&lt;0,0,($B$28-$B$32-$B$39-$B$77-$B$38)*C22/100)</f>
        <v>122.34586466165412</v>
      </c>
      <c r="C36" s="167">
        <f>IF(ISERROR(B36/SUM($B$32,$B$34,$B$35,$B$36,$B$38,$B$39)*100),0,B36/SUM($B$32,$B$34,$B$35,$B$36,$B$38,$B$39)*100)</f>
        <v>2.4241304668447419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4030</v>
      </c>
      <c r="C44" s="34" t="s">
        <v>111</v>
      </c>
      <c r="D44" s="174"/>
    </row>
    <row r="45" spans="1:7">
      <c r="A45" s="171" t="s">
        <v>72</v>
      </c>
      <c r="B45" s="33" t="str">
        <f t="shared" si="0"/>
        <v>-</v>
      </c>
      <c r="C45" s="34" t="s">
        <v>111</v>
      </c>
      <c r="D45" s="174"/>
    </row>
    <row r="46" spans="1:7">
      <c r="A46" s="171" t="s">
        <v>73</v>
      </c>
      <c r="B46" s="33">
        <f t="shared" si="0"/>
        <v>56.075187969924812</v>
      </c>
      <c r="C46" s="34" t="s">
        <v>111</v>
      </c>
      <c r="D46" s="174"/>
    </row>
    <row r="47" spans="1:7">
      <c r="A47" s="171" t="s">
        <v>74</v>
      </c>
      <c r="B47" s="33">
        <f t="shared" si="0"/>
        <v>838.57894736842104</v>
      </c>
      <c r="C47" s="34" t="s">
        <v>111</v>
      </c>
      <c r="D47" s="174"/>
    </row>
    <row r="48" spans="1:7">
      <c r="A48" s="171" t="s">
        <v>75</v>
      </c>
      <c r="B48" s="33">
        <f t="shared" si="0"/>
        <v>122.34586466165412</v>
      </c>
      <c r="C48" s="33">
        <f>B48*10</f>
        <v>1223.4586466165413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10579.293</v>
      </c>
      <c r="C5" s="17">
        <f>IF(ISERROR('Eigen informatie GS &amp; warmtenet'!B58),0,'Eigen informatie GS &amp; warmtenet'!B58)</f>
        <v>0</v>
      </c>
      <c r="D5" s="30">
        <f>SUM(D6:D12)</f>
        <v>20575.860250000002</v>
      </c>
      <c r="E5" s="17">
        <f>SUM(E6:E12)</f>
        <v>215.54110682749632</v>
      </c>
      <c r="F5" s="17">
        <f>SUM(F6:F12)</f>
        <v>2946.9667905971755</v>
      </c>
      <c r="G5" s="18"/>
      <c r="H5" s="17"/>
      <c r="I5" s="17"/>
      <c r="J5" s="17">
        <f>SUM(J6:J12)</f>
        <v>0</v>
      </c>
      <c r="K5" s="17"/>
      <c r="L5" s="17"/>
      <c r="M5" s="17"/>
      <c r="N5" s="17">
        <f>SUM(N6:N12)</f>
        <v>496.99264344315969</v>
      </c>
      <c r="O5" s="17">
        <f>B38*B39*B40</f>
        <v>3.1266666666666669</v>
      </c>
      <c r="P5" s="17">
        <f>B46*B47*B48/1000-B46*B47*B48/1000/B49</f>
        <v>0</v>
      </c>
      <c r="R5" s="32"/>
    </row>
    <row r="6" spans="1:18">
      <c r="A6" s="32" t="s">
        <v>54</v>
      </c>
      <c r="B6" s="37">
        <f>B26</f>
        <v>2779.4859999999999</v>
      </c>
      <c r="C6" s="33"/>
      <c r="D6" s="37">
        <f>IF(ISERROR(TER_kantoor_gas_kWh/1000),0,TER_kantoor_gas_kWh/1000)*0.902</f>
        <v>6185.6336739999997</v>
      </c>
      <c r="E6" s="33">
        <f>$C$26*'E Balans VL '!I12/100/3.6*1000000</f>
        <v>36.386895570282832</v>
      </c>
      <c r="F6" s="33">
        <f>$C$26*('E Balans VL '!L12+'E Balans VL '!N12)/100/3.6*1000000</f>
        <v>708.74020786458868</v>
      </c>
      <c r="G6" s="34"/>
      <c r="H6" s="33"/>
      <c r="I6" s="33"/>
      <c r="J6" s="33">
        <f>$C$26*('E Balans VL '!D12+'E Balans VL '!E12)/100/3.6*1000000</f>
        <v>0</v>
      </c>
      <c r="K6" s="33"/>
      <c r="L6" s="33"/>
      <c r="M6" s="33"/>
      <c r="N6" s="33">
        <f>$C$26*'E Balans VL '!Y12/100/3.6*1000000</f>
        <v>2.7888457702279217</v>
      </c>
      <c r="O6" s="33"/>
      <c r="P6" s="33"/>
      <c r="R6" s="32"/>
    </row>
    <row r="7" spans="1:18">
      <c r="A7" s="32" t="s">
        <v>53</v>
      </c>
      <c r="B7" s="37">
        <f t="shared" ref="B7:B12" si="0">B27</f>
        <v>2554.5909999999999</v>
      </c>
      <c r="C7" s="33"/>
      <c r="D7" s="37">
        <f>IF(ISERROR(TER_horeca_gas_kWh/1000),0,TER_horeca_gas_kWh/1000)*0.902</f>
        <v>2399.3948660000001</v>
      </c>
      <c r="E7" s="33">
        <f>$C$27*'E Balans VL '!I9/100/3.6*1000000</f>
        <v>84.541423044219229</v>
      </c>
      <c r="F7" s="33">
        <f>$C$27*('E Balans VL '!L9+'E Balans VL '!N9)/100/3.6*1000000</f>
        <v>1098.4643396213964</v>
      </c>
      <c r="G7" s="34"/>
      <c r="H7" s="33"/>
      <c r="I7" s="33"/>
      <c r="J7" s="33">
        <f>$C$27*('E Balans VL '!D9+'E Balans VL '!E9)/100/3.6*1000000</f>
        <v>0</v>
      </c>
      <c r="K7" s="33"/>
      <c r="L7" s="33"/>
      <c r="M7" s="33"/>
      <c r="N7" s="33">
        <f>$C$27*'E Balans VL '!Y9/100/3.6*1000000</f>
        <v>0.61492715043234791</v>
      </c>
      <c r="O7" s="33"/>
      <c r="P7" s="33"/>
      <c r="R7" s="32"/>
    </row>
    <row r="8" spans="1:18">
      <c r="A8" s="6" t="s">
        <v>52</v>
      </c>
      <c r="B8" s="37">
        <f t="shared" si="0"/>
        <v>2946.8110000000001</v>
      </c>
      <c r="C8" s="33"/>
      <c r="D8" s="37">
        <f>IF(ISERROR(TER_handel_gas_kWh/1000),0,TER_handel_gas_kWh/1000)*0.902</f>
        <v>2810.4470900000001</v>
      </c>
      <c r="E8" s="33">
        <f>$C$28*'E Balans VL '!I13/100/3.6*1000000</f>
        <v>93.005857753181161</v>
      </c>
      <c r="F8" s="33">
        <f>$C$28*('E Balans VL '!L13+'E Balans VL '!N13)/100/3.6*1000000</f>
        <v>577.92152722008564</v>
      </c>
      <c r="G8" s="34"/>
      <c r="H8" s="33"/>
      <c r="I8" s="33"/>
      <c r="J8" s="33">
        <f>$C$28*('E Balans VL '!D13+'E Balans VL '!E13)/100/3.6*1000000</f>
        <v>0</v>
      </c>
      <c r="K8" s="33"/>
      <c r="L8" s="33"/>
      <c r="M8" s="33"/>
      <c r="N8" s="33">
        <f>$C$28*'E Balans VL '!Y13/100/3.6*1000000</f>
        <v>3.4972925406679174</v>
      </c>
      <c r="O8" s="33"/>
      <c r="P8" s="33"/>
      <c r="R8" s="32"/>
    </row>
    <row r="9" spans="1:18">
      <c r="A9" s="32" t="s">
        <v>51</v>
      </c>
      <c r="B9" s="37">
        <f t="shared" si="0"/>
        <v>1400.002</v>
      </c>
      <c r="C9" s="33"/>
      <c r="D9" s="37">
        <f>IF(ISERROR(TER_gezond_gas_kWh/1000),0,TER_gezond_gas_kWh/1000)*0.902</f>
        <v>7086.986038</v>
      </c>
      <c r="E9" s="33">
        <f>$C$29*'E Balans VL '!I10/100/3.6*1000000</f>
        <v>0.17924121214976985</v>
      </c>
      <c r="F9" s="33">
        <f>$C$29*('E Balans VL '!L10+'E Balans VL '!N10)/100/3.6*1000000</f>
        <v>291.67909606140432</v>
      </c>
      <c r="G9" s="34"/>
      <c r="H9" s="33"/>
      <c r="I9" s="33"/>
      <c r="J9" s="33">
        <f>$C$29*('E Balans VL '!D10+'E Balans VL '!E10)/100/3.6*1000000</f>
        <v>0</v>
      </c>
      <c r="K9" s="33"/>
      <c r="L9" s="33"/>
      <c r="M9" s="33"/>
      <c r="N9" s="33">
        <f>$C$29*'E Balans VL '!Y10/100/3.6*1000000</f>
        <v>16.443685217939809</v>
      </c>
      <c r="O9" s="33"/>
      <c r="P9" s="33"/>
      <c r="R9" s="32"/>
    </row>
    <row r="10" spans="1:18">
      <c r="A10" s="32" t="s">
        <v>50</v>
      </c>
      <c r="B10" s="37">
        <f t="shared" si="0"/>
        <v>600.32000000000005</v>
      </c>
      <c r="C10" s="33"/>
      <c r="D10" s="37">
        <f>IF(ISERROR(TER_ander_gas_kWh/1000),0,TER_ander_gas_kWh/1000)*0.902</f>
        <v>1000.779824</v>
      </c>
      <c r="E10" s="33">
        <f>$C$30*'E Balans VL '!I14/100/3.6*1000000</f>
        <v>0.90274010539425964</v>
      </c>
      <c r="F10" s="33">
        <f>$C$30*('E Balans VL '!L14+'E Balans VL '!N14)/100/3.6*1000000</f>
        <v>132.53130492673645</v>
      </c>
      <c r="G10" s="34"/>
      <c r="H10" s="33"/>
      <c r="I10" s="33"/>
      <c r="J10" s="33">
        <f>$C$30*('E Balans VL '!D14+'E Balans VL '!E14)/100/3.6*1000000</f>
        <v>0</v>
      </c>
      <c r="K10" s="33"/>
      <c r="L10" s="33"/>
      <c r="M10" s="33"/>
      <c r="N10" s="33">
        <f>$C$30*'E Balans VL '!Y14/100/3.6*1000000</f>
        <v>473.09256001276788</v>
      </c>
      <c r="O10" s="33"/>
      <c r="P10" s="33"/>
      <c r="R10" s="32"/>
    </row>
    <row r="11" spans="1:18">
      <c r="A11" s="32" t="s">
        <v>55</v>
      </c>
      <c r="B11" s="37">
        <f t="shared" si="0"/>
        <v>298.08300000000003</v>
      </c>
      <c r="C11" s="33"/>
      <c r="D11" s="37">
        <f>IF(ISERROR(TER_onderwijs_gas_kWh/1000),0,TER_onderwijs_gas_kWh/1000)*0.902</f>
        <v>1092.6187580000001</v>
      </c>
      <c r="E11" s="33">
        <f>$C$31*'E Balans VL '!I11/100/3.6*1000000</f>
        <v>0.52494914226905565</v>
      </c>
      <c r="F11" s="33">
        <f>$C$31*('E Balans VL '!L11+'E Balans VL '!N11)/100/3.6*1000000</f>
        <v>137.63031490296405</v>
      </c>
      <c r="G11" s="34"/>
      <c r="H11" s="33"/>
      <c r="I11" s="33"/>
      <c r="J11" s="33">
        <f>$C$31*('E Balans VL '!D11+'E Balans VL '!E11)/100/3.6*1000000</f>
        <v>0</v>
      </c>
      <c r="K11" s="33"/>
      <c r="L11" s="33"/>
      <c r="M11" s="33"/>
      <c r="N11" s="33">
        <f>$C$31*'E Balans VL '!Y11/100/3.6*1000000</f>
        <v>0.55533275112384461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10579.293</v>
      </c>
      <c r="C16" s="21">
        <f t="shared" ca="1" si="1"/>
        <v>0</v>
      </c>
      <c r="D16" s="21">
        <f t="shared" ca="1" si="1"/>
        <v>20575.860250000002</v>
      </c>
      <c r="E16" s="21">
        <f t="shared" si="1"/>
        <v>215.54110682749632</v>
      </c>
      <c r="F16" s="21">
        <f t="shared" ca="1" si="1"/>
        <v>2946.9667905971755</v>
      </c>
      <c r="G16" s="21">
        <f t="shared" si="1"/>
        <v>0</v>
      </c>
      <c r="H16" s="21">
        <f t="shared" si="1"/>
        <v>0</v>
      </c>
      <c r="I16" s="21">
        <f t="shared" si="1"/>
        <v>0</v>
      </c>
      <c r="J16" s="21">
        <f t="shared" si="1"/>
        <v>0</v>
      </c>
      <c r="K16" s="21">
        <f t="shared" si="1"/>
        <v>0</v>
      </c>
      <c r="L16" s="21">
        <f t="shared" ca="1" si="1"/>
        <v>0</v>
      </c>
      <c r="M16" s="21">
        <f t="shared" si="1"/>
        <v>0</v>
      </c>
      <c r="N16" s="21">
        <f t="shared" ca="1" si="1"/>
        <v>496.99264344315969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0.21031754568867733</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2225.0109388814044</v>
      </c>
      <c r="C20" s="23">
        <f t="shared" ref="C20:P20" ca="1" si="2">C16*C18</f>
        <v>0</v>
      </c>
      <c r="D20" s="23">
        <f t="shared" ca="1" si="2"/>
        <v>4156.3237705000001</v>
      </c>
      <c r="E20" s="23">
        <f t="shared" si="2"/>
        <v>48.927831249841667</v>
      </c>
      <c r="F20" s="23">
        <f t="shared" ca="1" si="2"/>
        <v>786.84013308944589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2779.4859999999999</v>
      </c>
      <c r="C26" s="39">
        <f>IF(ISERROR(B26*3.6/1000000/'E Balans VL '!Z12*100),0,B26*3.6/1000000/'E Balans VL '!Z12*100)</f>
        <v>5.953874941859133E-2</v>
      </c>
      <c r="D26" s="237" t="s">
        <v>660</v>
      </c>
      <c r="F26" s="6"/>
    </row>
    <row r="27" spans="1:18">
      <c r="A27" s="231" t="s">
        <v>53</v>
      </c>
      <c r="B27" s="33">
        <f>IF(ISERROR(TER_horeca_ele_kWh/1000),0,TER_horeca_ele_kWh/1000)</f>
        <v>2554.5909999999999</v>
      </c>
      <c r="C27" s="39">
        <f>IF(ISERROR(B27*3.6/1000000/'E Balans VL '!Z9*100),0,B27*3.6/1000000/'E Balans VL '!Z9*100)</f>
        <v>0.20499704808232019</v>
      </c>
      <c r="D27" s="237" t="s">
        <v>660</v>
      </c>
      <c r="F27" s="6"/>
    </row>
    <row r="28" spans="1:18">
      <c r="A28" s="171" t="s">
        <v>52</v>
      </c>
      <c r="B28" s="33">
        <f>IF(ISERROR(TER_handel_ele_kWh/1000),0,TER_handel_ele_kWh/1000)</f>
        <v>2946.8110000000001</v>
      </c>
      <c r="C28" s="39">
        <f>IF(ISERROR(B28*3.6/1000000/'E Balans VL '!Z13*100),0,B28*3.6/1000000/'E Balans VL '!Z13*100)</f>
        <v>8.6914022266279339E-2</v>
      </c>
      <c r="D28" s="237" t="s">
        <v>660</v>
      </c>
      <c r="F28" s="6"/>
    </row>
    <row r="29" spans="1:18">
      <c r="A29" s="231" t="s">
        <v>51</v>
      </c>
      <c r="B29" s="33">
        <f>IF(ISERROR(TER_gezond_ele_kWh/1000),0,TER_gezond_ele_kWh/1000)</f>
        <v>1400.002</v>
      </c>
      <c r="C29" s="39">
        <f>IF(ISERROR(B29*3.6/1000000/'E Balans VL '!Z10*100),0,B29*3.6/1000000/'E Balans VL '!Z10*100)</f>
        <v>0.1494826781388118</v>
      </c>
      <c r="D29" s="237" t="s">
        <v>660</v>
      </c>
      <c r="F29" s="6"/>
    </row>
    <row r="30" spans="1:18">
      <c r="A30" s="231" t="s">
        <v>50</v>
      </c>
      <c r="B30" s="33">
        <f>IF(ISERROR(TER_ander_ele_kWh/1000),0,TER_ander_ele_kWh/1000)</f>
        <v>600.32000000000005</v>
      </c>
      <c r="C30" s="39">
        <f>IF(ISERROR(B30*3.6/1000000/'E Balans VL '!Z14*100),0,B30*3.6/1000000/'E Balans VL '!Z14*100)</f>
        <v>4.5344526961551876E-2</v>
      </c>
      <c r="D30" s="237" t="s">
        <v>660</v>
      </c>
      <c r="F30" s="6"/>
    </row>
    <row r="31" spans="1:18">
      <c r="A31" s="231" t="s">
        <v>55</v>
      </c>
      <c r="B31" s="33">
        <f>IF(ISERROR(TER_onderwijs_ele_kWh/1000),0,TER_onderwijs_ele_kWh/1000)</f>
        <v>298.08300000000003</v>
      </c>
      <c r="C31" s="39">
        <f>IF(ISERROR(B31*3.6/1000000/'E Balans VL '!Z11*100),0,B31*3.6/1000000/'E Balans VL '!Z11*100)</f>
        <v>6.0192908479279619E-2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10481.81</v>
      </c>
      <c r="C5" s="17">
        <f>IF(ISERROR('Eigen informatie GS &amp; warmtenet'!B59),0,'Eigen informatie GS &amp; warmtenet'!B59)</f>
        <v>0</v>
      </c>
      <c r="D5" s="30">
        <f>SUM(D6:D15)</f>
        <v>2330.252958</v>
      </c>
      <c r="E5" s="17">
        <f>SUM(E6:E15)</f>
        <v>779.09577452150154</v>
      </c>
      <c r="F5" s="17">
        <f>SUM(F6:F15)</f>
        <v>2767.604693896958</v>
      </c>
      <c r="G5" s="18"/>
      <c r="H5" s="17"/>
      <c r="I5" s="17"/>
      <c r="J5" s="17">
        <f>SUM(J6:J15)</f>
        <v>482.40189993532374</v>
      </c>
      <c r="K5" s="17"/>
      <c r="L5" s="17"/>
      <c r="M5" s="17"/>
      <c r="N5" s="17">
        <f>SUM(N6:N15)</f>
        <v>14138.931176109987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56.286999999999999</v>
      </c>
      <c r="C8" s="33"/>
      <c r="D8" s="37">
        <f>IF( ISERROR(IND_metaal_Gas_kWH/1000),0,IND_metaal_Gas_kWH/1000)*0.902</f>
        <v>0</v>
      </c>
      <c r="E8" s="33">
        <f>C30*'E Balans VL '!I18/100/3.6*1000000</f>
        <v>2.025376539717922</v>
      </c>
      <c r="F8" s="33">
        <f>C30*'E Balans VL '!L18/100/3.6*1000000+C30*'E Balans VL '!N18/100/3.6*1000000</f>
        <v>24.578708271771511</v>
      </c>
      <c r="G8" s="34"/>
      <c r="H8" s="33"/>
      <c r="I8" s="33"/>
      <c r="J8" s="40">
        <f>C30*'E Balans VL '!D18/100/3.6*1000000+C30*'E Balans VL '!E18/100/3.6*1000000</f>
        <v>0</v>
      </c>
      <c r="K8" s="33"/>
      <c r="L8" s="33"/>
      <c r="M8" s="33"/>
      <c r="N8" s="33">
        <f>C30*'E Balans VL '!Y18/100/3.6*1000000</f>
        <v>2.8210661889304314</v>
      </c>
      <c r="O8" s="33"/>
      <c r="P8" s="33"/>
      <c r="R8" s="32"/>
    </row>
    <row r="9" spans="1:18">
      <c r="A9" s="6" t="s">
        <v>33</v>
      </c>
      <c r="B9" s="37">
        <f t="shared" si="0"/>
        <v>2888.2809999999999</v>
      </c>
      <c r="C9" s="33"/>
      <c r="D9" s="37">
        <f>IF( ISERROR(IND_andere_gas_kWh/1000),0,IND_andere_gas_kWh/1000)*0.902</f>
        <v>477.96709400000003</v>
      </c>
      <c r="E9" s="33">
        <f>C31*'E Balans VL '!I19/100/3.6*1000000</f>
        <v>737.02396201201225</v>
      </c>
      <c r="F9" s="33">
        <f>C31*'E Balans VL '!L19/100/3.6*1000000+C31*'E Balans VL '!N19/100/3.6*1000000</f>
        <v>2486.5928493602423</v>
      </c>
      <c r="G9" s="34"/>
      <c r="H9" s="33"/>
      <c r="I9" s="33"/>
      <c r="J9" s="40">
        <f>C31*'E Balans VL '!D19/100/3.6*1000000+C31*'E Balans VL '!E19/100/3.6*1000000</f>
        <v>0</v>
      </c>
      <c r="K9" s="33"/>
      <c r="L9" s="33"/>
      <c r="M9" s="33"/>
      <c r="N9" s="33">
        <f>C31*'E Balans VL '!Y19/100/3.6*1000000</f>
        <v>903.26438199386655</v>
      </c>
      <c r="O9" s="33"/>
      <c r="P9" s="33"/>
      <c r="R9" s="32"/>
    </row>
    <row r="10" spans="1:18">
      <c r="A10" s="6" t="s">
        <v>41</v>
      </c>
      <c r="B10" s="37">
        <f t="shared" si="0"/>
        <v>311.06400000000002</v>
      </c>
      <c r="C10" s="33"/>
      <c r="D10" s="37">
        <f>IF( ISERROR(IND_voed_gas_kWh/1000),0,IND_voed_gas_kWh/1000)*0.902</f>
        <v>214.27100199999998</v>
      </c>
      <c r="E10" s="33">
        <f>C32*'E Balans VL '!I20/100/3.6*1000000</f>
        <v>7.9076740058742443</v>
      </c>
      <c r="F10" s="33">
        <f>C32*'E Balans VL '!L20/100/3.6*1000000+C32*'E Balans VL '!N20/100/3.6*1000000</f>
        <v>70.389113726664334</v>
      </c>
      <c r="G10" s="34"/>
      <c r="H10" s="33"/>
      <c r="I10" s="33"/>
      <c r="J10" s="40">
        <f>C32*'E Balans VL '!D20/100/3.6*1000000+C32*'E Balans VL '!E20/100/3.6*1000000</f>
        <v>0</v>
      </c>
      <c r="K10" s="33"/>
      <c r="L10" s="33"/>
      <c r="M10" s="33"/>
      <c r="N10" s="33">
        <f>C32*'E Balans VL '!Y20/100/3.6*1000000</f>
        <v>116.65743172137044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7203.2150000000001</v>
      </c>
      <c r="C13" s="33"/>
      <c r="D13" s="37">
        <f>IF( ISERROR(IND_papier_gas_kWh/1000),0,IND_papier_gas_kWh/1000)*0.902</f>
        <v>1567.544308</v>
      </c>
      <c r="E13" s="33">
        <f>C35*'E Balans VL '!I23/100/3.6*1000000</f>
        <v>30.892493591657612</v>
      </c>
      <c r="F13" s="33">
        <f>C35*'E Balans VL '!L23/100/3.6*1000000+C35*'E Balans VL '!N23/100/3.6*1000000</f>
        <v>181.03915030608977</v>
      </c>
      <c r="G13" s="34"/>
      <c r="H13" s="33"/>
      <c r="I13" s="33"/>
      <c r="J13" s="40">
        <f>C35*'E Balans VL '!D23/100/3.6*1000000+C35*'E Balans VL '!E23/100/3.6*1000000</f>
        <v>482.21573624092491</v>
      </c>
      <c r="K13" s="33"/>
      <c r="L13" s="33"/>
      <c r="M13" s="33"/>
      <c r="N13" s="33">
        <f>C35*'E Balans VL '!Y23/100/3.6*1000000</f>
        <v>13111.56428988162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22.963000000000001</v>
      </c>
      <c r="C15" s="33"/>
      <c r="D15" s="37">
        <f>IF( ISERROR(IND_rest_gas_kWh/1000),0,IND_rest_gas_kWh/1000)*0.902</f>
        <v>70.470553999999993</v>
      </c>
      <c r="E15" s="33">
        <f>C37*'E Balans VL '!I15/100/3.6*1000000</f>
        <v>1.2462683722394332</v>
      </c>
      <c r="F15" s="33">
        <f>C37*'E Balans VL '!L15/100/3.6*1000000+C37*'E Balans VL '!N15/100/3.6*1000000</f>
        <v>5.0048722321904204</v>
      </c>
      <c r="G15" s="34"/>
      <c r="H15" s="33"/>
      <c r="I15" s="33"/>
      <c r="J15" s="40">
        <f>C37*'E Balans VL '!D15/100/3.6*1000000+C37*'E Balans VL '!E15/100/3.6*1000000</f>
        <v>0.18616369439885558</v>
      </c>
      <c r="K15" s="33"/>
      <c r="L15" s="33"/>
      <c r="M15" s="33"/>
      <c r="N15" s="33">
        <f>C37*'E Balans VL '!Y15/100/3.6*1000000</f>
        <v>4.6240063241988283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10481.81</v>
      </c>
      <c r="C18" s="21">
        <f>C5+C16</f>
        <v>0</v>
      </c>
      <c r="D18" s="21">
        <f>MAX((D5+D16),0)</f>
        <v>2330.252958</v>
      </c>
      <c r="E18" s="21">
        <f>MAX((E5+E16),0)</f>
        <v>779.09577452150154</v>
      </c>
      <c r="F18" s="21">
        <f>MAX((F5+F16),0)</f>
        <v>2767.604693896958</v>
      </c>
      <c r="G18" s="21"/>
      <c r="H18" s="21"/>
      <c r="I18" s="21"/>
      <c r="J18" s="21">
        <f>MAX((J5+J16),0)</f>
        <v>482.40189993532374</v>
      </c>
      <c r="K18" s="21"/>
      <c r="L18" s="21">
        <f>MAX((L5+L16),0)</f>
        <v>0</v>
      </c>
      <c r="M18" s="21"/>
      <c r="N18" s="21">
        <f>MAX((N5+N16),0)</f>
        <v>14138.931176109987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0.21031754568867733</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2204.508553575035</v>
      </c>
      <c r="C22" s="23">
        <f ca="1">C18*C20</f>
        <v>0</v>
      </c>
      <c r="D22" s="23">
        <f>D18*D20</f>
        <v>470.71109751600005</v>
      </c>
      <c r="E22" s="23">
        <f>E18*E20</f>
        <v>176.85474081638085</v>
      </c>
      <c r="F22" s="23">
        <f>F18*F20</f>
        <v>738.95045327048786</v>
      </c>
      <c r="G22" s="23"/>
      <c r="H22" s="23"/>
      <c r="I22" s="23"/>
      <c r="J22" s="23">
        <f>J18*J20</f>
        <v>170.77027257710461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56.286999999999999</v>
      </c>
      <c r="C30" s="39">
        <f>IF(ISERROR(B30*3.6/1000000/'E Balans VL '!Z18*100),0,B30*3.6/1000000/'E Balans VL '!Z18*100)</f>
        <v>1.1926008538524852E-2</v>
      </c>
      <c r="D30" s="237" t="s">
        <v>660</v>
      </c>
    </row>
    <row r="31" spans="1:18">
      <c r="A31" s="6" t="s">
        <v>33</v>
      </c>
      <c r="B31" s="37">
        <f>IF( ISERROR(IND_ander_ele_kWh/1000),0,IND_ander_ele_kWh/1000)</f>
        <v>2888.2809999999999</v>
      </c>
      <c r="C31" s="39">
        <f>IF(ISERROR(B31*3.6/1000000/'E Balans VL '!Z19*100),0,B31*3.6/1000000/'E Balans VL '!Z19*100)</f>
        <v>0.12157430560897026</v>
      </c>
      <c r="D31" s="237" t="s">
        <v>660</v>
      </c>
    </row>
    <row r="32" spans="1:18">
      <c r="A32" s="171" t="s">
        <v>41</v>
      </c>
      <c r="B32" s="37">
        <f>IF( ISERROR(IND_voed_ele_kWh/1000),0,IND_voed_ele_kWh/1000)</f>
        <v>311.06400000000002</v>
      </c>
      <c r="C32" s="39">
        <f>IF(ISERROR(B32*3.6/1000000/'E Balans VL '!Z20*100),0,B32*3.6/1000000/'E Balans VL '!Z20*100)</f>
        <v>5.1966760647104135E-2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7203.2150000000001</v>
      </c>
      <c r="C35" s="39">
        <f>IF(ISERROR(B35*3.6/1000000/'E Balans VL '!Z22*100),0,B35*3.6/1000000/'E Balans VL '!Z22*100)</f>
        <v>0.91304634807376239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22.963000000000001</v>
      </c>
      <c r="C37" s="39">
        <f>IF(ISERROR(B37*3.6/1000000/'E Balans VL '!Z15*100),0,B37*3.6/1000000/'E Balans VL '!Z15*100)</f>
        <v>1.8538919068113906E-4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2348.42</v>
      </c>
      <c r="C5" s="17">
        <f>'Eigen informatie GS &amp; warmtenet'!B60</f>
        <v>0</v>
      </c>
      <c r="D5" s="30">
        <f>IF(ISERROR(SUM(LB_lb_gas_kWh,LB_rest_gas_kWh)/1000),0,SUM(LB_lb_gas_kWh,LB_rest_gas_kWh)/1000)*0.902</f>
        <v>230052.23795400001</v>
      </c>
      <c r="E5" s="17">
        <f>B17*'E Balans VL '!I25/3.6*1000000/100</f>
        <v>60.556734909685581</v>
      </c>
      <c r="F5" s="17">
        <f>B17*('E Balans VL '!L25/3.6*1000000+'E Balans VL '!N25/3.6*1000000)/100</f>
        <v>8583.9223348636078</v>
      </c>
      <c r="G5" s="18"/>
      <c r="H5" s="17"/>
      <c r="I5" s="17"/>
      <c r="J5" s="17">
        <f>('E Balans VL '!D25+'E Balans VL '!E25)/3.6*1000000*landbouw!B17/100</f>
        <v>338.08608947879407</v>
      </c>
      <c r="K5" s="17"/>
      <c r="L5" s="17">
        <f>L6*(-1)</f>
        <v>32448.214285714294</v>
      </c>
      <c r="M5" s="17"/>
      <c r="N5" s="17">
        <f>N6*(-1)</f>
        <v>0</v>
      </c>
      <c r="O5" s="17"/>
      <c r="P5" s="17"/>
      <c r="R5" s="32"/>
    </row>
    <row r="6" spans="1:18">
      <c r="A6" s="16" t="s">
        <v>491</v>
      </c>
      <c r="B6" s="17" t="s">
        <v>211</v>
      </c>
      <c r="C6" s="17">
        <f>'lokale energieproductie'!O92+'lokale energieproductie'!O61</f>
        <v>152190.00000000003</v>
      </c>
      <c r="D6" s="310">
        <f>('lokale energieproductie'!P61+'lokale energieproductie'!P92)*(-1)</f>
        <v>-261115.71428571432</v>
      </c>
      <c r="E6" s="248"/>
      <c r="F6" s="310">
        <f>('lokale energieproductie'!S61+'lokale energieproductie'!S92)*(-1)</f>
        <v>-10816.071428571431</v>
      </c>
      <c r="G6" s="249"/>
      <c r="H6" s="248"/>
      <c r="I6" s="248"/>
      <c r="J6" s="248"/>
      <c r="K6" s="248"/>
      <c r="L6" s="310">
        <f>('lokale energieproductie'!T61+'lokale energieproductie'!U61+'lokale energieproductie'!T92+'lokale energieproductie'!U92)*(-1)</f>
        <v>-32448.214285714294</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2348.42</v>
      </c>
      <c r="C8" s="21">
        <f>C5+C6</f>
        <v>152190.00000000003</v>
      </c>
      <c r="D8" s="21">
        <f>MAX((D5+D6),0)</f>
        <v>0</v>
      </c>
      <c r="E8" s="21">
        <f>MAX((E5+E6),0)</f>
        <v>60.556734909685581</v>
      </c>
      <c r="F8" s="21">
        <f>MAX((F5+F6),0)</f>
        <v>0</v>
      </c>
      <c r="G8" s="21"/>
      <c r="H8" s="21"/>
      <c r="I8" s="21"/>
      <c r="J8" s="21">
        <f>MAX((J5+J6),0)</f>
        <v>338.08608947879407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0.21031754568867733</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493.91393064620365</v>
      </c>
      <c r="C12" s="23">
        <f ca="1">C8*C10</f>
        <v>32725.450210084044</v>
      </c>
      <c r="D12" s="23">
        <f>D8*D10</f>
        <v>0</v>
      </c>
      <c r="E12" s="23">
        <f>E8*E10</f>
        <v>13.746378824498628</v>
      </c>
      <c r="F12" s="23">
        <f>F8*F10</f>
        <v>0</v>
      </c>
      <c r="G12" s="23"/>
      <c r="H12" s="23"/>
      <c r="I12" s="23"/>
      <c r="J12" s="23">
        <f>J8*J10</f>
        <v>119.68247567549309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0.3311427755852791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29.254788877657777</v>
      </c>
      <c r="C26" s="247">
        <f>B26*'GWP N2O_CH4'!B5</f>
        <v>614.35056643081327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2.5456354854250995</v>
      </c>
      <c r="C27" s="247">
        <f>B27*'GWP N2O_CH4'!B5</f>
        <v>53.458345193927087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0.38501862543754178</v>
      </c>
      <c r="C28" s="247">
        <f>B28*'GWP N2O_CH4'!B4</f>
        <v>119.35577388563796</v>
      </c>
      <c r="D28" s="50"/>
    </row>
    <row r="29" spans="1:4">
      <c r="A29" s="41" t="s">
        <v>277</v>
      </c>
      <c r="B29" s="247">
        <f>B34*'ha_N2O bodem landbouw'!B4</f>
        <v>6.6575098743101009</v>
      </c>
      <c r="C29" s="247">
        <f>B29*'GWP N2O_CH4'!B4</f>
        <v>2063.8280610361312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1.4983015013302927E-3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4.2783522602018714E-5</v>
      </c>
      <c r="C5" s="463" t="s">
        <v>211</v>
      </c>
      <c r="D5" s="448">
        <f>SUM(D6:D11)</f>
        <v>9.224265098098761E-5</v>
      </c>
      <c r="E5" s="448">
        <f>SUM(E6:E11)</f>
        <v>3.5809261549840969E-4</v>
      </c>
      <c r="F5" s="461" t="s">
        <v>211</v>
      </c>
      <c r="G5" s="448">
        <f>SUM(G6:G11)</f>
        <v>0.12796248646181227</v>
      </c>
      <c r="H5" s="448">
        <f>SUM(H6:H11)</f>
        <v>2.4850442163724125E-2</v>
      </c>
      <c r="I5" s="463" t="s">
        <v>211</v>
      </c>
      <c r="J5" s="463" t="s">
        <v>211</v>
      </c>
      <c r="K5" s="463" t="s">
        <v>211</v>
      </c>
      <c r="L5" s="463" t="s">
        <v>211</v>
      </c>
      <c r="M5" s="448">
        <f>SUM(M6:M11)</f>
        <v>4.7760072368781348E-3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3.8061257655996806E-5</v>
      </c>
      <c r="C6" s="449"/>
      <c r="D6" s="892">
        <f>vkm_2011_GW_PW*SUMIFS(TableVerdeelsleutelVkm[CNG],TableVerdeelsleutelVkm[Voertuigtype],"Lichte voertuigen")*SUMIFS(TableECFTransport[EnergieConsumptieFactor (PJ per km)],TableECFTransport[Index],CONCATENATE($A6,"_CNG_CNG"))</f>
        <v>7.5628385663797029E-5</v>
      </c>
      <c r="E6" s="892">
        <f>vkm_2011_GW_PW*SUMIFS(TableVerdeelsleutelVkm[LPG],TableVerdeelsleutelVkm[Voertuigtype],"Lichte voertuigen")*SUMIFS(TableECFTransport[EnergieConsumptieFactor (PJ per km)],TableECFTransport[Index],CONCATENATE($A6,"_LPG_LPG"))</f>
        <v>2.9762480833095937E-4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7.0764967318443284E-2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2.0474879228872016E-2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2.8431178705205064E-3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4.0052738128137075E-2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1.2938745208330023E-5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1.2620004946816176E-3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4.722264946021907E-6</v>
      </c>
      <c r="C8" s="449"/>
      <c r="D8" s="451">
        <f>vkm_2011_NGW_PW*SUMIFS(TableVerdeelsleutelVkm[CNG],TableVerdeelsleutelVkm[Voertuigtype],"Lichte voertuigen")*SUMIFS(TableECFTransport[EnergieConsumptieFactor (PJ per km)],TableECFTransport[Index],CONCATENATE($A8,"_CNG_CNG"))</f>
        <v>1.6614265317190578E-5</v>
      </c>
      <c r="E8" s="451">
        <f>vkm_2011_NGW_PW*SUMIFS(TableVerdeelsleutelVkm[LPG],TableVerdeelsleutelVkm[Voertuigtype],"Lichte voertuigen")*SUMIFS(TableECFTransport[EnergieConsumptieFactor (PJ per km)],TableECFTransport[Index],CONCATENATE($A8,"_LPG_LPG"))</f>
        <v>6.0467807167450306E-5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1.3425553003119768E-2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4.3614879339503509E-3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5.5370364368881829E-4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3.7192280121121453E-3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1.1362556934264033E-6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1.1718522798719227E-4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11.884311833894087</v>
      </c>
      <c r="C14" s="21"/>
      <c r="D14" s="21">
        <f t="shared" ref="D14:M14" si="0">((D5)*10^9/3600)+D12</f>
        <v>25.622958605829893</v>
      </c>
      <c r="E14" s="21">
        <f t="shared" si="0"/>
        <v>99.470170971780462</v>
      </c>
      <c r="F14" s="21"/>
      <c r="G14" s="21">
        <f t="shared" si="0"/>
        <v>35545.135128281188</v>
      </c>
      <c r="H14" s="21">
        <f t="shared" si="0"/>
        <v>6902.9006010344792</v>
      </c>
      <c r="I14" s="21"/>
      <c r="J14" s="21"/>
      <c r="K14" s="21"/>
      <c r="L14" s="21"/>
      <c r="M14" s="21">
        <f t="shared" si="0"/>
        <v>1326.6686769105931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0.21031754568867733</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2.499479297103508</v>
      </c>
      <c r="C18" s="23"/>
      <c r="D18" s="23">
        <f t="shared" ref="D18:M18" si="1">D14*D16</f>
        <v>5.1758376383776392</v>
      </c>
      <c r="E18" s="23">
        <f t="shared" si="1"/>
        <v>22.579728810594165</v>
      </c>
      <c r="F18" s="23"/>
      <c r="G18" s="23">
        <f t="shared" si="1"/>
        <v>9490.5510792510777</v>
      </c>
      <c r="H18" s="23">
        <f t="shared" si="1"/>
        <v>1718.8222496575854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2.653947323299809E-3</v>
      </c>
      <c r="C50" s="321">
        <f t="shared" ref="C50:P50" si="2">SUM(C51:C52)</f>
        <v>0</v>
      </c>
      <c r="D50" s="321">
        <f t="shared" si="2"/>
        <v>0</v>
      </c>
      <c r="E50" s="321">
        <f t="shared" si="2"/>
        <v>0</v>
      </c>
      <c r="F50" s="321">
        <f t="shared" si="2"/>
        <v>0</v>
      </c>
      <c r="G50" s="321">
        <f t="shared" si="2"/>
        <v>4.9715248984932257E-3</v>
      </c>
      <c r="H50" s="321">
        <f t="shared" si="2"/>
        <v>0</v>
      </c>
      <c r="I50" s="321">
        <f t="shared" si="2"/>
        <v>0</v>
      </c>
      <c r="J50" s="321">
        <f t="shared" si="2"/>
        <v>0</v>
      </c>
      <c r="K50" s="321">
        <f t="shared" si="2"/>
        <v>0</v>
      </c>
      <c r="L50" s="321">
        <f t="shared" si="2"/>
        <v>0</v>
      </c>
      <c r="M50" s="321">
        <f t="shared" si="2"/>
        <v>1.5420558014480625E-4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4.9715248984932257E-3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1.5420558014480625E-4</v>
      </c>
      <c r="N51" s="323"/>
      <c r="O51" s="323"/>
      <c r="P51" s="326"/>
    </row>
    <row r="52" spans="1:18">
      <c r="A52" s="4" t="s">
        <v>330</v>
      </c>
      <c r="B52" s="893">
        <f>vkm_2011_tram*SUMIFS(TableECFTransport[EnergieConsumptieFactor (PJ per km)],TableECFTransport[Index],"Tram_gemiddeld_Electric_Electric")</f>
        <v>2.653947323299809E-3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737.20758980550249</v>
      </c>
      <c r="C54" s="21">
        <f t="shared" ref="C54:P54" si="3">(C50)*10^9/3600</f>
        <v>0</v>
      </c>
      <c r="D54" s="21">
        <f t="shared" si="3"/>
        <v>0</v>
      </c>
      <c r="E54" s="21">
        <f t="shared" si="3"/>
        <v>0</v>
      </c>
      <c r="F54" s="21">
        <f t="shared" si="3"/>
        <v>0</v>
      </c>
      <c r="G54" s="21">
        <f t="shared" si="3"/>
        <v>1380.9791384703406</v>
      </c>
      <c r="H54" s="21">
        <f t="shared" si="3"/>
        <v>0</v>
      </c>
      <c r="I54" s="21">
        <f t="shared" si="3"/>
        <v>0</v>
      </c>
      <c r="J54" s="21">
        <f t="shared" si="3"/>
        <v>0</v>
      </c>
      <c r="K54" s="21">
        <f t="shared" si="3"/>
        <v>0</v>
      </c>
      <c r="L54" s="21">
        <f t="shared" si="3"/>
        <v>0</v>
      </c>
      <c r="M54" s="21">
        <f t="shared" si="3"/>
        <v>42.83488337355729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0.21031754568867733</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155.04769095095847</v>
      </c>
      <c r="C58" s="23">
        <f t="shared" ref="C58:P58" ca="1" si="4">C54*C56</f>
        <v>0</v>
      </c>
      <c r="D58" s="23">
        <f t="shared" si="4"/>
        <v>0</v>
      </c>
      <c r="E58" s="23">
        <f t="shared" si="4"/>
        <v>0</v>
      </c>
      <c r="F58" s="23">
        <f t="shared" si="4"/>
        <v>0</v>
      </c>
      <c r="G58" s="23">
        <f t="shared" si="4"/>
        <v>368.72142997158096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2387.1334679329684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106533</v>
      </c>
      <c r="C8" s="570">
        <f>B101</f>
        <v>107518.23529411765</v>
      </c>
      <c r="D8" s="1043"/>
      <c r="E8" s="1043">
        <f>E101</f>
        <v>4453.676470588236</v>
      </c>
      <c r="F8" s="1044"/>
      <c r="G8" s="571"/>
      <c r="H8" s="1043">
        <f>I101</f>
        <v>0</v>
      </c>
      <c r="I8" s="1043">
        <f>G101+F101</f>
        <v>13361.029411764708</v>
      </c>
      <c r="J8" s="1043">
        <f>H101+D101+C101</f>
        <v>0</v>
      </c>
      <c r="K8" s="1043"/>
      <c r="L8" s="1043"/>
      <c r="M8" s="1043"/>
      <c r="N8" s="572"/>
      <c r="O8" s="573">
        <f>C8*$C$12+D8*$D$12+E8*$E$12+F8*$F$12+G8*$G$12+H8*$H$12+I8*$I$12+J8*$J$12</f>
        <v>22907.815147058827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108920.13346793297</v>
      </c>
      <c r="C10" s="583">
        <f t="shared" ref="C10:L10" si="0">SUM(C8:C9)</f>
        <v>107518.23529411765</v>
      </c>
      <c r="D10" s="583">
        <f t="shared" si="0"/>
        <v>0</v>
      </c>
      <c r="E10" s="583">
        <f t="shared" si="0"/>
        <v>4453.676470588236</v>
      </c>
      <c r="F10" s="583">
        <f t="shared" si="0"/>
        <v>0</v>
      </c>
      <c r="G10" s="583">
        <f t="shared" si="0"/>
        <v>0</v>
      </c>
      <c r="H10" s="583">
        <f t="shared" si="0"/>
        <v>0</v>
      </c>
      <c r="I10" s="583">
        <f t="shared" si="0"/>
        <v>13361.029411764708</v>
      </c>
      <c r="J10" s="583">
        <f t="shared" si="0"/>
        <v>0</v>
      </c>
      <c r="K10" s="583">
        <f t="shared" si="0"/>
        <v>0</v>
      </c>
      <c r="L10" s="583">
        <f t="shared" si="0"/>
        <v>0</v>
      </c>
      <c r="M10" s="1046"/>
      <c r="N10" s="1046"/>
      <c r="O10" s="584">
        <f>SUM(O4:O9)</f>
        <v>22907.815147058827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152190.00000000003</v>
      </c>
      <c r="C17" s="595">
        <f>B102</f>
        <v>153597.47899159667</v>
      </c>
      <c r="D17" s="596"/>
      <c r="E17" s="596">
        <f>E102</f>
        <v>6362.3949579831951</v>
      </c>
      <c r="F17" s="1049"/>
      <c r="G17" s="597"/>
      <c r="H17" s="595">
        <f>I102</f>
        <v>0</v>
      </c>
      <c r="I17" s="596">
        <f>G102+F102</f>
        <v>19087.184873949584</v>
      </c>
      <c r="J17" s="596">
        <f>H102+D102+C102</f>
        <v>0</v>
      </c>
      <c r="K17" s="596"/>
      <c r="L17" s="596"/>
      <c r="M17" s="596"/>
      <c r="N17" s="1050"/>
      <c r="O17" s="598">
        <f>C17*$C$22+E17*$E$22+H17*$H$22+I17*$I$22+J17*$J$22+D17*$D$22+F17*$F$22+G17*$G$22+K17*$K$22+L17*$L$22</f>
        <v>32725.450210084044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152190.00000000003</v>
      </c>
      <c r="C20" s="582">
        <f>SUM(C17:C19)</f>
        <v>153597.47899159667</v>
      </c>
      <c r="D20" s="582">
        <f t="shared" ref="D20:L20" si="1">SUM(D17:D19)</f>
        <v>0</v>
      </c>
      <c r="E20" s="582">
        <f t="shared" si="1"/>
        <v>6362.3949579831951</v>
      </c>
      <c r="F20" s="582">
        <f t="shared" si="1"/>
        <v>0</v>
      </c>
      <c r="G20" s="582">
        <f t="shared" si="1"/>
        <v>0</v>
      </c>
      <c r="H20" s="582">
        <f t="shared" si="1"/>
        <v>0</v>
      </c>
      <c r="I20" s="582">
        <f t="shared" si="1"/>
        <v>19087.184873949584</v>
      </c>
      <c r="J20" s="582">
        <f t="shared" si="1"/>
        <v>0</v>
      </c>
      <c r="K20" s="582">
        <f t="shared" si="1"/>
        <v>0</v>
      </c>
      <c r="L20" s="582">
        <f t="shared" si="1"/>
        <v>0</v>
      </c>
      <c r="M20" s="582"/>
      <c r="N20" s="582"/>
      <c r="O20" s="601">
        <f>SUM(O17:O19)</f>
        <v>32725.450210084044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11004</v>
      </c>
      <c r="C28" s="796">
        <v>2530</v>
      </c>
      <c r="D28" s="653" t="s">
        <v>890</v>
      </c>
      <c r="E28" s="652" t="s">
        <v>891</v>
      </c>
      <c r="F28" s="652" t="s">
        <v>892</v>
      </c>
      <c r="G28" s="652" t="s">
        <v>893</v>
      </c>
      <c r="H28" s="652" t="s">
        <v>894</v>
      </c>
      <c r="I28" s="652" t="s">
        <v>895</v>
      </c>
      <c r="J28" s="795">
        <v>41262</v>
      </c>
      <c r="K28" s="795">
        <v>38991</v>
      </c>
      <c r="L28" s="652" t="s">
        <v>896</v>
      </c>
      <c r="M28" s="652">
        <v>1560</v>
      </c>
      <c r="N28" s="652">
        <v>7020</v>
      </c>
      <c r="O28" s="652">
        <v>10028.571428571429</v>
      </c>
      <c r="P28" s="652">
        <v>20057.142857142859</v>
      </c>
      <c r="Q28" s="652">
        <v>0</v>
      </c>
      <c r="R28" s="652">
        <v>0</v>
      </c>
      <c r="S28" s="652">
        <v>0</v>
      </c>
      <c r="T28" s="652">
        <v>0</v>
      </c>
      <c r="U28" s="652">
        <v>0</v>
      </c>
      <c r="V28" s="652">
        <v>0</v>
      </c>
      <c r="W28" s="652">
        <v>0</v>
      </c>
      <c r="X28" s="652">
        <v>10</v>
      </c>
      <c r="Y28" s="652" t="s">
        <v>112</v>
      </c>
      <c r="Z28" s="654" t="s">
        <v>112</v>
      </c>
    </row>
    <row r="29" spans="1:26" s="606" customFormat="1" ht="38.25">
      <c r="A29" s="605"/>
      <c r="B29" s="796">
        <v>11004</v>
      </c>
      <c r="C29" s="796">
        <v>2530</v>
      </c>
      <c r="D29" s="653" t="s">
        <v>897</v>
      </c>
      <c r="E29" s="652" t="s">
        <v>898</v>
      </c>
      <c r="F29" s="652" t="s">
        <v>899</v>
      </c>
      <c r="G29" s="652" t="s">
        <v>893</v>
      </c>
      <c r="H29" s="652" t="s">
        <v>894</v>
      </c>
      <c r="I29" s="652" t="s">
        <v>898</v>
      </c>
      <c r="J29" s="795">
        <v>41285</v>
      </c>
      <c r="K29" s="795">
        <v>39083</v>
      </c>
      <c r="L29" s="652" t="s">
        <v>896</v>
      </c>
      <c r="M29" s="652">
        <v>4090</v>
      </c>
      <c r="N29" s="652">
        <v>18405</v>
      </c>
      <c r="O29" s="652">
        <v>26292.857142857145</v>
      </c>
      <c r="P29" s="652">
        <v>52585.71428571429</v>
      </c>
      <c r="Q29" s="652">
        <v>0</v>
      </c>
      <c r="R29" s="652">
        <v>0</v>
      </c>
      <c r="S29" s="652">
        <v>0</v>
      </c>
      <c r="T29" s="652">
        <v>0</v>
      </c>
      <c r="U29" s="652">
        <v>0</v>
      </c>
      <c r="V29" s="652">
        <v>0</v>
      </c>
      <c r="W29" s="652">
        <v>0</v>
      </c>
      <c r="X29" s="652">
        <v>10</v>
      </c>
      <c r="Y29" s="652" t="s">
        <v>112</v>
      </c>
      <c r="Z29" s="654" t="s">
        <v>112</v>
      </c>
    </row>
    <row r="30" spans="1:26" s="606" customFormat="1" ht="25.5">
      <c r="A30" s="605"/>
      <c r="B30" s="796">
        <v>11004</v>
      </c>
      <c r="C30" s="796">
        <v>2530</v>
      </c>
      <c r="D30" s="653" t="s">
        <v>900</v>
      </c>
      <c r="E30" s="652" t="s">
        <v>901</v>
      </c>
      <c r="F30" s="652" t="s">
        <v>902</v>
      </c>
      <c r="G30" s="652" t="s">
        <v>893</v>
      </c>
      <c r="H30" s="652" t="s">
        <v>894</v>
      </c>
      <c r="I30" s="652" t="s">
        <v>901</v>
      </c>
      <c r="J30" s="795">
        <v>38777</v>
      </c>
      <c r="K30" s="795">
        <v>39134</v>
      </c>
      <c r="L30" s="652" t="s">
        <v>896</v>
      </c>
      <c r="M30" s="652">
        <v>3365</v>
      </c>
      <c r="N30" s="652">
        <v>15142.500000000002</v>
      </c>
      <c r="O30" s="652">
        <v>21632.142857142859</v>
      </c>
      <c r="P30" s="652">
        <v>0</v>
      </c>
      <c r="Q30" s="652">
        <v>0</v>
      </c>
      <c r="R30" s="652">
        <v>0</v>
      </c>
      <c r="S30" s="652">
        <v>10816.071428571431</v>
      </c>
      <c r="T30" s="652">
        <v>0</v>
      </c>
      <c r="U30" s="652">
        <v>32448.214285714294</v>
      </c>
      <c r="V30" s="652">
        <v>0</v>
      </c>
      <c r="W30" s="652">
        <v>0</v>
      </c>
      <c r="X30" s="652">
        <v>10</v>
      </c>
      <c r="Y30" s="652" t="s">
        <v>112</v>
      </c>
      <c r="Z30" s="654" t="s">
        <v>112</v>
      </c>
    </row>
    <row r="31" spans="1:26" s="606" customFormat="1" ht="25.5">
      <c r="A31" s="605"/>
      <c r="B31" s="796">
        <v>11004</v>
      </c>
      <c r="C31" s="796">
        <v>2531</v>
      </c>
      <c r="D31" s="653" t="s">
        <v>903</v>
      </c>
      <c r="E31" s="652" t="s">
        <v>904</v>
      </c>
      <c r="F31" s="652" t="s">
        <v>905</v>
      </c>
      <c r="G31" s="652" t="s">
        <v>893</v>
      </c>
      <c r="H31" s="652" t="s">
        <v>894</v>
      </c>
      <c r="I31" s="652" t="s">
        <v>904</v>
      </c>
      <c r="J31" s="795">
        <v>39212</v>
      </c>
      <c r="K31" s="795">
        <v>39226</v>
      </c>
      <c r="L31" s="652" t="s">
        <v>896</v>
      </c>
      <c r="M31" s="652">
        <v>1125</v>
      </c>
      <c r="N31" s="652">
        <v>5062.5</v>
      </c>
      <c r="O31" s="652">
        <v>7232.1428571428569</v>
      </c>
      <c r="P31" s="652">
        <v>14464.285714285716</v>
      </c>
      <c r="Q31" s="652">
        <v>0</v>
      </c>
      <c r="R31" s="652">
        <v>0</v>
      </c>
      <c r="S31" s="652">
        <v>0</v>
      </c>
      <c r="T31" s="652">
        <v>0</v>
      </c>
      <c r="U31" s="652">
        <v>0</v>
      </c>
      <c r="V31" s="652">
        <v>0</v>
      </c>
      <c r="W31" s="652">
        <v>0</v>
      </c>
      <c r="X31" s="652">
        <v>10</v>
      </c>
      <c r="Y31" s="652" t="s">
        <v>112</v>
      </c>
      <c r="Z31" s="654" t="s">
        <v>112</v>
      </c>
    </row>
    <row r="32" spans="1:26" s="606" customFormat="1" ht="25.5">
      <c r="A32" s="605"/>
      <c r="B32" s="796">
        <v>11004</v>
      </c>
      <c r="C32" s="796">
        <v>2531</v>
      </c>
      <c r="D32" s="653" t="s">
        <v>906</v>
      </c>
      <c r="E32" s="652" t="s">
        <v>907</v>
      </c>
      <c r="F32" s="652" t="s">
        <v>908</v>
      </c>
      <c r="G32" s="652" t="s">
        <v>893</v>
      </c>
      <c r="H32" s="652" t="s">
        <v>894</v>
      </c>
      <c r="I32" s="652" t="s">
        <v>907</v>
      </c>
      <c r="J32" s="795">
        <v>40603</v>
      </c>
      <c r="K32" s="795">
        <v>39497</v>
      </c>
      <c r="L32" s="652" t="s">
        <v>896</v>
      </c>
      <c r="M32" s="652">
        <v>6390</v>
      </c>
      <c r="N32" s="652">
        <v>28755</v>
      </c>
      <c r="O32" s="652">
        <v>41078.571428571428</v>
      </c>
      <c r="P32" s="652">
        <v>82157.14285714287</v>
      </c>
      <c r="Q32" s="652">
        <v>0</v>
      </c>
      <c r="R32" s="652">
        <v>0</v>
      </c>
      <c r="S32" s="652">
        <v>0</v>
      </c>
      <c r="T32" s="652">
        <v>0</v>
      </c>
      <c r="U32" s="652">
        <v>0</v>
      </c>
      <c r="V32" s="652">
        <v>0</v>
      </c>
      <c r="W32" s="652">
        <v>0</v>
      </c>
      <c r="X32" s="652">
        <v>10</v>
      </c>
      <c r="Y32" s="652" t="s">
        <v>112</v>
      </c>
      <c r="Z32" s="654" t="s">
        <v>112</v>
      </c>
    </row>
    <row r="33" spans="1:26" s="606" customFormat="1" ht="38.25">
      <c r="A33" s="605"/>
      <c r="B33" s="796">
        <v>11004</v>
      </c>
      <c r="C33" s="796">
        <v>2531</v>
      </c>
      <c r="D33" s="653" t="s">
        <v>909</v>
      </c>
      <c r="E33" s="652" t="s">
        <v>910</v>
      </c>
      <c r="F33" s="652" t="s">
        <v>911</v>
      </c>
      <c r="G33" s="652" t="s">
        <v>893</v>
      </c>
      <c r="H33" s="652" t="s">
        <v>894</v>
      </c>
      <c r="I33" s="652" t="s">
        <v>910</v>
      </c>
      <c r="J33" s="795">
        <v>39604</v>
      </c>
      <c r="K33" s="795">
        <v>39618</v>
      </c>
      <c r="L33" s="652" t="s">
        <v>896</v>
      </c>
      <c r="M33" s="652">
        <v>4141</v>
      </c>
      <c r="N33" s="652">
        <v>18634.5</v>
      </c>
      <c r="O33" s="652">
        <v>26620.714285714286</v>
      </c>
      <c r="P33" s="652">
        <v>53241.428571428572</v>
      </c>
      <c r="Q33" s="652">
        <v>0</v>
      </c>
      <c r="R33" s="652">
        <v>0</v>
      </c>
      <c r="S33" s="652">
        <v>0</v>
      </c>
      <c r="T33" s="652">
        <v>0</v>
      </c>
      <c r="U33" s="652">
        <v>0</v>
      </c>
      <c r="V33" s="652">
        <v>0</v>
      </c>
      <c r="W33" s="652">
        <v>0</v>
      </c>
      <c r="X33" s="652">
        <v>10</v>
      </c>
      <c r="Y33" s="652" t="s">
        <v>112</v>
      </c>
      <c r="Z33" s="654" t="s">
        <v>112</v>
      </c>
    </row>
    <row r="34" spans="1:26" s="606" customFormat="1" ht="25.5">
      <c r="A34" s="605"/>
      <c r="B34" s="796">
        <v>11004</v>
      </c>
      <c r="C34" s="796">
        <v>2530</v>
      </c>
      <c r="D34" s="653" t="s">
        <v>912</v>
      </c>
      <c r="E34" s="652" t="s">
        <v>913</v>
      </c>
      <c r="F34" s="652" t="s">
        <v>914</v>
      </c>
      <c r="G34" s="652" t="s">
        <v>893</v>
      </c>
      <c r="H34" s="652" t="s">
        <v>894</v>
      </c>
      <c r="I34" s="652" t="s">
        <v>913</v>
      </c>
      <c r="J34" s="795">
        <v>40360</v>
      </c>
      <c r="K34" s="795">
        <v>40513</v>
      </c>
      <c r="L34" s="652" t="s">
        <v>915</v>
      </c>
      <c r="M34" s="652">
        <v>173</v>
      </c>
      <c r="N34" s="652">
        <v>778.49999999999989</v>
      </c>
      <c r="O34" s="652">
        <v>1112.1428571428571</v>
      </c>
      <c r="P34" s="652">
        <v>2224.2857142857142</v>
      </c>
      <c r="Q34" s="652">
        <v>0</v>
      </c>
      <c r="R34" s="652">
        <v>0</v>
      </c>
      <c r="S34" s="652">
        <v>0</v>
      </c>
      <c r="T34" s="652">
        <v>0</v>
      </c>
      <c r="U34" s="652">
        <v>0</v>
      </c>
      <c r="V34" s="652">
        <v>0</v>
      </c>
      <c r="W34" s="652">
        <v>0</v>
      </c>
      <c r="X34" s="652">
        <v>10</v>
      </c>
      <c r="Y34" s="652" t="s">
        <v>112</v>
      </c>
      <c r="Z34" s="654" t="s">
        <v>112</v>
      </c>
    </row>
    <row r="35" spans="1:26" s="606" customFormat="1" ht="25.5">
      <c r="A35" s="605"/>
      <c r="B35" s="796">
        <v>11004</v>
      </c>
      <c r="C35" s="796">
        <v>2531</v>
      </c>
      <c r="D35" s="653" t="s">
        <v>916</v>
      </c>
      <c r="E35" s="652" t="s">
        <v>917</v>
      </c>
      <c r="F35" s="652" t="s">
        <v>918</v>
      </c>
      <c r="G35" s="652" t="s">
        <v>893</v>
      </c>
      <c r="H35" s="652" t="s">
        <v>894</v>
      </c>
      <c r="I35" s="652" t="s">
        <v>917</v>
      </c>
      <c r="J35" s="795">
        <v>40525</v>
      </c>
      <c r="K35" s="795">
        <v>40525</v>
      </c>
      <c r="L35" s="652" t="s">
        <v>896</v>
      </c>
      <c r="M35" s="652">
        <v>1415</v>
      </c>
      <c r="N35" s="652">
        <v>6367.5</v>
      </c>
      <c r="O35" s="652">
        <v>9096.4285714285725</v>
      </c>
      <c r="P35" s="652">
        <v>18192.857142857145</v>
      </c>
      <c r="Q35" s="652">
        <v>0</v>
      </c>
      <c r="R35" s="652">
        <v>0</v>
      </c>
      <c r="S35" s="652">
        <v>0</v>
      </c>
      <c r="T35" s="652">
        <v>0</v>
      </c>
      <c r="U35" s="652">
        <v>0</v>
      </c>
      <c r="V35" s="652">
        <v>0</v>
      </c>
      <c r="W35" s="652">
        <v>0</v>
      </c>
      <c r="X35" s="652">
        <v>10</v>
      </c>
      <c r="Y35" s="652" t="s">
        <v>112</v>
      </c>
      <c r="Z35" s="654" t="s">
        <v>112</v>
      </c>
    </row>
    <row r="36" spans="1:26" s="606" customFormat="1" ht="25.5">
      <c r="A36" s="605"/>
      <c r="B36" s="796">
        <v>11004</v>
      </c>
      <c r="C36" s="796">
        <v>2531</v>
      </c>
      <c r="D36" s="653" t="s">
        <v>919</v>
      </c>
      <c r="E36" s="652" t="s">
        <v>920</v>
      </c>
      <c r="F36" s="652" t="s">
        <v>921</v>
      </c>
      <c r="G36" s="652" t="s">
        <v>893</v>
      </c>
      <c r="H36" s="652" t="s">
        <v>894</v>
      </c>
      <c r="I36" s="652" t="s">
        <v>920</v>
      </c>
      <c r="J36" s="795">
        <v>40588</v>
      </c>
      <c r="K36" s="795">
        <v>40588</v>
      </c>
      <c r="L36" s="652" t="s">
        <v>896</v>
      </c>
      <c r="M36" s="652">
        <v>1415</v>
      </c>
      <c r="N36" s="652">
        <v>6367.5</v>
      </c>
      <c r="O36" s="652">
        <v>9096.4285714285725</v>
      </c>
      <c r="P36" s="652">
        <v>18192.857142857145</v>
      </c>
      <c r="Q36" s="652">
        <v>0</v>
      </c>
      <c r="R36" s="652">
        <v>0</v>
      </c>
      <c r="S36" s="652">
        <v>0</v>
      </c>
      <c r="T36" s="652">
        <v>0</v>
      </c>
      <c r="U36" s="652">
        <v>0</v>
      </c>
      <c r="V36" s="652">
        <v>0</v>
      </c>
      <c r="W36" s="652">
        <v>0</v>
      </c>
      <c r="X36" s="652">
        <v>10</v>
      </c>
      <c r="Y36" s="652" t="s">
        <v>112</v>
      </c>
      <c r="Z36" s="654" t="s">
        <v>112</v>
      </c>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23674</v>
      </c>
      <c r="N58" s="610">
        <f>SUM(N28:N57)</f>
        <v>106533</v>
      </c>
      <c r="O58" s="610">
        <f t="shared" ref="O58:W58" si="2">SUM(O28:O57)</f>
        <v>152190.00000000003</v>
      </c>
      <c r="P58" s="610">
        <f t="shared" si="2"/>
        <v>261115.71428571432</v>
      </c>
      <c r="Q58" s="610">
        <f t="shared" si="2"/>
        <v>0</v>
      </c>
      <c r="R58" s="610">
        <f t="shared" si="2"/>
        <v>0</v>
      </c>
      <c r="S58" s="610">
        <f t="shared" si="2"/>
        <v>10816.071428571431</v>
      </c>
      <c r="T58" s="610">
        <f t="shared" si="2"/>
        <v>0</v>
      </c>
      <c r="U58" s="610">
        <f t="shared" si="2"/>
        <v>32448.214285714294</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23674</v>
      </c>
      <c r="N61" s="615">
        <f t="shared" si="4"/>
        <v>106533</v>
      </c>
      <c r="O61" s="615">
        <f t="shared" si="4"/>
        <v>152190.00000000003</v>
      </c>
      <c r="P61" s="615">
        <f t="shared" si="4"/>
        <v>261115.71428571432</v>
      </c>
      <c r="Q61" s="615">
        <f t="shared" si="4"/>
        <v>0</v>
      </c>
      <c r="R61" s="615">
        <f t="shared" si="4"/>
        <v>0</v>
      </c>
      <c r="S61" s="615">
        <f t="shared" si="4"/>
        <v>10816.071428571431</v>
      </c>
      <c r="T61" s="615">
        <f t="shared" si="4"/>
        <v>0</v>
      </c>
      <c r="U61" s="615">
        <f t="shared" si="4"/>
        <v>32448.214285714294</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107518.23529411765</v>
      </c>
      <c r="C101" s="644">
        <f t="shared" si="9"/>
        <v>0</v>
      </c>
      <c r="D101" s="644">
        <f t="shared" si="9"/>
        <v>0</v>
      </c>
      <c r="E101" s="644">
        <f t="shared" si="9"/>
        <v>4453.676470588236</v>
      </c>
      <c r="F101" s="644">
        <f t="shared" si="9"/>
        <v>0</v>
      </c>
      <c r="G101" s="644">
        <f t="shared" si="9"/>
        <v>13361.029411764708</v>
      </c>
      <c r="H101" s="644">
        <f t="shared" si="9"/>
        <v>0</v>
      </c>
      <c r="I101" s="645">
        <f t="shared" si="9"/>
        <v>0</v>
      </c>
      <c r="J101" s="602"/>
      <c r="K101" s="602"/>
      <c r="L101" s="640"/>
      <c r="M101" s="640"/>
      <c r="N101" s="640"/>
      <c r="O101" s="627"/>
      <c r="P101" s="627"/>
    </row>
    <row r="102" spans="1:16" ht="15.75" thickBot="1">
      <c r="A102" s="646" t="s">
        <v>286</v>
      </c>
      <c r="B102" s="647">
        <f t="shared" ref="B102:I102" si="10">$B$98*P58</f>
        <v>153597.47899159667</v>
      </c>
      <c r="C102" s="647">
        <f t="shared" si="10"/>
        <v>0</v>
      </c>
      <c r="D102" s="647">
        <f t="shared" si="10"/>
        <v>0</v>
      </c>
      <c r="E102" s="647">
        <f t="shared" si="10"/>
        <v>6362.3949579831951</v>
      </c>
      <c r="F102" s="647">
        <f t="shared" si="10"/>
        <v>0</v>
      </c>
      <c r="G102" s="647">
        <f t="shared" si="10"/>
        <v>19087.184873949584</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2019-08-12T08:22:05Z</dcterms:modified>
</cp:coreProperties>
</file>