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F63" i="14"/>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<sst xmlns="http://schemas.openxmlformats.org/spreadsheetml/2006/main" count="2419" uniqueCount="907">
  <si>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</si>
  <si>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</si>
  <si>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</si>
  <si>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</si>
  <si>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</si>
  <si>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</si>
  <si>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</si>
  <si>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</si>
  <si>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</si>
  <si>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</si>
  <si>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</si>
  <si>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</si>
  <si>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</si>
  <si>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</si>
  <si>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</si>
  <si>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</si>
  <si>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</si>
  <si>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</si>
  <si>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</si>
  <si>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</si>
  <si>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</si>
  <si>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</si>
  <si>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</si>
  <si>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</si>
  <si>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</si>
  <si>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</si>
  <si>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</si>
  <si>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</si>
  <si>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</si>
  <si>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</si>
  <si>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</si>
  <si>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</si>
  <si>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</si>
  <si>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</si>
  <si>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</si>
  <si>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</si>
  <si>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</si>
  <si>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</si>
  <si>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</si>
  <si>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</si>
  <si>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</si>
  <si>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</si>
  <si>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</si>
  <si>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</si>
  <si>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</si>
  <si>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</si>
  <si>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</si>
  <si>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</si>
  <si>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</si>
  <si>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</si>
  <si>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</si>
  <si>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</si>
  <si>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</si>
  <si>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</si>
  <si>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</si>
  <si>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</si>
  <si>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</si>
  <si>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</si>
  <si>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</si>
  <si>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</si>
  <si>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</si>
  <si>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</si>
  <si>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</si>
  <si>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</si>
  <si>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</si>
  <si>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</si>
  <si>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</si>
  <si>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</si>
  <si>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</si>
  <si>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</si>
  <si>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</si>
  <si>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</si>
  <si>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</si>
  <si>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</si>
  <si>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</si>
  <si>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</si>
  <si>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</si>
  <si>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</si>
  <si>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</si>
  <si>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</si>
  <si>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</si>
  <si>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</si>
  <si>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</si>
  <si>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</si>
  <si>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</si>
  <si>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</si>
  <si>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</si>
  <si>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</si>
  <si>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</si>
  <si>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</si>
  <si>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</si>
  <si>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</si>
  <si>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</si>
  <si>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</si>
  <si>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</si>
  <si>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</si>
  <si>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</si>
  <si>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</si>
  <si>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</si>
  <si>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</si>
  <si>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</si>
  <si>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</si>
  <si>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</si>
  <si>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</si>
  <si>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</si>
  <si>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</si>
  <si>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</si>
  <si>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</si>
  <si>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</si>
  <si>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</si>
  <si>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</si>
  <si>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</si>
  <si>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</si>
  <si>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</si>
  <si>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</si>
  <si>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</si>
  <si>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</si>
  <si>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</si>
  <si>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</si>
  <si>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</si>
  <si>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</si>
  <si>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</si>
  <si>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</si>
  <si>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</si>
  <si>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</si>
  <si>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</si>
  <si>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</si>
  <si>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</si>
  <si>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</si>
  <si>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</si>
  <si>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</si>
  <si>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</si>
  <si>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</si>
  <si>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</si>
  <si>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</si>
  <si>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</si>
  <si>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</si>
  <si>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</si>
  <si>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</si>
  <si>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</si>
  <si>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</si>
  <si>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</si>
  <si>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</si>
  <si>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</si>
  <si>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</si>
  <si>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</si>
  <si>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</si>
  <si>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</si>
  <si>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</si>
  <si>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</si>
  <si>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</si>
  <si>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</si>
  <si>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</si>
  <si>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</si>
  <si>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</si>
  <si>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</si>
  <si>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</si>
  <si>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</si>
  <si>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</si>
  <si>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</si>
  <si>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</si>
  <si>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</si>
  <si>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</si>
  <si>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</si>
  <si>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</si>
  <si>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</si>
  <si>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</si>
  <si>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</si>
  <si>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</si>
  <si>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</si>
  <si>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</si>
  <si>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</si>
  <si>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</si>
  <si>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</si>
  <si>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</si>
  <si>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</si>
  <si>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</si>
  <si>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</si>
  <si>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</si>
  <si>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</si>
  <si>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</si>
  <si>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</si>
  <si>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</si>
  <si>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</si>
  <si>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</si>
  <si>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</si>
  <si>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</si>
  <si>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</si>
  <si>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</si>
  <si>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</si>
  <si>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</si>
  <si>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</si>
  <si>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</si>
  <si>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</si>
  <si>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</si>
  <si>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</si>
  <si>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</si>
  <si>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</si>
  <si>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</si>
  <si>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</si>
  <si>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</si>
  <si>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</si>
  <si>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</si>
  <si>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</si>
  <si>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</si>
  <si>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</si>
  <si>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</si>
  <si>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</si>
  <si>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</si>
  <si>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</si>
  <si>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</si>
  <si>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</si>
  <si>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</si>
  <si>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</si>
  <si>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</si>
  <si>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</si>
  <si>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</si>
  <si>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</si>
  <si>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</si>
  <si>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</si>
  <si>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</si>
  <si>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</si>
  <si>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</si>
  <si>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</si>
  <si>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</si>
  <si>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</si>
  <si>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</si>
  <si>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</si>
  <si>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</si>
  <si>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</si>
  <si>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</si>
  <si>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</si>
  <si>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</si>
  <si>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</si>
  <si>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</si>
  <si>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</si>
  <si>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</si>
  <si>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</si>
  <si>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</si>
  <si>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</si>
  <si>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</si>
  <si>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</si>
  <si>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</si>
  <si>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</si>
  <si>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</si>
  <si>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</si>
  <si>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</si>
  <si>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</si>
  <si>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</si>
  <si>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</si>
  <si>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</si>
  <si>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</si>
  <si>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</si>
  <si>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</si>
  <si>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</si>
  <si>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</si>
  <si>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</si>
  <si>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</si>
  <si>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</si>
  <si>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</si>
  <si>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</si>
  <si>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</si>
  <si>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</si>
  <si>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</si>
  <si>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</si>
  <si>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</si>
  <si>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</si>
  <si>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</si>
  <si>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</si>
  <si>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</si>
  <si>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</si>
  <si>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</si>
  <si>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</si>
  <si>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</si>
  <si>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</si>
  <si>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</si>
  <si>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</si>
  <si>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</si>
  <si>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</si>
  <si>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</si>
  <si>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</si>
  <si>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</si>
  <si>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</si>
  <si>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</si>
  <si>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</si>
  <si>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</si>
  <si>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</si>
  <si>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</si>
  <si>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</si>
  <si>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</si>
  <si>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</si>
  <si>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</si>
  <si>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</si>
  <si>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</si>
  <si>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</si>
  <si>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</si>
  <si>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</si>
  <si>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</si>
  <si>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</si>
  <si>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</si>
  <si>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</si>
  <si>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</si>
  <si>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</si>
  <si>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</si>
  <si>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</si>
  <si>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</si>
  <si>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</si>
  <si>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</si>
  <si>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</si>
  <si>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</si>
  <si>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</si>
  <si>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</si>
  <si>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</si>
  <si>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</si>
  <si>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</si>
  <si>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</si>
  <si>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</si>
  <si>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</si>
  <si>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</si>
  <si>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</si>
  <si>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</si>
  <si>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</si>
  <si>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</si>
  <si>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</si>
  <si>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</si>
  <si>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</si>
  <si>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</si>
  <si>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</si>
  <si>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</si>
  <si>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</si>
  <si>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</si>
  <si>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</si>
  <si>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</si>
  <si>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</si>
  <si>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</si>
  <si>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</si>
  <si>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</si>
  <si>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</si>
  <si>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</si>
  <si>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</si>
  <si>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</si>
  <si>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</si>
  <si>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</si>
  <si>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</si>
  <si>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</si>
  <si>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</si>
  <si>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</si>
  <si>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</si>
  <si>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</si>
  <si>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</si>
  <si>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</si>
  <si>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</si>
  <si>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</si>
  <si>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</si>
  <si>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</si>
  <si>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</si>
  <si>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</si>
  <si>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</si>
  <si>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</si>
  <si>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</si>
  <si>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</si>
  <si>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</si>
  <si>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</si>
  <si>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</si>
  <si>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</si>
  <si>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</si>
  <si>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</si>
  <si>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</si>
  <si>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</si>
  <si>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</si>
  <si>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</si>
  <si>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</si>
  <si>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</si>
  <si>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</si>
  <si>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</si>
  <si>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</si>
  <si>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</si>
  <si>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</si>
  <si>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</si>
  <si>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</si>
  <si>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</si>
  <si>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</si>
  <si>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</si>
  <si>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</si>
  <si>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</si>
  <si>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</si>
  <si>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</si>
  <si>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</si>
  <si>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</si>
  <si>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</si>
  <si>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</si>
  <si>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</si>
  <si>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</si>
  <si>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</si>
  <si>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</si>
  <si>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</si>
  <si>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</si>
  <si>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</si>
  <si>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</si>
  <si>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</si>
  <si>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</si>
  <si>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</si>
  <si>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</si>
  <si>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</si>
  <si>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</si>
  <si>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</si>
  <si>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</si>
  <si>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</si>
  <si>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</si>
  <si>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</si>
  <si>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</si>
  <si>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</si>
  <si>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</si>
  <si>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</si>
  <si>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</si>
  <si>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</si>
  <si>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</si>
  <si>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</si>
  <si>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</si>
  <si>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</si>
  <si>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</si>
  <si>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</si>
  <si>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</si>
  <si>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</si>
  <si>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</si>
  <si>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</si>
  <si>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</si>
  <si>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</si>
  <si>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</si>
  <si>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</si>
  <si>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</si>
  <si>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</si>
  <si>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</si>
  <si>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</si>
  <si>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</si>
  <si>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</si>
  <si>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</si>
  <si>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</si>
  <si>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</si>
  <si>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</si>
  <si>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</si>
  <si>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</si>
  <si>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</si>
  <si>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</si>
  <si>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</si>
  <si>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</si>
  <si>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</si>
  <si>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</si>
  <si>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</si>
  <si>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</si>
  <si>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</si>
  <si>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</si>
  <si>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</si>
  <si>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</si>
  <si>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</si>
  <si>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</si>
  <si>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</si>
  <si>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</si>
  <si>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</si>
  <si>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</si>
  <si>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</si>
  <si>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</si>
  <si>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</si>
  <si>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</si>
  <si>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</si>
  <si>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</si>
  <si>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</si>
  <si>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</si>
  <si>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</si>
  <si>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</si>
  <si>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</si>
  <si>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</si>
  <si>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</si>
  <si>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</si>
  <si>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</si>
  <si>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</si>
  <si>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</si>
  <si>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</si>
  <si>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</si>
  <si>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</si>
  <si>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</si>
  <si>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</si>
  <si>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</si>
  <si>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</si>
  <si>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</si>
  <si>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</si>
  <si>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</si>
  <si>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</si>
  <si>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</si>
  <si>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</si>
  <si>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</si>
  <si>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</si>
  <si>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</si>
  <si>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</si>
  <si>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</si>
  <si>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</si>
  <si>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</si>
  <si>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</si>
  <si>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</si>
  <si>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</si>
  <si>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</si>
  <si>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</si>
  <si>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</si>
  <si>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</si>
  <si>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</si>
  <si>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</si>
  <si>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</si>
  <si>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</si>
  <si>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</si>
  <si>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</si>
  <si>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</si>
  <si>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</si>
  <si>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</si>
  <si>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</si>
  <si>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</si>
  <si>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</si>
  <si>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</si>
  <si>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</si>
  <si>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</si>
  <si>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</si>
  <si>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</si>
  <si>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</si>
  <si>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</si>
  <si>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</si>
  <si>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</si>
  <si>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</si>
  <si>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</si>
  <si>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</si>
  <si>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</si>
  <si>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</si>
  <si>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</si>
  <si>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</si>
  <si>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</si>
  <si>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</si>
  <si>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</si>
  <si>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</si>
  <si>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</si>
  <si>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</si>
  <si>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</si>
  <si>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</si>
  <si>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</si>
  <si>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</si>
  <si>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</si>
  <si>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</si>
  <si>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</si>
  <si>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</si>
  <si>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</si>
  <si>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</si>
  <si>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</si>
  <si>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</si>
  <si>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</si>
  <si>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</si>
  <si>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</si>
  <si>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</si>
  <si>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</si>
  <si>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</si>
  <si>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</si>
  <si>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</si>
  <si>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</si>
  <si>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</si>
  <si>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</si>
  <si>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</si>
  <si>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</si>
  <si>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</si>
  <si>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</si>
  <si>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</si>
  <si>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</si>
  <si>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</si>
  <si>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</si>
  <si>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</si>
  <si>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</si>
  <si>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</si>
  <si>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</si>
  <si>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</si>
  <si>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</si>
  <si>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</si>
  <si>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</si>
  <si>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</si>
  <si>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</si>
  <si>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</si>
  <si>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</si>
  <si>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</si>
  <si>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</si>
  <si>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</si>
  <si>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</si>
  <si>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</si>
  <si>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</si>
  <si>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</si>
  <si>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</si>
  <si>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</si>
  <si>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</si>
  <si>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</si>
  <si>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</si>
  <si>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</si>
  <si>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</si>
  <si>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</si>
  <si>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</si>
  <si>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</si>
  <si>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</si>
  <si>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</si>
  <si>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</si>
  <si>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</si>
  <si>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</si>
  <si>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</si>
  <si>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</si>
  <si>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</si>
  <si>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</si>
  <si>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</si>
  <si>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</si>
  <si>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</si>
  <si>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</si>
  <si>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</si>
  <si>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</si>
  <si>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</si>
  <si>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</si>
  <si>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</si>
  <si>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</si>
  <si>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</si>
  <si>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</si>
  <si>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</si>
  <si>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</si>
  <si>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</si>
  <si>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</si>
  <si>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</si>
  <si>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</si>
  <si>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</si>
  <si>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</si>
  <si>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</si>
  <si>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</si>
  <si>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</si>
  <si>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</si>
  <si>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</si>
  <si>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</si>
  <si>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</si>
  <si>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</si>
  <si>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</si>
  <si>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</si>
  <si>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</si>
  <si>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</si>
  <si>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</si>
  <si>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</si>
  <si>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</si>
  <si>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</si>
  <si>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</si>
  <si>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</si>
  <si>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</si>
  <si>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</si>
  <si>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</si>
  <si>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</si>
  <si>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</si>
  <si>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</si>
  <si>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</si>
  <si>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</si>
  <si>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</si>
  <si>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</si>
  <si>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</si>
  <si>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</si>
  <si>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</si>
  <si>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</si>
  <si>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</si>
  <si>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</si>
  <si>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</si>
  <si>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</si>
  <si>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</si>
  <si>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</si>
  <si>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</si>
  <si>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</si>
  <si>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</si>
  <si>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</si>
  <si>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</si>
  <si>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</si>
  <si>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</si>
  <si>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</si>
  <si>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</si>
  <si>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</si>
  <si>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</si>
  <si>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</si>
  <si>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</si>
  <si>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</si>
  <si>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</si>
  <si>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</si>
  <si>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</si>
  <si>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</si>
  <si>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</si>
  <si>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</si>
  <si>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</si>
  <si>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</si>
  <si>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</si>
  <si>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</si>
  <si>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</si>
  <si>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</si>
  <si>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</si>
  <si>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</si>
  <si>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</si>
  <si>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</si>
  <si>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</si>
  <si>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</si>
  <si>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</si>
  <si>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</si>
  <si>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</si>
  <si>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</si>
  <si>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</si>
  <si>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</si>
  <si>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</si>
  <si>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</si>
  <si>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</si>
  <si>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</si>
  <si>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</si>
  <si>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</si>
  <si>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</si>
  <si>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</si>
  <si>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</si>
  <si>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</si>
  <si>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</si>
  <si>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</si>
  <si>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</si>
  <si>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</si>
  <si>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</si>
  <si>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</si>
  <si>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</si>
  <si>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</si>
  <si>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</si>
  <si>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</si>
  <si>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</si>
  <si>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</si>
  <si>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</si>
  <si>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</si>
  <si>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</si>
  <si>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</si>
  <si>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</si>
  <si>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</si>
  <si>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</si>
  <si>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</si>
  <si>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</si>
  <si>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</si>
  <si>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</si>
  <si>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</si>
  <si>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</si>
  <si>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</si>
  <si>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</si>
  <si>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</si>
  <si>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</si>
  <si>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</si>
  <si>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</si>
  <si>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</si>
  <si>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</si>
  <si>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</si>
  <si>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</si>
  <si>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</si>
  <si>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</si>
  <si>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</si>
  <si>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</si>
  <si>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</si>
  <si>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</si>
  <si>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</si>
  <si>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</si>
  <si>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</si>
  <si>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</si>
  <si>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</si>
  <si>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</si>
  <si>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</si>
  <si>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</si>
  <si>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</si>
  <si>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</si>
  <si>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</si>
  <si>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</si>
  <si>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</si>
  <si>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</si>
  <si>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</si>
  <si>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</si>
  <si>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</si>
  <si>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</si>
  <si>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</si>
  <si>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</si>
  <si>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</si>
  <si>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</si>
  <si>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</si>
  <si>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</si>
  <si>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</si>
  <si>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</si>
  <si>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</si>
  <si>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</si>
  <si>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</si>
  <si>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</si>
  <si>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</si>
  <si>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</si>
  <si>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</si>
  <si>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</si>
  <si>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</si>
  <si>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</si>
  <si>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</si>
  <si>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</si>
  <si>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</si>
  <si>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</si>
  <si>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</si>
  <si>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</si>
  <si>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</si>
  <si>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</si>
  <si>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</si>
  <si>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</si>
  <si>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</si>
  <si>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</si>
  <si>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</si>
  <si>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</si>
  <si>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</si>
  <si>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</si>
  <si>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</si>
  <si>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</si>
  <si>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</si>
  <si>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</si>
  <si>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</si>
  <si>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</si>
  <si>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</si>
  <si>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</si>
  <si>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</si>
  <si>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</si>
  <si>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</si>
  <si>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</si>
  <si>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</si>
  <si>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</si>
  <si>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</si>
  <si>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</si>
  <si>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</si>
  <si>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</si>
  <si>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</si>
  <si>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</si>
  <si>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</si>
  <si>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</si>
  <si>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</si>
  <si>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</si>
  <si>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</si>
  <si>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</si>
  <si>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</si>
  <si>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</si>
  <si>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</si>
  <si>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</si>
  <si>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</si>
  <si>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</si>
  <si>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</si>
  <si>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</si>
  <si>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</si>
  <si>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</si>
  <si>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</si>
  <si>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</si>
  <si>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</si>
  <si>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</si>
  <si>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</si>
  <si>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</si>
  <si>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</si>
  <si>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</si>
  <si>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</si>
  <si>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</si>
  <si>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</si>
  <si>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</si>
  <si>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</si>
  <si>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</si>
  <si>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</si>
  <si>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</si>
  <si>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</si>
  <si>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</si>
  <si>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</si>
  <si>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</si>
  <si>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</si>
  <si>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</si>
  <si>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</si>
  <si>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</si>
  <si>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</si>
  <si>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</si>
  <si>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</si>
  <si>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</si>
  <si>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</si>
  <si>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</si>
  <si>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</si>
  <si>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</si>
  <si>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</si>
  <si>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</si>
  <si>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</si>
  <si>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</si>
  <si>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</si>
  <si>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</si>
  <si>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</si>
  <si>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</si>
  <si>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</si>
  <si>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</si>
  <si>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</si>
  <si>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</si>
  <si>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</si>
  <si>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</si>
  <si>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</si>
  <si>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</si>
  <si>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</si>
  <si>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</si>
  <si>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</si>
  <si>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</si>
  <si>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</si>
  <si>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</si>
  <si>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</si>
  <si>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</si>
  <si>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</si>
  <si>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73109</t>
  </si>
  <si>
    <t>VOEREN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</si>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</sst>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48535.587382817306</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48535.587382817306</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10939.798743494342</c:v>
                </c:pt>
                <c:pt idx="2">
                  <c:v>768.81114530988395</c:v>
                </c:pt>
                <c:pt idx="3">
                  <c:v>61.093724637993958</c:v>
                </c:pt>
                <c:pt idx="4">
                  <c:v>2483.1146607108403</c:v>
                </c:pt>
                <c:pt idx="5">
                  <c:v>184.35812339673708</c:v>
                </c:pt>
                <c:pt idx="6">
                  <c:v>7973.5527942505169</c:v>
                </c:pt>
                <c:pt idx="7">
                  <c:v>286.87895947511407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10939.798743494342</c:v>
                </c:pt>
                <c:pt idx="2">
                  <c:v>768.81114530988395</c:v>
                </c:pt>
                <c:pt idx="3">
                  <c:v>61.093724637993958</c:v>
                </c:pt>
                <c:pt idx="4">
                  <c:v>2483.1146607108403</c:v>
                </c:pt>
                <c:pt idx="5">
                  <c:v>184.35812339673708</c:v>
                </c:pt>
                <c:pt idx="6">
                  <c:v>7973.5527942505169</c:v>
                </c:pt>
                <c:pt idx="7">
                  <c:v>286.87895947511407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73109</v>
      </c>
      <c r="B6" s="416"/>
      <c r="C6" s="417"/>
    </row>
    <row r="7" spans="1:7" s="414" customFormat="1" ht="15.75" customHeight="1">
      <c r="A7" s="418" t="str">
        <f>txtMunicipality</f>
        <v>VOEREN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0.1973942721929621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0.1973942721929621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v>
      </c>
      <c r="C9" s="342">
        <v>1585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3331</v>
      </c>
    </row>
    <row r="15" spans="1:6">
      <c r="A15" s="348" t="s">
        <v>184</v>
      </c>
      <c r="B15" s="334">
        <v>54</v>
      </c>
    </row>
    <row r="16" spans="1:6">
      <c r="A16" s="348" t="s">
        <v>6</v>
      </c>
      <c r="B16" s="334">
        <v>2204</v>
      </c>
    </row>
    <row r="17" spans="1:6">
      <c r="A17" s="348" t="s">
        <v>7</v>
      </c>
      <c r="B17" s="334">
        <v>276</v>
      </c>
    </row>
    <row r="18" spans="1:6">
      <c r="A18" s="348" t="s">
        <v>8</v>
      </c>
      <c r="B18" s="334">
        <v>1091</v>
      </c>
    </row>
    <row r="19" spans="1:6">
      <c r="A19" s="348" t="s">
        <v>9</v>
      </c>
      <c r="B19" s="334">
        <v>906</v>
      </c>
    </row>
    <row r="20" spans="1:6">
      <c r="A20" s="348" t="s">
        <v>10</v>
      </c>
      <c r="B20" s="334">
        <v>675</v>
      </c>
    </row>
    <row r="21" spans="1:6">
      <c r="A21" s="348" t="s">
        <v>11</v>
      </c>
      <c r="B21" s="334">
        <v>1045</v>
      </c>
    </row>
    <row r="22" spans="1:6">
      <c r="A22" s="348" t="s">
        <v>12</v>
      </c>
      <c r="B22" s="334">
        <v>3533</v>
      </c>
    </row>
    <row r="23" spans="1:6">
      <c r="A23" s="348" t="s">
        <v>13</v>
      </c>
      <c r="B23" s="334">
        <v>46</v>
      </c>
    </row>
    <row r="24" spans="1:6">
      <c r="A24" s="348" t="s">
        <v>14</v>
      </c>
      <c r="B24" s="334">
        <v>3</v>
      </c>
    </row>
    <row r="25" spans="1:6">
      <c r="A25" s="348" t="s">
        <v>15</v>
      </c>
      <c r="B25" s="334">
        <v>335</v>
      </c>
    </row>
    <row r="26" spans="1:6">
      <c r="A26" s="348" t="s">
        <v>16</v>
      </c>
      <c r="B26" s="334">
        <v>103</v>
      </c>
    </row>
    <row r="27" spans="1:6">
      <c r="A27" s="348" t="s">
        <v>17</v>
      </c>
      <c r="B27" s="334">
        <v>2</v>
      </c>
    </row>
    <row r="28" spans="1:6" s="356" customFormat="1">
      <c r="A28" s="355" t="s">
        <v>18</v>
      </c>
      <c r="B28" s="355">
        <v>38925</v>
      </c>
    </row>
    <row r="29" spans="1:6">
      <c r="A29" s="355" t="s">
        <v>901</v>
      </c>
      <c r="B29" s="355">
        <v>52</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77340</v>
      </c>
    </row>
    <row r="37" spans="1:6">
      <c r="A37" s="348" t="s">
        <v>25</v>
      </c>
      <c r="B37" s="348" t="s">
        <v>28</v>
      </c>
      <c r="C37" s="334">
        <v>0</v>
      </c>
      <c r="D37" s="334">
        <v>0</v>
      </c>
      <c r="E37" s="334">
        <v>0</v>
      </c>
      <c r="F37" s="334">
        <v>0</v>
      </c>
    </row>
    <row r="38" spans="1:6">
      <c r="A38" s="348" t="s">
        <v>25</v>
      </c>
      <c r="B38" s="348" t="s">
        <v>29</v>
      </c>
      <c r="C38" s="334">
        <v>0</v>
      </c>
      <c r="D38" s="334">
        <v>0</v>
      </c>
      <c r="E38" s="334">
        <v>2</v>
      </c>
      <c r="F38" s="334">
        <v>24922.61</v>
      </c>
    </row>
    <row r="39" spans="1:6">
      <c r="A39" s="348" t="s">
        <v>30</v>
      </c>
      <c r="B39" s="348" t="s">
        <v>31</v>
      </c>
      <c r="C39" s="334">
        <v>0</v>
      </c>
      <c r="D39" s="334">
        <v>0</v>
      </c>
      <c r="E39" s="334">
        <v>1745</v>
      </c>
      <c r="F39" s="334">
        <v>8694520</v>
      </c>
    </row>
    <row r="40" spans="1:6">
      <c r="A40" s="348" t="s">
        <v>30</v>
      </c>
      <c r="B40" s="348" t="s">
        <v>29</v>
      </c>
      <c r="C40" s="334">
        <v>0</v>
      </c>
      <c r="D40" s="334">
        <v>0</v>
      </c>
      <c r="E40" s="334">
        <v>0</v>
      </c>
      <c r="F40" s="334">
        <v>0</v>
      </c>
    </row>
    <row r="41" spans="1:6">
      <c r="A41" s="348" t="s">
        <v>32</v>
      </c>
      <c r="B41" s="348" t="s">
        <v>33</v>
      </c>
      <c r="C41" s="334">
        <v>0</v>
      </c>
      <c r="D41" s="334">
        <v>0</v>
      </c>
      <c r="E41" s="334">
        <v>10</v>
      </c>
      <c r="F41" s="334">
        <v>74727.41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32</v>
      </c>
      <c r="F48" s="334">
        <v>550035.19999999995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71</v>
      </c>
      <c r="F51" s="334">
        <v>1678629</v>
      </c>
    </row>
    <row r="52" spans="1:6">
      <c r="A52" s="348" t="s">
        <v>42</v>
      </c>
      <c r="B52" s="348" t="s">
        <v>29</v>
      </c>
      <c r="C52" s="334">
        <v>0</v>
      </c>
      <c r="D52" s="334">
        <v>0</v>
      </c>
      <c r="E52" s="334">
        <v>16</v>
      </c>
      <c r="F52" s="334">
        <v>987949.3</v>
      </c>
    </row>
    <row r="53" spans="1:6">
      <c r="A53" s="348" t="s">
        <v>44</v>
      </c>
      <c r="B53" s="348" t="s">
        <v>45</v>
      </c>
      <c r="C53" s="334">
        <v>0</v>
      </c>
      <c r="D53" s="334">
        <v>0</v>
      </c>
      <c r="E53" s="334">
        <v>68</v>
      </c>
      <c r="F53" s="334">
        <v>372522.9</v>
      </c>
    </row>
    <row r="54" spans="1:6">
      <c r="A54" s="348" t="s">
        <v>46</v>
      </c>
      <c r="B54" s="348" t="s">
        <v>47</v>
      </c>
      <c r="C54" s="334">
        <v>0</v>
      </c>
      <c r="D54" s="334">
        <v>0</v>
      </c>
      <c r="E54" s="334">
        <v>1</v>
      </c>
      <c r="F54" s="334">
        <v>309501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68176.39</v>
      </c>
    </row>
    <row r="58" spans="1:6">
      <c r="A58" s="348" t="s">
        <v>49</v>
      </c>
      <c r="B58" s="348" t="s">
        <v>51</v>
      </c>
      <c r="C58" s="334">
        <v>0</v>
      </c>
      <c r="D58" s="334">
        <v>0</v>
      </c>
      <c r="E58" s="334">
        <v>0</v>
      </c>
      <c r="F58" s="334">
        <v>0</v>
      </c>
    </row>
    <row r="59" spans="1:6">
      <c r="A59" s="348" t="s">
        <v>49</v>
      </c>
      <c r="B59" s="348" t="s">
        <v>52</v>
      </c>
      <c r="C59" s="334">
        <v>0</v>
      </c>
      <c r="D59" s="334">
        <v>0</v>
      </c>
      <c r="E59" s="334">
        <v>7</v>
      </c>
      <c r="F59" s="334">
        <v>66366.03</v>
      </c>
    </row>
    <row r="60" spans="1:6">
      <c r="A60" s="348" t="s">
        <v>49</v>
      </c>
      <c r="B60" s="348" t="s">
        <v>53</v>
      </c>
      <c r="C60" s="334">
        <v>0</v>
      </c>
      <c r="D60" s="334">
        <v>0</v>
      </c>
      <c r="E60" s="334">
        <v>34</v>
      </c>
      <c r="F60" s="334">
        <v>1295326</v>
      </c>
    </row>
    <row r="61" spans="1:6">
      <c r="A61" s="348" t="s">
        <v>49</v>
      </c>
      <c r="B61" s="348" t="s">
        <v>54</v>
      </c>
      <c r="C61" s="334">
        <v>0</v>
      </c>
      <c r="D61" s="334">
        <v>0</v>
      </c>
      <c r="E61" s="334">
        <v>19</v>
      </c>
      <c r="F61" s="334">
        <v>155628.9</v>
      </c>
    </row>
    <row r="62" spans="1:6">
      <c r="A62" s="348" t="s">
        <v>49</v>
      </c>
      <c r="B62" s="348" t="s">
        <v>55</v>
      </c>
      <c r="C62" s="334">
        <v>0</v>
      </c>
      <c r="D62" s="334">
        <v>0</v>
      </c>
      <c r="E62" s="334">
        <v>0</v>
      </c>
      <c r="F62" s="334">
        <v>0</v>
      </c>
    </row>
    <row r="63" spans="1:6">
      <c r="A63" s="348" t="s">
        <v>49</v>
      </c>
      <c r="B63" s="348" t="s">
        <v>29</v>
      </c>
      <c r="C63" s="334">
        <v>0</v>
      </c>
      <c r="D63" s="334">
        <v>0</v>
      </c>
      <c r="E63" s="334">
        <v>84</v>
      </c>
      <c r="F63" s="334">
        <v>1498325</v>
      </c>
    </row>
    <row r="64" spans="1:6">
      <c r="A64" s="348" t="s">
        <v>56</v>
      </c>
      <c r="B64" s="348" t="s">
        <v>57</v>
      </c>
      <c r="C64" s="334">
        <v>0</v>
      </c>
      <c r="D64" s="334">
        <v>0</v>
      </c>
      <c r="E64" s="334">
        <v>0</v>
      </c>
      <c r="F64" s="334">
        <v>0</v>
      </c>
    </row>
    <row r="65" spans="1:6">
      <c r="A65" s="348" t="s">
        <v>56</v>
      </c>
      <c r="B65" s="348" t="s">
        <v>29</v>
      </c>
      <c r="C65" s="334">
        <v>0</v>
      </c>
      <c r="D65" s="334">
        <v>0</v>
      </c>
      <c r="E65" s="334">
        <v>9</v>
      </c>
      <c r="F65" s="334">
        <v>42430.86</v>
      </c>
    </row>
    <row r="66" spans="1:6">
      <c r="A66" s="348" t="s">
        <v>56</v>
      </c>
      <c r="B66" s="348" t="s">
        <v>58</v>
      </c>
      <c r="C66" s="334">
        <v>0</v>
      </c>
      <c r="D66" s="334">
        <v>0</v>
      </c>
      <c r="E66" s="334">
        <v>6</v>
      </c>
      <c r="F66" s="334">
        <v>257218.5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18142993</v>
      </c>
      <c r="E73" s="476">
        <v>18810648.071407847</v>
      </c>
    </row>
    <row r="74" spans="1:6">
      <c r="A74" s="348" t="s">
        <v>64</v>
      </c>
      <c r="B74" s="348" t="s">
        <v>714</v>
      </c>
      <c r="C74" s="1311" t="s">
        <v>716</v>
      </c>
      <c r="D74" s="476">
        <v>1156855.4548144317</v>
      </c>
      <c r="E74" s="476">
        <v>1221824.1226634518</v>
      </c>
    </row>
    <row r="75" spans="1:6">
      <c r="A75" s="348" t="s">
        <v>65</v>
      </c>
      <c r="B75" s="348" t="s">
        <v>713</v>
      </c>
      <c r="C75" s="1311" t="s">
        <v>717</v>
      </c>
      <c r="D75" s="476">
        <v>16854644</v>
      </c>
      <c r="E75" s="476">
        <v>17474866.094629489</v>
      </c>
    </row>
    <row r="76" spans="1:6">
      <c r="A76" s="348" t="s">
        <v>65</v>
      </c>
      <c r="B76" s="348" t="s">
        <v>714</v>
      </c>
      <c r="C76" s="1311" t="s">
        <v>718</v>
      </c>
      <c r="D76" s="476">
        <v>11640.5</v>
      </c>
      <c r="E76" s="476">
        <v>12218.586295946327</v>
      </c>
    </row>
    <row r="77" spans="1:6">
      <c r="A77" s="348" t="s">
        <v>66</v>
      </c>
      <c r="B77" s="348" t="s">
        <v>713</v>
      </c>
      <c r="C77" s="1311" t="s">
        <v>719</v>
      </c>
      <c r="D77" s="476">
        <v>1738071</v>
      </c>
      <c r="E77" s="476">
        <v>1804650.8531894917</v>
      </c>
    </row>
    <row r="78" spans="1:6">
      <c r="A78" s="341" t="s">
        <v>66</v>
      </c>
      <c r="B78" s="341" t="s">
        <v>714</v>
      </c>
      <c r="C78" s="341" t="s">
        <v>720</v>
      </c>
      <c r="D78" s="1307">
        <v>618594</v>
      </c>
      <c r="E78" s="1307">
        <v>588829.47909898637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303493.09037113644</v>
      </c>
      <c r="C83" s="476">
        <v>298319.47644014814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1212.0582889423245</v>
      </c>
    </row>
    <row r="92" spans="1:6">
      <c r="A92" s="341" t="s">
        <v>69</v>
      </c>
      <c r="B92" s="342">
        <v>600.43437256001755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16968.800177073656</v>
      </c>
      <c r="C3" s="43" t="s">
        <v>170</v>
      </c>
      <c r="D3" s="43"/>
      <c r="E3" s="154"/>
      <c r="F3" s="43"/>
      <c r="G3" s="43"/>
      <c r="H3" s="43"/>
      <c r="I3" s="43"/>
      <c r="J3" s="43"/>
      <c r="K3" s="96"/>
    </row>
    <row r="4" spans="1:11">
      <c r="A4" s="384" t="s">
        <v>171</v>
      </c>
      <c r="B4" s="49">
        <f>IF(ISERROR('SEAP template'!B78+'SEAP template'!C78),0,'SEAP template'!B78+'SEAP template'!C78)</f>
        <v>1812.4926615023419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0.1973942721929621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309.50099999999998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309.50099999999998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0.1973942721929621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61.093724637993958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8694.52</v>
      </c>
      <c r="C5" s="17">
        <f>IF(ISERROR('Eigen informatie GS &amp; warmtenet'!B57),0,'Eigen informatie GS &amp; warmtenet'!B57)</f>
        <v>0</v>
      </c>
      <c r="D5" s="30">
        <f>(SUM(HH_hh_gas_kWh,HH_rest_gas_kWh)/1000)*0.902</f>
        <v>0</v>
      </c>
      <c r="E5" s="17">
        <f>B46*B57</f>
        <v>2125.308857921751</v>
      </c>
      <c r="F5" s="17">
        <f>B51*B62</f>
        <v>29468.395330989177</v>
      </c>
      <c r="G5" s="18"/>
      <c r="H5" s="17"/>
      <c r="I5" s="17"/>
      <c r="J5" s="17">
        <f>B50*B61+C50*C61</f>
        <v>1790.3679889932901</v>
      </c>
      <c r="K5" s="17"/>
      <c r="L5" s="17"/>
      <c r="M5" s="17"/>
      <c r="N5" s="17">
        <f>B48*B59+C48*C59</f>
        <v>4882.3335826374332</v>
      </c>
      <c r="O5" s="17">
        <f>B69*B70*B71</f>
        <v>76.603333333333339</v>
      </c>
      <c r="P5" s="17">
        <f>B77*B78*B79/1000-B77*B78*B79/1000/B80</f>
        <v>286</v>
      </c>
    </row>
    <row r="6" spans="1:16">
      <c r="A6" s="16" t="s">
        <v>631</v>
      </c>
      <c r="B6" s="789">
        <f>kWh_PV_kleiner_dan_10kW</f>
        <v>1212.0582889423245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9906.5782889423244</v>
      </c>
      <c r="C8" s="21">
        <f>C5</f>
        <v>0</v>
      </c>
      <c r="D8" s="21">
        <f>D5</f>
        <v>0</v>
      </c>
      <c r="E8" s="21">
        <f>E5</f>
        <v>2125.308857921751</v>
      </c>
      <c r="F8" s="21">
        <f>F5</f>
        <v>29468.395330989177</v>
      </c>
      <c r="G8" s="21"/>
      <c r="H8" s="21"/>
      <c r="I8" s="21"/>
      <c r="J8" s="21">
        <f>J5</f>
        <v>1790.3679889932901</v>
      </c>
      <c r="K8" s="21"/>
      <c r="L8" s="21">
        <f>L5</f>
        <v>0</v>
      </c>
      <c r="M8" s="21">
        <f>M5</f>
        <v>0</v>
      </c>
      <c r="N8" s="21">
        <f>N5</f>
        <v>4882.3335826374332</v>
      </c>
      <c r="O8" s="21">
        <f>O5</f>
        <v>76.603333333333339</v>
      </c>
      <c r="P8" s="21">
        <f>P5</f>
        <v>286</v>
      </c>
    </row>
    <row r="9" spans="1:16">
      <c r="B9" s="19"/>
      <c r="C9" s="19"/>
      <c r="D9" s="258"/>
      <c r="E9" s="19"/>
      <c r="F9" s="19"/>
      <c r="G9" s="19"/>
      <c r="H9" s="19"/>
      <c r="I9" s="19"/>
      <c r="J9" s="19"/>
      <c r="K9" s="19"/>
      <c r="L9" s="19"/>
      <c r="M9" s="19"/>
      <c r="N9" s="19"/>
      <c r="O9" s="19"/>
      <c r="P9" s="19"/>
    </row>
    <row r="10" spans="1:16">
      <c r="A10" s="24" t="s">
        <v>214</v>
      </c>
      <c r="B10" s="25">
        <f ca="1">'EF ele_warmte'!B12</f>
        <v>0.1973942721929621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1955.5018112683699</v>
      </c>
      <c r="C12" s="23">
        <f ca="1">C10*C8</f>
        <v>0</v>
      </c>
      <c r="D12" s="23">
        <f>D8*D10</f>
        <v>0</v>
      </c>
      <c r="E12" s="23">
        <f>E10*E8</f>
        <v>482.44511074823748</v>
      </c>
      <c r="F12" s="23">
        <f>F10*F8</f>
        <v>7868.0615533741102</v>
      </c>
      <c r="G12" s="23"/>
      <c r="H12" s="23"/>
      <c r="I12" s="23"/>
      <c r="J12" s="23">
        <f>J10*J8</f>
        <v>633.79026810362461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1678</v>
      </c>
      <c r="C28" s="36"/>
      <c r="D28" s="228"/>
    </row>
    <row r="29" spans="1:7" s="15" customFormat="1">
      <c r="A29" s="230" t="s">
        <v>741</v>
      </c>
      <c r="B29" s="37">
        <f>SUM(HH_hh_gas_aantal,HH_rest_gas_aantal)</f>
        <v>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142.4422442244225</v>
      </c>
      <c r="C34" s="167">
        <f>IF(ISERROR(B34/SUM($B$32,$B$34,$B$35,$B$36,$B$38,$B$39)*100),0,B34/SUM($B$32,$B$34,$B$35,$B$36,$B$38,$B$39)*100)</f>
        <v>8.565378486134847</v>
      </c>
      <c r="D34" s="233"/>
      <c r="G34" s="15"/>
    </row>
    <row r="35" spans="1:7">
      <c r="A35" s="171" t="s">
        <v>74</v>
      </c>
      <c r="B35" s="33">
        <f>IF((($B$28-$B$32-$B$39-$B$77-$B$38)*C21/100)&lt;0,0,($B$28-$B$32-$B$39-$B$77-$B$38)*C21/100)</f>
        <v>186.27062706270632</v>
      </c>
      <c r="C35" s="167">
        <f>IF(ISERROR(B35/SUM($B$32,$B$34,$B$35,$B$36,$B$38,$B$39)*100),0,B35/SUM($B$32,$B$34,$B$35,$B$36,$B$38,$B$39)*100)</f>
        <v>11.200879558791721</v>
      </c>
      <c r="D35" s="233"/>
      <c r="G35" s="15"/>
    </row>
    <row r="36" spans="1:7">
      <c r="A36" s="171" t="s">
        <v>75</v>
      </c>
      <c r="B36" s="33">
        <f>IF((($B$28-$B$32-$B$39-$B$77-$B$38)*C22/100)&lt;0,0,($B$28-$B$32-$B$39-$B$77-$B$38)*C22/100)</f>
        <v>86.287128712871308</v>
      </c>
      <c r="C36" s="167">
        <f>IF(ISERROR(B36/SUM($B$32,$B$34,$B$35,$B$36,$B$38,$B$39)*100),0,B36/SUM($B$32,$B$34,$B$35,$B$36,$B$38,$B$39)*100)</f>
        <v>5.1886427367932235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3.0607336139506915</v>
      </c>
      <c r="D38" s="234"/>
      <c r="G38" s="15"/>
    </row>
    <row r="39" spans="1:7">
      <c r="A39" s="171" t="s">
        <v>78</v>
      </c>
      <c r="B39" s="33">
        <f>IF((B25-(B29-B18))&lt;0,0,B25-(B29-B18)*0.9)</f>
        <v>1197.0999999999999</v>
      </c>
      <c r="C39" s="167">
        <f>IF(ISERROR(B39/SUM($B$32,$B$34,$B$35,$B$36,$B$38,$B$39)*100),0,B39/SUM($B$32,$B$34,$B$35,$B$36,$B$38,$B$39)*100)</f>
        <v>71.984365604329511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142.4422442244225</v>
      </c>
      <c r="C46" s="34" t="s">
        <v>111</v>
      </c>
      <c r="D46" s="174"/>
    </row>
    <row r="47" spans="1:7">
      <c r="A47" s="171" t="s">
        <v>74</v>
      </c>
      <c r="B47" s="33">
        <f t="shared" si="0"/>
        <v>186.27062706270632</v>
      </c>
      <c r="C47" s="34" t="s">
        <v>111</v>
      </c>
      <c r="D47" s="174"/>
    </row>
    <row r="48" spans="1:7">
      <c r="A48" s="171" t="s">
        <v>75</v>
      </c>
      <c r="B48" s="33">
        <f t="shared" si="0"/>
        <v>86.287128712871308</v>
      </c>
      <c r="C48" s="33">
        <f>B48*10</f>
        <v>862.87128712871311</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3083.8223200000002</v>
      </c>
      <c r="C5" s="17">
        <f>IF(ISERROR('Eigen informatie GS &amp; warmtenet'!B58),0,'Eigen informatie GS &amp; warmtenet'!B58)</f>
        <v>0</v>
      </c>
      <c r="D5" s="30">
        <f>SUM(D6:D12)</f>
        <v>0</v>
      </c>
      <c r="E5" s="17">
        <f>SUM(E6:E12)</f>
        <v>69.318098217396994</v>
      </c>
      <c r="F5" s="17">
        <f>SUM(F6:F12)</f>
        <v>540.62574751207069</v>
      </c>
      <c r="G5" s="18"/>
      <c r="H5" s="17"/>
      <c r="I5" s="17"/>
      <c r="J5" s="17">
        <f>SUM(J6:J12)</f>
        <v>0</v>
      </c>
      <c r="K5" s="17"/>
      <c r="L5" s="17"/>
      <c r="M5" s="17"/>
      <c r="N5" s="17">
        <f>SUM(N6:N12)</f>
        <v>178.24079120937353</v>
      </c>
      <c r="O5" s="17">
        <f>B38*B39*B40</f>
        <v>0</v>
      </c>
      <c r="P5" s="17">
        <f>B46*B47*B48/1000-B46*B47*B48/1000/B49</f>
        <v>19.066666666666666</v>
      </c>
      <c r="R5" s="32"/>
    </row>
    <row r="6" spans="1:18">
      <c r="A6" s="32" t="s">
        <v>54</v>
      </c>
      <c r="B6" s="37">
        <f>B26</f>
        <v>155.62889999999999</v>
      </c>
      <c r="C6" s="33"/>
      <c r="D6" s="37">
        <f>IF(ISERROR(TER_kantoor_gas_kWh/1000),0,TER_kantoor_gas_kWh/1000)*0.902</f>
        <v>0</v>
      </c>
      <c r="E6" s="33">
        <f>$C$26*'E Balans VL '!I12/100/3.6*1000000</f>
        <v>0.45087975729732177</v>
      </c>
      <c r="F6" s="33">
        <f>$C$26*('E Balans VL '!L12+'E Balans VL '!N12)/100/3.6*1000000</f>
        <v>17.613762709492384</v>
      </c>
      <c r="G6" s="34"/>
      <c r="H6" s="33"/>
      <c r="I6" s="33"/>
      <c r="J6" s="33">
        <f>$C$26*('E Balans VL '!D12+'E Balans VL '!E12)/100/3.6*1000000</f>
        <v>0</v>
      </c>
      <c r="K6" s="33"/>
      <c r="L6" s="33"/>
      <c r="M6" s="33"/>
      <c r="N6" s="33">
        <f>$C$26*'E Balans VL '!Y12/100/3.6*1000000</f>
        <v>1.5577306165064946</v>
      </c>
      <c r="O6" s="33"/>
      <c r="P6" s="33"/>
      <c r="R6" s="32"/>
    </row>
    <row r="7" spans="1:18">
      <c r="A7" s="32" t="s">
        <v>53</v>
      </c>
      <c r="B7" s="37">
        <f t="shared" ref="B7:B12" si="0">B27</f>
        <v>1295.326</v>
      </c>
      <c r="C7" s="33"/>
      <c r="D7" s="37">
        <f>IF(ISERROR(TER_horeca_gas_kWh/1000),0,TER_horeca_gas_kWh/1000)*0.902</f>
        <v>0</v>
      </c>
      <c r="E7" s="33">
        <f>$C$27*'E Balans VL '!I9/100/3.6*1000000</f>
        <v>54.37416641068269</v>
      </c>
      <c r="F7" s="33">
        <f>$C$27*('E Balans VL '!L9+'E Balans VL '!N9)/100/3.6*1000000</f>
        <v>278.32735426142688</v>
      </c>
      <c r="G7" s="34"/>
      <c r="H7" s="33"/>
      <c r="I7" s="33"/>
      <c r="J7" s="33">
        <f>$C$27*('E Balans VL '!D9+'E Balans VL '!E9)/100/3.6*1000000</f>
        <v>0</v>
      </c>
      <c r="K7" s="33"/>
      <c r="L7" s="33"/>
      <c r="M7" s="33"/>
      <c r="N7" s="33">
        <f>$C$27*'E Balans VL '!Y9/100/3.6*1000000</f>
        <v>0.3337941821631793</v>
      </c>
      <c r="O7" s="33"/>
      <c r="P7" s="33"/>
      <c r="R7" s="32"/>
    </row>
    <row r="8" spans="1:18">
      <c r="A8" s="6" t="s">
        <v>52</v>
      </c>
      <c r="B8" s="37">
        <f t="shared" si="0"/>
        <v>66.366029999999995</v>
      </c>
      <c r="C8" s="33"/>
      <c r="D8" s="37">
        <f>IF(ISERROR(TER_handel_gas_kWh/1000),0,TER_handel_gas_kWh/1000)*0.902</f>
        <v>0</v>
      </c>
      <c r="E8" s="33">
        <f>$C$28*'E Balans VL '!I13/100/3.6*1000000</f>
        <v>0.71282639707662954</v>
      </c>
      <c r="F8" s="33">
        <f>$C$28*('E Balans VL '!L13+'E Balans VL '!N13)/100/3.6*1000000</f>
        <v>8.5916306228780179</v>
      </c>
      <c r="G8" s="34"/>
      <c r="H8" s="33"/>
      <c r="I8" s="33"/>
      <c r="J8" s="33">
        <f>$C$28*('E Balans VL '!D13+'E Balans VL '!E13)/100/3.6*1000000</f>
        <v>0</v>
      </c>
      <c r="K8" s="33"/>
      <c r="L8" s="33"/>
      <c r="M8" s="33"/>
      <c r="N8" s="33">
        <f>$C$28*'E Balans VL '!Y13/100/3.6*1000000</f>
        <v>0.53836485910279641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68.176389999999998</v>
      </c>
      <c r="C10" s="33"/>
      <c r="D10" s="37">
        <f>IF(ISERROR(TER_ander_gas_kWh/1000),0,TER_ander_gas_kWh/1000)*0.902</f>
        <v>0</v>
      </c>
      <c r="E10" s="33">
        <f>$C$30*'E Balans VL '!I14/100/3.6*1000000</f>
        <v>0.23364407005842894</v>
      </c>
      <c r="F10" s="33">
        <f>$C$30*('E Balans VL '!L14+'E Balans VL '!N14)/100/3.6*1000000</f>
        <v>15.227835163849369</v>
      </c>
      <c r="G10" s="34"/>
      <c r="H10" s="33"/>
      <c r="I10" s="33"/>
      <c r="J10" s="33">
        <f>$C$30*('E Balans VL '!D14+'E Balans VL '!E14)/100/3.6*1000000</f>
        <v>0</v>
      </c>
      <c r="K10" s="33"/>
      <c r="L10" s="33"/>
      <c r="M10" s="33"/>
      <c r="N10" s="33">
        <f>$C$30*'E Balans VL '!Y14/100/3.6*1000000</f>
        <v>48.023821556338369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1498.325</v>
      </c>
      <c r="C12" s="33"/>
      <c r="D12" s="37">
        <f>IF(ISERROR(TER_rest_gas_kWh/1000),0,TER_rest_gas_kWh/1000)*0.902</f>
        <v>0</v>
      </c>
      <c r="E12" s="33">
        <f>$C$32*'E Balans VL '!I8/100/3.6*1000000</f>
        <v>13.546581582281911</v>
      </c>
      <c r="F12" s="33">
        <f>$C$32*('E Balans VL '!L8+'E Balans VL '!N8)/100/3.6*1000000</f>
        <v>220.86516475442406</v>
      </c>
      <c r="G12" s="34"/>
      <c r="H12" s="33"/>
      <c r="I12" s="33"/>
      <c r="J12" s="33">
        <f>$C$32*('E Balans VL '!D8+'E Balans VL '!E8)/100/3.6*1000000</f>
        <v>0</v>
      </c>
      <c r="K12" s="33"/>
      <c r="L12" s="33"/>
      <c r="M12" s="33"/>
      <c r="N12" s="33">
        <f>$C$32*'E Balans VL '!Y8/100/3.6*1000000</f>
        <v>127.7870799952627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3083.8223200000002</v>
      </c>
      <c r="C16" s="21">
        <f t="shared" ca="1" si="1"/>
        <v>0</v>
      </c>
      <c r="D16" s="21">
        <f t="shared" ca="1" si="1"/>
        <v>0</v>
      </c>
      <c r="E16" s="21">
        <f t="shared" si="1"/>
        <v>69.318098217396994</v>
      </c>
      <c r="F16" s="21">
        <f t="shared" ca="1" si="1"/>
        <v>540.62574751207069</v>
      </c>
      <c r="G16" s="21">
        <f t="shared" si="1"/>
        <v>0</v>
      </c>
      <c r="H16" s="21">
        <f t="shared" si="1"/>
        <v>0</v>
      </c>
      <c r="I16" s="21">
        <f t="shared" si="1"/>
        <v>0</v>
      </c>
      <c r="J16" s="21">
        <f t="shared" si="1"/>
        <v>0</v>
      </c>
      <c r="K16" s="21">
        <f t="shared" si="1"/>
        <v>0</v>
      </c>
      <c r="L16" s="21">
        <f t="shared" ca="1" si="1"/>
        <v>0</v>
      </c>
      <c r="M16" s="21">
        <f t="shared" si="1"/>
        <v>0</v>
      </c>
      <c r="N16" s="21">
        <f t="shared" ca="1" si="1"/>
        <v>178.24079120937353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0.1973942721929621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608.72886242881191</v>
      </c>
      <c r="C20" s="23">
        <f t="shared" ref="C20:P20" ca="1" si="2">C16*C18</f>
        <v>0</v>
      </c>
      <c r="D20" s="23">
        <f t="shared" ca="1" si="2"/>
        <v>0</v>
      </c>
      <c r="E20" s="23">
        <f t="shared" si="2"/>
        <v>15.735208295349118</v>
      </c>
      <c r="F20" s="23">
        <f t="shared" ca="1" si="2"/>
        <v>144.34707458572288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155.62889999999999</v>
      </c>
      <c r="C26" s="39">
        <f>IF(ISERROR(B26*3.6/1000000/'E Balans VL '!Z12*100),0,B26*3.6/1000000/'E Balans VL '!Z12*100)</f>
        <v>3.4185687135255961E-3</v>
      </c>
      <c r="D26" s="237" t="s">
        <v>692</v>
      </c>
      <c r="F26" s="6"/>
    </row>
    <row r="27" spans="1:18">
      <c r="A27" s="231" t="s">
        <v>53</v>
      </c>
      <c r="B27" s="33">
        <f>IF(ISERROR(TER_horeca_ele_kWh/1000),0,TER_horeca_ele_kWh/1000)</f>
        <v>1295.326</v>
      </c>
      <c r="C27" s="39">
        <f>IF(ISERROR(B27*3.6/1000000/'E Balans VL '!Z9*100),0,B27*3.6/1000000/'E Balans VL '!Z9*100)</f>
        <v>0.10409235606207222</v>
      </c>
      <c r="D27" s="237" t="s">
        <v>692</v>
      </c>
      <c r="F27" s="6"/>
    </row>
    <row r="28" spans="1:18">
      <c r="A28" s="171" t="s">
        <v>52</v>
      </c>
      <c r="B28" s="33">
        <f>IF(ISERROR(TER_handel_ele_kWh/1000),0,TER_handel_ele_kWh/1000)</f>
        <v>66.366029999999995</v>
      </c>
      <c r="C28" s="39">
        <f>IF(ISERROR(B28*3.6/1000000/'E Balans VL '!Z13*100),0,B28*3.6/1000000/'E Balans VL '!Z13*100)</f>
        <v>1.9623971428179504E-3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68.176389999999998</v>
      </c>
      <c r="C30" s="39">
        <f>IF(ISERROR(B30*3.6/1000000/'E Balans VL '!Z14*100),0,B30*3.6/1000000/'E Balans VL '!Z14*100)</f>
        <v>5.1560638334255168E-3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1498.325</v>
      </c>
      <c r="C32" s="39">
        <f>IF(ISERROR(B32*3.6/1000000/'E Balans VL '!Z8*100),0,B32*3.6/1000000/'E Balans VL '!Z8*100)</f>
        <v>1.2622506690251976E-2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624.76260999999988</v>
      </c>
      <c r="C5" s="17">
        <f>IF(ISERROR('Eigen informatie GS &amp; warmtenet'!B59),0,'Eigen informatie GS &amp; warmtenet'!B59)</f>
        <v>0</v>
      </c>
      <c r="D5" s="30">
        <f>SUM(D6:D15)</f>
        <v>0</v>
      </c>
      <c r="E5" s="17">
        <f>SUM(E6:E15)</f>
        <v>48.528974226324678</v>
      </c>
      <c r="F5" s="17">
        <f>SUM(F6:F15)</f>
        <v>184.27191930563325</v>
      </c>
      <c r="G5" s="18"/>
      <c r="H5" s="17"/>
      <c r="I5" s="17"/>
      <c r="J5" s="17">
        <f>SUM(J6:J15)</f>
        <v>2.3075793741013895</v>
      </c>
      <c r="K5" s="17"/>
      <c r="L5" s="17"/>
      <c r="M5" s="17"/>
      <c r="N5" s="17">
        <f>SUM(N6:N15)</f>
        <v>127.53398273226404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74.727410000000006</v>
      </c>
      <c r="C9" s="33"/>
      <c r="D9" s="37">
        <f>IF( ISERROR(IND_andere_gas_kWh/1000),0,IND_andere_gas_kWh/1000)*0.902</f>
        <v>0</v>
      </c>
      <c r="E9" s="33">
        <f>C31*'E Balans VL '!I19/100/3.6*1000000</f>
        <v>20.54697280112444</v>
      </c>
      <c r="F9" s="33">
        <f>C31*'E Balans VL '!L19/100/3.6*1000000+C31*'E Balans VL '!N19/100/3.6*1000000</f>
        <v>58.898202582964984</v>
      </c>
      <c r="G9" s="34"/>
      <c r="H9" s="33"/>
      <c r="I9" s="33"/>
      <c r="J9" s="40">
        <f>C31*'E Balans VL '!D19/100/3.6*1000000+C31*'E Balans VL '!E19/100/3.6*1000000</f>
        <v>0</v>
      </c>
      <c r="K9" s="33"/>
      <c r="L9" s="33"/>
      <c r="M9" s="33"/>
      <c r="N9" s="33">
        <f>C31*'E Balans VL '!Y19/100/3.6*1000000</f>
        <v>24.19123509055196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550.03519999999992</v>
      </c>
      <c r="C15" s="33"/>
      <c r="D15" s="37">
        <f>IF( ISERROR(IND_rest_gas_kWh/1000),0,IND_rest_gas_kWh/1000)*0.902</f>
        <v>0</v>
      </c>
      <c r="E15" s="33">
        <f>C37*'E Balans VL '!I15/100/3.6*1000000</f>
        <v>27.982001425200238</v>
      </c>
      <c r="F15" s="33">
        <f>C37*'E Balans VL '!L15/100/3.6*1000000+C37*'E Balans VL '!N15/100/3.6*1000000</f>
        <v>125.37371672266826</v>
      </c>
      <c r="G15" s="34"/>
      <c r="H15" s="33"/>
      <c r="I15" s="33"/>
      <c r="J15" s="40">
        <f>C37*'E Balans VL '!D15/100/3.6*1000000+C37*'E Balans VL '!E15/100/3.6*1000000</f>
        <v>2.3075793741013895</v>
      </c>
      <c r="K15" s="33"/>
      <c r="L15" s="33"/>
      <c r="M15" s="33"/>
      <c r="N15" s="33">
        <f>C37*'E Balans VL '!Y15/100/3.6*1000000</f>
        <v>103.34274764171208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624.76260999999988</v>
      </c>
      <c r="C18" s="21">
        <f>C5+C16</f>
        <v>0</v>
      </c>
      <c r="D18" s="21">
        <f>MAX((D5+D16),0)</f>
        <v>0</v>
      </c>
      <c r="E18" s="21">
        <f>MAX((E5+E16),0)</f>
        <v>48.528974226324678</v>
      </c>
      <c r="F18" s="21">
        <f>MAX((F5+F16),0)</f>
        <v>184.27191930563325</v>
      </c>
      <c r="G18" s="21"/>
      <c r="H18" s="21"/>
      <c r="I18" s="21"/>
      <c r="J18" s="21">
        <f>MAX((J5+J16),0)</f>
        <v>2.3075793741013895</v>
      </c>
      <c r="K18" s="21"/>
      <c r="L18" s="21">
        <f>MAX((L5+L16),0)</f>
        <v>0</v>
      </c>
      <c r="M18" s="21"/>
      <c r="N18" s="21">
        <f>MAX((N5+N16),0)</f>
        <v>127.53398273226404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0.1973942721929621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123.3245606943254</v>
      </c>
      <c r="C22" s="23">
        <f ca="1">C18*C20</f>
        <v>0</v>
      </c>
      <c r="D22" s="23">
        <f>D18*D20</f>
        <v>0</v>
      </c>
      <c r="E22" s="23">
        <f>E18*E20</f>
        <v>11.016077149375702</v>
      </c>
      <c r="F22" s="23">
        <f>F18*F20</f>
        <v>49.200602454604081</v>
      </c>
      <c r="G22" s="23"/>
      <c r="H22" s="23"/>
      <c r="I22" s="23"/>
      <c r="J22" s="23">
        <f>J18*J20</f>
        <v>0.81688309843189177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74.727410000000006</v>
      </c>
      <c r="C31" s="39">
        <f>IF(ISERROR(B31*3.6/1000000/'E Balans VL '!Z19*100),0,B31*3.6/1000000/'E Balans VL '!Z19*100)</f>
        <v>3.270806613191801E-3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550.03519999999992</v>
      </c>
      <c r="C37" s="39">
        <f>IF(ISERROR(B37*3.6/1000000/'E Balans VL '!Z15*100),0,B37*3.6/1000000/'E Balans VL '!Z15*100)</f>
        <v>4.0784168379888195E-3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2666.5782999999997</v>
      </c>
      <c r="C5" s="17">
        <f>'Eigen informatie GS &amp; warmtenet'!B60</f>
        <v>0</v>
      </c>
      <c r="D5" s="30">
        <f>IF(ISERROR(SUM(LB_lb_gas_kWh,LB_rest_gas_kWh)/1000),0,SUM(LB_lb_gas_kWh,LB_rest_gas_kWh)/1000)*0.902</f>
        <v>0</v>
      </c>
      <c r="E5" s="17">
        <f>B17*'E Balans VL '!I25/3.6*1000000/100</f>
        <v>24.698965080256471</v>
      </c>
      <c r="F5" s="17">
        <f>B17*('E Balans VL '!L25/3.6*1000000+'E Balans VL '!N25/3.6*1000000)/100</f>
        <v>6765.6171297448464</v>
      </c>
      <c r="G5" s="18"/>
      <c r="H5" s="17"/>
      <c r="I5" s="17"/>
      <c r="J5" s="17">
        <f>('E Balans VL '!D25+'E Balans VL '!E25)/3.6*1000000*landbouw!B17/100</f>
        <v>408.81621249068269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2666.5782999999997</v>
      </c>
      <c r="C8" s="21">
        <f>C5+C6</f>
        <v>0</v>
      </c>
      <c r="D8" s="21">
        <f>MAX((D5+D6),0)</f>
        <v>0</v>
      </c>
      <c r="E8" s="21">
        <f>MAX((E5+E6),0)</f>
        <v>24.698965080256471</v>
      </c>
      <c r="F8" s="21">
        <f>MAX((F5+F6),0)</f>
        <v>6765.6171297448464</v>
      </c>
      <c r="G8" s="21"/>
      <c r="H8" s="21"/>
      <c r="I8" s="21"/>
      <c r="J8" s="21">
        <f>MAX((J5+J6),0)</f>
        <v>408.81621249068269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0.1973942721929621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526.36728277404609</v>
      </c>
      <c r="C12" s="23">
        <f ca="1">C8*C10</f>
        <v>0</v>
      </c>
      <c r="D12" s="23">
        <f>D8*D10</f>
        <v>0</v>
      </c>
      <c r="E12" s="23">
        <f>E8*E10</f>
        <v>5.6066650732182195</v>
      </c>
      <c r="F12" s="23">
        <f>F8*F10</f>
        <v>1806.4197736418741</v>
      </c>
      <c r="G12" s="23"/>
      <c r="H12" s="23"/>
      <c r="I12" s="23"/>
      <c r="J12" s="23">
        <f>J8*J10</f>
        <v>144.72093922170166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0.37913089302694036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463.17919840203433</v>
      </c>
      <c r="C26" s="247">
        <f>B26*'GWP N2O_CH4'!B5</f>
        <v>9726.7631664427208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118.39443184353846</v>
      </c>
      <c r="C27" s="247">
        <f>B27*'GWP N2O_CH4'!B5</f>
        <v>2486.2830687143078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4.9443297086303861</v>
      </c>
      <c r="C28" s="247">
        <f>B28*'GWP N2O_CH4'!B4</f>
        <v>1532.7422096754196</v>
      </c>
      <c r="D28" s="50"/>
    </row>
    <row r="29" spans="1:4">
      <c r="A29" s="41" t="s">
        <v>277</v>
      </c>
      <c r="B29" s="247">
        <f>B34*'ha_N2O bodem landbouw'!B4</f>
        <v>22.050510988620218</v>
      </c>
      <c r="C29" s="247">
        <f>B29*'GWP N2O_CH4'!B4</f>
        <v>6835.6584064722674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4.9455411440516911E-3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1.8125129272796539E-5</v>
      </c>
      <c r="C5" s="464" t="s">
        <v>211</v>
      </c>
      <c r="D5" s="449">
        <f>SUM(D6:D11)</f>
        <v>5.6808283405676696E-5</v>
      </c>
      <c r="E5" s="449">
        <f>SUM(E6:E11)</f>
        <v>3.5616168574844991E-4</v>
      </c>
      <c r="F5" s="462" t="s">
        <v>211</v>
      </c>
      <c r="G5" s="449">
        <f>SUM(G6:G11)</f>
        <v>8.731260639895394E-2</v>
      </c>
      <c r="H5" s="449">
        <f>SUM(H6:H11)</f>
        <v>2.1270772603080731E-2</v>
      </c>
      <c r="I5" s="464" t="s">
        <v>211</v>
      </c>
      <c r="J5" s="464" t="s">
        <v>211</v>
      </c>
      <c r="K5" s="464" t="s">
        <v>211</v>
      </c>
      <c r="L5" s="464" t="s">
        <v>211</v>
      </c>
      <c r="M5" s="449">
        <f>SUM(M6:M11)</f>
        <v>5.7054379956553436E-3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8.9516198658929552E-6</v>
      </c>
      <c r="C6" s="450"/>
      <c r="D6" s="893">
        <f>vkm_2011_GW_PW*SUMIFS(TableVerdeelsleutelVkm[CNG],TableVerdeelsleutelVkm[Voertuigtype],"Lichte voertuigen")*SUMIFS(TableECFTransport[EnergieConsumptieFactor (PJ per km)],TableECFTransport[Index],CONCATENATE($A6,"_CNG_CNG"))</f>
        <v>2.0706082282332259E-5</v>
      </c>
      <c r="E6" s="893">
        <f>vkm_2011_GW_PW*SUMIFS(TableVerdeelsleutelVkm[LPG],TableVerdeelsleutelVkm[Voertuigtype],"Lichte voertuigen")*SUMIFS(TableECFTransport[EnergieConsumptieFactor (PJ per km)],TableECFTransport[Index],CONCATENATE($A6,"_LPG_LPG"))</f>
        <v>1.3482550376970451E-4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2.8009000932688245E-2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7.8951585396268599E-3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1.8632397518989921E-3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1.0792124611980853E-2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3.6907106231846436E-6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6.243855813414848E-4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8.3159579052339096E-6</v>
      </c>
      <c r="C8" s="450"/>
      <c r="D8" s="452">
        <f>vkm_2011_NGW_PW*SUMIFS(TableVerdeelsleutelVkm[CNG],TableVerdeelsleutelVkm[Voertuigtype],"Lichte voertuigen")*SUMIFS(TableECFTransport[EnergieConsumptieFactor (PJ per km)],TableECFTransport[Index],CONCATENATE($A8,"_CNG_CNG"))</f>
        <v>3.402237809470952E-5</v>
      </c>
      <c r="E8" s="452">
        <f>vkm_2011_NGW_PW*SUMIFS(TableVerdeelsleutelVkm[LPG],TableVerdeelsleutelVkm[Voertuigtype],"Lichte voertuigen")*SUMIFS(TableECFTransport[EnergieConsumptieFactor (PJ per km)],TableECFTransport[Index],CONCATENATE($A8,"_LPG_LPG"))</f>
        <v>2.0445207785160709E-4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3.970429316548766E-2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1.2543604821912649E-2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2.6828595852790332E-3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1.3853537268534419E-4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4.4828432846097765E-8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8.0149781183433913E-6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8.5755150166967673E-7</v>
      </c>
      <c r="C10" s="450"/>
      <c r="D10" s="452">
        <f>vkm_2011_SW_PW*SUMIFS(TableVerdeelsleutelVkm[CNG],TableVerdeelsleutelVkm[Voertuigtype],"Lichte voertuigen")*SUMIFS(TableECFTransport[EnergieConsumptieFactor (PJ per km)],TableECFTransport[Index],CONCATENATE($A10,"_CNG_CNG"))</f>
        <v>2.0798230286349161E-6</v>
      </c>
      <c r="E10" s="452">
        <f>vkm_2011_SW_PW*SUMIFS(TableVerdeelsleutelVkm[LPG],TableVerdeelsleutelVkm[Voertuigtype],"Lichte voertuigen")*SUMIFS(TableECFTransport[EnergieConsumptieFactor (PJ per km)],TableECFTransport[Index],CONCATENATE($A10,"_LPG_LPG"))</f>
        <v>1.6884104127138315E-5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3.1578122563598056E-3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8.262426148035512E-4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2.0810025525048954E-4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5.5108400597520318E-3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2.0310876816421429E-6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3.1883784376700151E-4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5.0347581313323717</v>
      </c>
      <c r="C14" s="21"/>
      <c r="D14" s="21">
        <f t="shared" ref="D14:M14" si="0">((D5)*10^9/3600)+D12</f>
        <v>15.780078723799082</v>
      </c>
      <c r="E14" s="21">
        <f t="shared" si="0"/>
        <v>98.933801596791653</v>
      </c>
      <c r="F14" s="21"/>
      <c r="G14" s="21">
        <f t="shared" si="0"/>
        <v>24253.501777487207</v>
      </c>
      <c r="H14" s="21">
        <f t="shared" si="0"/>
        <v>5908.5479453002026</v>
      </c>
      <c r="I14" s="21"/>
      <c r="J14" s="21"/>
      <c r="K14" s="21"/>
      <c r="L14" s="21"/>
      <c r="M14" s="21">
        <f t="shared" si="0"/>
        <v>1584.8438876820401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0.1973942721929621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0.99383241700195146</v>
      </c>
      <c r="C18" s="23"/>
      <c r="D18" s="23">
        <f t="shared" ref="D18:M18" si="1">D14*D16</f>
        <v>3.1875759022074148</v>
      </c>
      <c r="E18" s="23">
        <f t="shared" si="1"/>
        <v>22.457972962471707</v>
      </c>
      <c r="F18" s="23"/>
      <c r="G18" s="23">
        <f t="shared" si="1"/>
        <v>6475.684974589085</v>
      </c>
      <c r="H18" s="23">
        <f t="shared" si="1"/>
        <v>1471.2284383797505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3.8680309142712006E-3</v>
      </c>
      <c r="H50" s="321">
        <f t="shared" si="2"/>
        <v>0</v>
      </c>
      <c r="I50" s="321">
        <f t="shared" si="2"/>
        <v>0</v>
      </c>
      <c r="J50" s="321">
        <f t="shared" si="2"/>
        <v>0</v>
      </c>
      <c r="K50" s="321">
        <f t="shared" si="2"/>
        <v>0</v>
      </c>
      <c r="L50" s="321">
        <f t="shared" si="2"/>
        <v>0</v>
      </c>
      <c r="M50" s="321">
        <f t="shared" si="2"/>
        <v>2.2058252712164916E-4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3.8680309142712006E-3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2.2058252712164916E-4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1074.4530317420001</v>
      </c>
      <c r="H54" s="21">
        <f t="shared" si="3"/>
        <v>0</v>
      </c>
      <c r="I54" s="21">
        <f t="shared" si="3"/>
        <v>0</v>
      </c>
      <c r="J54" s="21">
        <f t="shared" si="3"/>
        <v>0</v>
      </c>
      <c r="K54" s="21">
        <f t="shared" si="3"/>
        <v>0</v>
      </c>
      <c r="L54" s="21">
        <f t="shared" si="3"/>
        <v>0</v>
      </c>
      <c r="M54" s="21">
        <f t="shared" si="3"/>
        <v>61.2729242004581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0.1973942721929621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286.87895947511407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3393.3233200000004</v>
      </c>
      <c r="D10" s="1025">
        <f ca="1">tertiair!C16</f>
        <v>0</v>
      </c>
      <c r="E10" s="1025">
        <f ca="1">tertiair!D16</f>
        <v>0</v>
      </c>
      <c r="F10" s="1025">
        <f>tertiair!E16</f>
        <v>69.318098217396994</v>
      </c>
      <c r="G10" s="1025">
        <f ca="1">tertiair!F16</f>
        <v>540.62574751207069</v>
      </c>
      <c r="H10" s="1025">
        <f>tertiair!G16</f>
        <v>0</v>
      </c>
      <c r="I10" s="1025">
        <f>tertiair!H16</f>
        <v>0</v>
      </c>
      <c r="J10" s="1025">
        <f>tertiair!I16</f>
        <v>0</v>
      </c>
      <c r="K10" s="1025">
        <f>tertiair!J16</f>
        <v>0</v>
      </c>
      <c r="L10" s="1025">
        <f>tertiair!K16</f>
        <v>0</v>
      </c>
      <c r="M10" s="1025">
        <f ca="1">tertiair!L16</f>
        <v>0</v>
      </c>
      <c r="N10" s="1025">
        <f>tertiair!M16</f>
        <v>0</v>
      </c>
      <c r="O10" s="1025">
        <f ca="1">tertiair!N16</f>
        <v>178.24079120937353</v>
      </c>
      <c r="P10" s="1025">
        <f>tertiair!O16</f>
        <v>0</v>
      </c>
      <c r="Q10" s="1026">
        <f>tertiair!P16</f>
        <v>19.066666666666666</v>
      </c>
      <c r="R10" s="701">
        <f ca="1">SUM(C10:Q10)</f>
        <v>4200.5746236055084</v>
      </c>
      <c r="S10" s="67"/>
    </row>
    <row r="11" spans="1:19" s="474" customFormat="1">
      <c r="A11" s="810" t="s">
        <v>225</v>
      </c>
      <c r="B11" s="815"/>
      <c r="C11" s="1025">
        <f>huishoudens!B8</f>
        <v>9906.5782889423244</v>
      </c>
      <c r="D11" s="1025">
        <f>huishoudens!C8</f>
        <v>0</v>
      </c>
      <c r="E11" s="1025">
        <f>huishoudens!D8</f>
        <v>0</v>
      </c>
      <c r="F11" s="1025">
        <f>huishoudens!E8</f>
        <v>2125.308857921751</v>
      </c>
      <c r="G11" s="1025">
        <f>huishoudens!F8</f>
        <v>29468.395330989177</v>
      </c>
      <c r="H11" s="1025">
        <f>huishoudens!G8</f>
        <v>0</v>
      </c>
      <c r="I11" s="1025">
        <f>huishoudens!H8</f>
        <v>0</v>
      </c>
      <c r="J11" s="1025">
        <f>huishoudens!I8</f>
        <v>0</v>
      </c>
      <c r="K11" s="1025">
        <f>huishoudens!J8</f>
        <v>1790.3679889932901</v>
      </c>
      <c r="L11" s="1025">
        <f>huishoudens!K8</f>
        <v>0</v>
      </c>
      <c r="M11" s="1025">
        <f>huishoudens!L8</f>
        <v>0</v>
      </c>
      <c r="N11" s="1025">
        <f>huishoudens!M8</f>
        <v>0</v>
      </c>
      <c r="O11" s="1025">
        <f>huishoudens!N8</f>
        <v>4882.3335826374332</v>
      </c>
      <c r="P11" s="1025">
        <f>huishoudens!O8</f>
        <v>76.603333333333339</v>
      </c>
      <c r="Q11" s="1026">
        <f>huishoudens!P8</f>
        <v>286</v>
      </c>
      <c r="R11" s="701">
        <f>SUM(C11:Q11)</f>
        <v>48535.587382817306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624.76260999999988</v>
      </c>
      <c r="D13" s="1025">
        <f>industrie!C18</f>
        <v>0</v>
      </c>
      <c r="E13" s="1025">
        <f>industrie!D18</f>
        <v>0</v>
      </c>
      <c r="F13" s="1025">
        <f>industrie!E18</f>
        <v>48.528974226324678</v>
      </c>
      <c r="G13" s="1025">
        <f>industrie!F18</f>
        <v>184.27191930563325</v>
      </c>
      <c r="H13" s="1025">
        <f>industrie!G18</f>
        <v>0</v>
      </c>
      <c r="I13" s="1025">
        <f>industrie!H18</f>
        <v>0</v>
      </c>
      <c r="J13" s="1025">
        <f>industrie!I18</f>
        <v>0</v>
      </c>
      <c r="K13" s="1025">
        <f>industrie!J18</f>
        <v>2.3075793741013895</v>
      </c>
      <c r="L13" s="1025">
        <f>industrie!K18</f>
        <v>0</v>
      </c>
      <c r="M13" s="1025">
        <f>industrie!L18</f>
        <v>0</v>
      </c>
      <c r="N13" s="1025">
        <f>industrie!M18</f>
        <v>0</v>
      </c>
      <c r="O13" s="1025">
        <f>industrie!N18</f>
        <v>127.53398273226404</v>
      </c>
      <c r="P13" s="1025">
        <f>industrie!O18</f>
        <v>0</v>
      </c>
      <c r="Q13" s="1026">
        <f>industrie!P18</f>
        <v>0</v>
      </c>
      <c r="R13" s="701">
        <f>SUM(C13:Q13)</f>
        <v>987.40506563832309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13924.664218942324</v>
      </c>
      <c r="D16" s="733">
        <f t="shared" ref="D16:R16" ca="1" si="0">SUM(D9:D15)</f>
        <v>0</v>
      </c>
      <c r="E16" s="733">
        <f t="shared" ca="1" si="0"/>
        <v>0</v>
      </c>
      <c r="F16" s="733">
        <f t="shared" si="0"/>
        <v>2243.1559303654731</v>
      </c>
      <c r="G16" s="733">
        <f t="shared" ca="1" si="0"/>
        <v>30193.292997806879</v>
      </c>
      <c r="H16" s="733">
        <f t="shared" si="0"/>
        <v>0</v>
      </c>
      <c r="I16" s="733">
        <f t="shared" si="0"/>
        <v>0</v>
      </c>
      <c r="J16" s="733">
        <f t="shared" si="0"/>
        <v>0</v>
      </c>
      <c r="K16" s="733">
        <f t="shared" si="0"/>
        <v>1792.6755683673914</v>
      </c>
      <c r="L16" s="733">
        <f t="shared" si="0"/>
        <v>0</v>
      </c>
      <c r="M16" s="733">
        <f t="shared" ca="1" si="0"/>
        <v>0</v>
      </c>
      <c r="N16" s="733">
        <f t="shared" si="0"/>
        <v>0</v>
      </c>
      <c r="O16" s="733">
        <f t="shared" ca="1" si="0"/>
        <v>5188.1083565790705</v>
      </c>
      <c r="P16" s="733">
        <f t="shared" si="0"/>
        <v>76.603333333333339</v>
      </c>
      <c r="Q16" s="733">
        <f t="shared" si="0"/>
        <v>305.06666666666666</v>
      </c>
      <c r="R16" s="733">
        <f t="shared" ca="1" si="0"/>
        <v>53723.567072061138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1074.4530317420001</v>
      </c>
      <c r="I19" s="1025">
        <f>transport!H54</f>
        <v>0</v>
      </c>
      <c r="J19" s="1025">
        <f>transport!I54</f>
        <v>0</v>
      </c>
      <c r="K19" s="1025">
        <f>transport!J54</f>
        <v>0</v>
      </c>
      <c r="L19" s="1025">
        <f>transport!K54</f>
        <v>0</v>
      </c>
      <c r="M19" s="1025">
        <f>transport!L54</f>
        <v>0</v>
      </c>
      <c r="N19" s="1025">
        <f>transport!M54</f>
        <v>61.2729242004581</v>
      </c>
      <c r="O19" s="1025">
        <f>transport!N54</f>
        <v>0</v>
      </c>
      <c r="P19" s="1025">
        <f>transport!O54</f>
        <v>0</v>
      </c>
      <c r="Q19" s="1026">
        <f>transport!P54</f>
        <v>0</v>
      </c>
      <c r="R19" s="701">
        <f>SUM(C19:Q19)</f>
        <v>1135.7259559424583</v>
      </c>
      <c r="S19" s="67"/>
    </row>
    <row r="20" spans="1:19" s="474" customFormat="1">
      <c r="A20" s="810" t="s">
        <v>307</v>
      </c>
      <c r="B20" s="815"/>
      <c r="C20" s="1025">
        <f>transport!B14</f>
        <v>5.0347581313323717</v>
      </c>
      <c r="D20" s="1025">
        <f>transport!C14</f>
        <v>0</v>
      </c>
      <c r="E20" s="1025">
        <f>transport!D14</f>
        <v>15.780078723799082</v>
      </c>
      <c r="F20" s="1025">
        <f>transport!E14</f>
        <v>98.933801596791653</v>
      </c>
      <c r="G20" s="1025">
        <f>transport!F14</f>
        <v>0</v>
      </c>
      <c r="H20" s="1025">
        <f>transport!G14</f>
        <v>24253.501777487207</v>
      </c>
      <c r="I20" s="1025">
        <f>transport!H14</f>
        <v>5908.5479453002026</v>
      </c>
      <c r="J20" s="1025">
        <f>transport!I14</f>
        <v>0</v>
      </c>
      <c r="K20" s="1025">
        <f>transport!J14</f>
        <v>0</v>
      </c>
      <c r="L20" s="1025">
        <f>transport!K14</f>
        <v>0</v>
      </c>
      <c r="M20" s="1025">
        <f>transport!L14</f>
        <v>0</v>
      </c>
      <c r="N20" s="1025">
        <f>transport!M14</f>
        <v>1584.8438876820401</v>
      </c>
      <c r="O20" s="1025">
        <f>transport!N14</f>
        <v>0</v>
      </c>
      <c r="P20" s="1025">
        <f>transport!O14</f>
        <v>0</v>
      </c>
      <c r="Q20" s="1026">
        <f>transport!P14</f>
        <v>0</v>
      </c>
      <c r="R20" s="701">
        <f>SUM(C20:Q20)</f>
        <v>31866.642248921369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5.0347581313323717</v>
      </c>
      <c r="D22" s="813">
        <f t="shared" ref="D22:R22" si="1">SUM(D18:D21)</f>
        <v>0</v>
      </c>
      <c r="E22" s="813">
        <f t="shared" si="1"/>
        <v>15.780078723799082</v>
      </c>
      <c r="F22" s="813">
        <f t="shared" si="1"/>
        <v>98.933801596791653</v>
      </c>
      <c r="G22" s="813">
        <f t="shared" si="1"/>
        <v>0</v>
      </c>
      <c r="H22" s="813">
        <f t="shared" si="1"/>
        <v>25327.954809229206</v>
      </c>
      <c r="I22" s="813">
        <f t="shared" si="1"/>
        <v>5908.5479453002026</v>
      </c>
      <c r="J22" s="813">
        <f t="shared" si="1"/>
        <v>0</v>
      </c>
      <c r="K22" s="813">
        <f t="shared" si="1"/>
        <v>0</v>
      </c>
      <c r="L22" s="813">
        <f t="shared" si="1"/>
        <v>0</v>
      </c>
      <c r="M22" s="813">
        <f t="shared" si="1"/>
        <v>0</v>
      </c>
      <c r="N22" s="813">
        <f t="shared" si="1"/>
        <v>1646.1168118824983</v>
      </c>
      <c r="O22" s="813">
        <f t="shared" si="1"/>
        <v>0</v>
      </c>
      <c r="P22" s="813">
        <f t="shared" si="1"/>
        <v>0</v>
      </c>
      <c r="Q22" s="813">
        <f t="shared" si="1"/>
        <v>0</v>
      </c>
      <c r="R22" s="813">
        <f t="shared" si="1"/>
        <v>33002.368204863829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2666.5782999999997</v>
      </c>
      <c r="D24" s="1025">
        <f>+landbouw!C8</f>
        <v>0</v>
      </c>
      <c r="E24" s="1025">
        <f>+landbouw!D8</f>
        <v>0</v>
      </c>
      <c r="F24" s="1025">
        <f>+landbouw!E8</f>
        <v>24.698965080256471</v>
      </c>
      <c r="G24" s="1025">
        <f>+landbouw!F8</f>
        <v>6765.6171297448464</v>
      </c>
      <c r="H24" s="1025">
        <f>+landbouw!G8</f>
        <v>0</v>
      </c>
      <c r="I24" s="1025">
        <f>+landbouw!H8</f>
        <v>0</v>
      </c>
      <c r="J24" s="1025">
        <f>+landbouw!I8</f>
        <v>0</v>
      </c>
      <c r="K24" s="1025">
        <f>+landbouw!J8</f>
        <v>408.81621249068269</v>
      </c>
      <c r="L24" s="1025">
        <f>+landbouw!K8</f>
        <v>0</v>
      </c>
      <c r="M24" s="1025">
        <f>+landbouw!L8</f>
        <v>0</v>
      </c>
      <c r="N24" s="1025">
        <f>+landbouw!M8</f>
        <v>0</v>
      </c>
      <c r="O24" s="1025">
        <f>+landbouw!N8</f>
        <v>0</v>
      </c>
      <c r="P24" s="1025">
        <f>+landbouw!O8</f>
        <v>0</v>
      </c>
      <c r="Q24" s="1026">
        <f>+landbouw!P8</f>
        <v>0</v>
      </c>
      <c r="R24" s="701">
        <f>SUM(C24:Q24)</f>
        <v>9865.7106073157865</v>
      </c>
      <c r="S24" s="67"/>
    </row>
    <row r="25" spans="1:19" s="474" customFormat="1" ht="15" thickBot="1">
      <c r="A25" s="832" t="s">
        <v>864</v>
      </c>
      <c r="B25" s="1028"/>
      <c r="C25" s="1029">
        <f>IF(Onbekend_ele_kWh="---",0,Onbekend_ele_kWh)/1000+IF(REST_rest_ele_kWh="---",0,REST_rest_ele_kWh)/1000</f>
        <v>372.52290000000005</v>
      </c>
      <c r="D25" s="1029"/>
      <c r="E25" s="1029">
        <f>IF(onbekend_gas_kWh="---",0,onbekend_gas_kWh)/1000+IF(REST_rest_gas_kWh="---",0,REST_rest_gas_kWh)/1000</f>
        <v>0</v>
      </c>
      <c r="F25" s="1029"/>
      <c r="G25" s="1029"/>
      <c r="H25" s="1029"/>
      <c r="I25" s="1029"/>
      <c r="J25" s="1029"/>
      <c r="K25" s="1029"/>
      <c r="L25" s="1029"/>
      <c r="M25" s="1029"/>
      <c r="N25" s="1029"/>
      <c r="O25" s="1029"/>
      <c r="P25" s="1029"/>
      <c r="Q25" s="1030"/>
      <c r="R25" s="701">
        <f>SUM(C25:Q25)</f>
        <v>372.52290000000005</v>
      </c>
      <c r="S25" s="67"/>
    </row>
    <row r="26" spans="1:19" s="474" customFormat="1" ht="15.75" thickBot="1">
      <c r="A26" s="706" t="s">
        <v>865</v>
      </c>
      <c r="B26" s="818"/>
      <c r="C26" s="813">
        <f>SUM(C24:C25)</f>
        <v>3039.1011999999996</v>
      </c>
      <c r="D26" s="813">
        <f t="shared" ref="D26:R26" si="2">SUM(D24:D25)</f>
        <v>0</v>
      </c>
      <c r="E26" s="813">
        <f t="shared" si="2"/>
        <v>0</v>
      </c>
      <c r="F26" s="813">
        <f t="shared" si="2"/>
        <v>24.698965080256471</v>
      </c>
      <c r="G26" s="813">
        <f t="shared" si="2"/>
        <v>6765.6171297448464</v>
      </c>
      <c r="H26" s="813">
        <f t="shared" si="2"/>
        <v>0</v>
      </c>
      <c r="I26" s="813">
        <f t="shared" si="2"/>
        <v>0</v>
      </c>
      <c r="J26" s="813">
        <f t="shared" si="2"/>
        <v>0</v>
      </c>
      <c r="K26" s="813">
        <f t="shared" si="2"/>
        <v>408.81621249068269</v>
      </c>
      <c r="L26" s="813">
        <f t="shared" si="2"/>
        <v>0</v>
      </c>
      <c r="M26" s="813">
        <f t="shared" si="2"/>
        <v>0</v>
      </c>
      <c r="N26" s="813">
        <f t="shared" si="2"/>
        <v>0</v>
      </c>
      <c r="O26" s="813">
        <f t="shared" si="2"/>
        <v>0</v>
      </c>
      <c r="P26" s="813">
        <f t="shared" si="2"/>
        <v>0</v>
      </c>
      <c r="Q26" s="813">
        <f t="shared" si="2"/>
        <v>0</v>
      </c>
      <c r="R26" s="813">
        <f t="shared" si="2"/>
        <v>10238.233507315786</v>
      </c>
      <c r="S26" s="67"/>
    </row>
    <row r="27" spans="1:19" s="474" customFormat="1" ht="17.25" thickTop="1" thickBot="1">
      <c r="A27" s="707" t="s">
        <v>116</v>
      </c>
      <c r="B27" s="806"/>
      <c r="C27" s="708">
        <f ca="1">C22+C16+C26</f>
        <v>16968.800177073656</v>
      </c>
      <c r="D27" s="708">
        <f t="shared" ref="D27:R27" ca="1" si="3">D22+D16+D26</f>
        <v>0</v>
      </c>
      <c r="E27" s="708">
        <f t="shared" ca="1" si="3"/>
        <v>15.780078723799082</v>
      </c>
      <c r="F27" s="708">
        <f t="shared" si="3"/>
        <v>2366.7886970425211</v>
      </c>
      <c r="G27" s="708">
        <f t="shared" ca="1" si="3"/>
        <v>36958.910127551724</v>
      </c>
      <c r="H27" s="708">
        <f t="shared" si="3"/>
        <v>25327.954809229206</v>
      </c>
      <c r="I27" s="708">
        <f t="shared" si="3"/>
        <v>5908.5479453002026</v>
      </c>
      <c r="J27" s="708">
        <f t="shared" si="3"/>
        <v>0</v>
      </c>
      <c r="K27" s="708">
        <f t="shared" si="3"/>
        <v>2201.491780858074</v>
      </c>
      <c r="L27" s="708">
        <f t="shared" si="3"/>
        <v>0</v>
      </c>
      <c r="M27" s="708">
        <f t="shared" ca="1" si="3"/>
        <v>0</v>
      </c>
      <c r="N27" s="708">
        <f t="shared" si="3"/>
        <v>1646.1168118824983</v>
      </c>
      <c r="O27" s="708">
        <f t="shared" ca="1" si="3"/>
        <v>5188.1083565790705</v>
      </c>
      <c r="P27" s="708">
        <f t="shared" si="3"/>
        <v>76.603333333333339</v>
      </c>
      <c r="Q27" s="708">
        <f t="shared" si="3"/>
        <v>305.06666666666666</v>
      </c>
      <c r="R27" s="708">
        <f t="shared" ca="1" si="3"/>
        <v>96964.168784240755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669.82258706680591</v>
      </c>
      <c r="D40" s="1025">
        <f ca="1">tertiair!C20</f>
        <v>0</v>
      </c>
      <c r="E40" s="1025">
        <f ca="1">tertiair!D20</f>
        <v>0</v>
      </c>
      <c r="F40" s="1025">
        <f>tertiair!E20</f>
        <v>15.735208295349118</v>
      </c>
      <c r="G40" s="1025">
        <f ca="1">tertiair!F20</f>
        <v>144.34707458572288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829.90486994787796</v>
      </c>
    </row>
    <row r="41" spans="1:18">
      <c r="A41" s="823" t="s">
        <v>225</v>
      </c>
      <c r="B41" s="830"/>
      <c r="C41" s="1025">
        <f ca="1">huishoudens!B12</f>
        <v>1955.5018112683699</v>
      </c>
      <c r="D41" s="1025">
        <f ca="1">huishoudens!C12</f>
        <v>0</v>
      </c>
      <c r="E41" s="1025">
        <f>huishoudens!D12</f>
        <v>0</v>
      </c>
      <c r="F41" s="1025">
        <f>huishoudens!E12</f>
        <v>482.44511074823748</v>
      </c>
      <c r="G41" s="1025">
        <f>huishoudens!F12</f>
        <v>7868.0615533741102</v>
      </c>
      <c r="H41" s="1025">
        <f>huishoudens!G12</f>
        <v>0</v>
      </c>
      <c r="I41" s="1025">
        <f>huishoudens!H12</f>
        <v>0</v>
      </c>
      <c r="J41" s="1025">
        <f>huishoudens!I12</f>
        <v>0</v>
      </c>
      <c r="K41" s="1025">
        <f>huishoudens!J12</f>
        <v>633.79026810362461</v>
      </c>
      <c r="L41" s="1025">
        <f>huishoudens!K12</f>
        <v>0</v>
      </c>
      <c r="M41" s="1025">
        <f>huishoudens!L12</f>
        <v>0</v>
      </c>
      <c r="N41" s="1025">
        <f>huishoudens!M12</f>
        <v>0</v>
      </c>
      <c r="O41" s="1025">
        <f>huishoudens!N12</f>
        <v>0</v>
      </c>
      <c r="P41" s="1025">
        <f>huishoudens!O12</f>
        <v>0</v>
      </c>
      <c r="Q41" s="775">
        <f>huishoudens!P12</f>
        <v>0</v>
      </c>
      <c r="R41" s="851">
        <f t="shared" ca="1" si="4"/>
        <v>10939.798743494342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123.3245606943254</v>
      </c>
      <c r="D43" s="1025">
        <f ca="1">industrie!C22</f>
        <v>0</v>
      </c>
      <c r="E43" s="1025">
        <f>industrie!D22</f>
        <v>0</v>
      </c>
      <c r="F43" s="1025">
        <f>industrie!E22</f>
        <v>11.016077149375702</v>
      </c>
      <c r="G43" s="1025">
        <f>industrie!F22</f>
        <v>49.200602454604081</v>
      </c>
      <c r="H43" s="1025">
        <f>industrie!G22</f>
        <v>0</v>
      </c>
      <c r="I43" s="1025">
        <f>industrie!H22</f>
        <v>0</v>
      </c>
      <c r="J43" s="1025">
        <f>industrie!I22</f>
        <v>0</v>
      </c>
      <c r="K43" s="1025">
        <f>industrie!J22</f>
        <v>0.81688309843189177</v>
      </c>
      <c r="L43" s="1025">
        <f>industrie!K22</f>
        <v>0</v>
      </c>
      <c r="M43" s="1025">
        <f>industrie!L22</f>
        <v>0</v>
      </c>
      <c r="N43" s="1025">
        <f>industrie!M22</f>
        <v>0</v>
      </c>
      <c r="O43" s="1025">
        <f>industrie!N22</f>
        <v>0</v>
      </c>
      <c r="P43" s="1025">
        <f>industrie!O22</f>
        <v>0</v>
      </c>
      <c r="Q43" s="775">
        <f>industrie!P22</f>
        <v>0</v>
      </c>
      <c r="R43" s="850">
        <f t="shared" ca="1" si="4"/>
        <v>184.35812339673708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2748.6489590295014</v>
      </c>
      <c r="D46" s="733">
        <f t="shared" ref="D46:Q46" ca="1" si="5">SUM(D39:D45)</f>
        <v>0</v>
      </c>
      <c r="E46" s="733">
        <f t="shared" ca="1" si="5"/>
        <v>0</v>
      </c>
      <c r="F46" s="733">
        <f t="shared" si="5"/>
        <v>509.19639619296231</v>
      </c>
      <c r="G46" s="733">
        <f t="shared" ca="1" si="5"/>
        <v>8061.6092304144377</v>
      </c>
      <c r="H46" s="733">
        <f t="shared" si="5"/>
        <v>0</v>
      </c>
      <c r="I46" s="733">
        <f t="shared" si="5"/>
        <v>0</v>
      </c>
      <c r="J46" s="733">
        <f t="shared" si="5"/>
        <v>0</v>
      </c>
      <c r="K46" s="733">
        <f t="shared" si="5"/>
        <v>634.60715120205646</v>
      </c>
      <c r="L46" s="733">
        <f t="shared" si="5"/>
        <v>0</v>
      </c>
      <c r="M46" s="733">
        <f t="shared" ca="1" si="5"/>
        <v>0</v>
      </c>
      <c r="N46" s="733">
        <f t="shared" si="5"/>
        <v>0</v>
      </c>
      <c r="O46" s="733">
        <f t="shared" ca="1" si="5"/>
        <v>0</v>
      </c>
      <c r="P46" s="733">
        <f t="shared" si="5"/>
        <v>0</v>
      </c>
      <c r="Q46" s="733">
        <f t="shared" si="5"/>
        <v>0</v>
      </c>
      <c r="R46" s="733">
        <f ca="1">SUM(R39:R45)</f>
        <v>11954.061736838958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286.87895947511407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286.87895947511407</v>
      </c>
    </row>
    <row r="50" spans="1:18">
      <c r="A50" s="826" t="s">
        <v>307</v>
      </c>
      <c r="B50" s="836"/>
      <c r="C50" s="704">
        <f ca="1">transport!B18</f>
        <v>0.99383241700195146</v>
      </c>
      <c r="D50" s="704">
        <f>transport!C18</f>
        <v>0</v>
      </c>
      <c r="E50" s="704">
        <f>transport!D18</f>
        <v>3.1875759022074148</v>
      </c>
      <c r="F50" s="704">
        <f>transport!E18</f>
        <v>22.457972962471707</v>
      </c>
      <c r="G50" s="704">
        <f>transport!F18</f>
        <v>0</v>
      </c>
      <c r="H50" s="704">
        <f>transport!G18</f>
        <v>6475.684974589085</v>
      </c>
      <c r="I50" s="704">
        <f>transport!H18</f>
        <v>1471.2284383797505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7973.5527942505169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0.99383241700195146</v>
      </c>
      <c r="D52" s="733">
        <f t="shared" ref="D52:Q52" ca="1" si="6">SUM(D48:D51)</f>
        <v>0</v>
      </c>
      <c r="E52" s="733">
        <f t="shared" si="6"/>
        <v>3.1875759022074148</v>
      </c>
      <c r="F52" s="733">
        <f t="shared" si="6"/>
        <v>22.457972962471707</v>
      </c>
      <c r="G52" s="733">
        <f t="shared" si="6"/>
        <v>0</v>
      </c>
      <c r="H52" s="733">
        <f t="shared" si="6"/>
        <v>6762.5639340641992</v>
      </c>
      <c r="I52" s="733">
        <f t="shared" si="6"/>
        <v>1471.2284383797505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8260.4317537256302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526.36728277404609</v>
      </c>
      <c r="D54" s="704">
        <f ca="1">+landbouw!C12</f>
        <v>0</v>
      </c>
      <c r="E54" s="704">
        <f>+landbouw!D12</f>
        <v>0</v>
      </c>
      <c r="F54" s="704">
        <f>+landbouw!E12</f>
        <v>5.6066650732182195</v>
      </c>
      <c r="G54" s="704">
        <f>+landbouw!F12</f>
        <v>1806.4197736418741</v>
      </c>
      <c r="H54" s="704">
        <f>+landbouw!G12</f>
        <v>0</v>
      </c>
      <c r="I54" s="704">
        <f>+landbouw!H12</f>
        <v>0</v>
      </c>
      <c r="J54" s="704">
        <f>+landbouw!I12</f>
        <v>0</v>
      </c>
      <c r="K54" s="704">
        <f>+landbouw!J12</f>
        <v>144.72093922170166</v>
      </c>
      <c r="L54" s="704">
        <f>+landbouw!K12</f>
        <v>0</v>
      </c>
      <c r="M54" s="704">
        <f>+landbouw!L12</f>
        <v>0</v>
      </c>
      <c r="N54" s="704">
        <f>+landbouw!M12</f>
        <v>0</v>
      </c>
      <c r="O54" s="704">
        <f>+landbouw!N12</f>
        <v>0</v>
      </c>
      <c r="P54" s="704">
        <f>+landbouw!O12</f>
        <v>0</v>
      </c>
      <c r="Q54" s="705">
        <f>+landbouw!P12</f>
        <v>0</v>
      </c>
      <c r="R54" s="732">
        <f ca="1">SUM(C54:Q54)</f>
        <v>2483.1146607108403</v>
      </c>
    </row>
    <row r="55" spans="1:18" ht="15" thickBot="1">
      <c r="A55" s="826" t="s">
        <v>864</v>
      </c>
      <c r="B55" s="836"/>
      <c r="C55" s="704">
        <f ca="1">C25*'EF ele_warmte'!B12</f>
        <v>73.533886720711607</v>
      </c>
      <c r="D55" s="704"/>
      <c r="E55" s="704">
        <f>E25*EF_CO2_aardgas</f>
        <v>0</v>
      </c>
      <c r="F55" s="704"/>
      <c r="G55" s="704"/>
      <c r="H55" s="704"/>
      <c r="I55" s="704"/>
      <c r="J55" s="704"/>
      <c r="K55" s="704"/>
      <c r="L55" s="704"/>
      <c r="M55" s="704"/>
      <c r="N55" s="704"/>
      <c r="O55" s="704"/>
      <c r="P55" s="704"/>
      <c r="Q55" s="705"/>
      <c r="R55" s="732">
        <f ca="1">SUM(C55:Q55)</f>
        <v>73.533886720711607</v>
      </c>
    </row>
    <row r="56" spans="1:18" ht="15.75" thickBot="1">
      <c r="A56" s="824" t="s">
        <v>865</v>
      </c>
      <c r="B56" s="837"/>
      <c r="C56" s="733">
        <f ca="1">SUM(C54:C55)</f>
        <v>599.90116949475771</v>
      </c>
      <c r="D56" s="733">
        <f t="shared" ref="D56:Q56" ca="1" si="7">SUM(D54:D55)</f>
        <v>0</v>
      </c>
      <c r="E56" s="733">
        <f t="shared" si="7"/>
        <v>0</v>
      </c>
      <c r="F56" s="733">
        <f t="shared" si="7"/>
        <v>5.6066650732182195</v>
      </c>
      <c r="G56" s="733">
        <f t="shared" si="7"/>
        <v>1806.4197736418741</v>
      </c>
      <c r="H56" s="733">
        <f t="shared" si="7"/>
        <v>0</v>
      </c>
      <c r="I56" s="733">
        <f t="shared" si="7"/>
        <v>0</v>
      </c>
      <c r="J56" s="733">
        <f t="shared" si="7"/>
        <v>0</v>
      </c>
      <c r="K56" s="733">
        <f t="shared" si="7"/>
        <v>144.72093922170166</v>
      </c>
      <c r="L56" s="733">
        <f t="shared" si="7"/>
        <v>0</v>
      </c>
      <c r="M56" s="733">
        <f t="shared" si="7"/>
        <v>0</v>
      </c>
      <c r="N56" s="733">
        <f t="shared" si="7"/>
        <v>0</v>
      </c>
      <c r="O56" s="733">
        <f t="shared" si="7"/>
        <v>0</v>
      </c>
      <c r="P56" s="733">
        <f t="shared" si="7"/>
        <v>0</v>
      </c>
      <c r="Q56" s="734">
        <f t="shared" si="7"/>
        <v>0</v>
      </c>
      <c r="R56" s="735">
        <f ca="1">SUM(R54:R55)</f>
        <v>2556.6485474315518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3349.543960941261</v>
      </c>
      <c r="D61" s="741">
        <f t="shared" ref="D61:Q61" ca="1" si="8">D46+D52+D56</f>
        <v>0</v>
      </c>
      <c r="E61" s="741">
        <f t="shared" ca="1" si="8"/>
        <v>3.1875759022074148</v>
      </c>
      <c r="F61" s="741">
        <f t="shared" si="8"/>
        <v>537.26103422865219</v>
      </c>
      <c r="G61" s="741">
        <f t="shared" ca="1" si="8"/>
        <v>9868.0290040563123</v>
      </c>
      <c r="H61" s="741">
        <f t="shared" si="8"/>
        <v>6762.5639340641992</v>
      </c>
      <c r="I61" s="741">
        <f t="shared" si="8"/>
        <v>1471.2284383797505</v>
      </c>
      <c r="J61" s="741">
        <f t="shared" si="8"/>
        <v>0</v>
      </c>
      <c r="K61" s="741">
        <f t="shared" si="8"/>
        <v>779.32809042375811</v>
      </c>
      <c r="L61" s="741">
        <f t="shared" si="8"/>
        <v>0</v>
      </c>
      <c r="M61" s="741">
        <f t="shared" ca="1" si="8"/>
        <v>0</v>
      </c>
      <c r="N61" s="741">
        <f t="shared" si="8"/>
        <v>0</v>
      </c>
      <c r="O61" s="741">
        <f t="shared" ca="1" si="8"/>
        <v>0</v>
      </c>
      <c r="P61" s="741">
        <f t="shared" si="8"/>
        <v>0</v>
      </c>
      <c r="Q61" s="741">
        <f t="shared" si="8"/>
        <v>0</v>
      </c>
      <c r="R61" s="741">
        <f ca="1">R46+R52+R56</f>
        <v>22771.142037996138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0.19739427219296213</v>
      </c>
      <c r="D63" s="782">
        <f t="shared" ca="1" si="9"/>
        <v>0</v>
      </c>
      <c r="E63" s="1036">
        <f t="shared" ca="1" si="9"/>
        <v>0.20200000000000001</v>
      </c>
      <c r="F63" s="782">
        <f t="shared" si="9"/>
        <v>0.22699999999999995</v>
      </c>
      <c r="G63" s="782">
        <f t="shared" ca="1" si="9"/>
        <v>0.26700000000000007</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1812.4926615023419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1812.4926615023419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1812.4926615023419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1812.4926615023419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9906.5782889423244</v>
      </c>
      <c r="C4" s="478">
        <f>huishoudens!C8</f>
        <v>0</v>
      </c>
      <c r="D4" s="478">
        <f>huishoudens!D8</f>
        <v>0</v>
      </c>
      <c r="E4" s="478">
        <f>huishoudens!E8</f>
        <v>2125.308857921751</v>
      </c>
      <c r="F4" s="478">
        <f>huishoudens!F8</f>
        <v>29468.395330989177</v>
      </c>
      <c r="G4" s="478">
        <f>huishoudens!G8</f>
        <v>0</v>
      </c>
      <c r="H4" s="478">
        <f>huishoudens!H8</f>
        <v>0</v>
      </c>
      <c r="I4" s="478">
        <f>huishoudens!I8</f>
        <v>0</v>
      </c>
      <c r="J4" s="478">
        <f>huishoudens!J8</f>
        <v>1790.3679889932901</v>
      </c>
      <c r="K4" s="478">
        <f>huishoudens!K8</f>
        <v>0</v>
      </c>
      <c r="L4" s="478">
        <f>huishoudens!L8</f>
        <v>0</v>
      </c>
      <c r="M4" s="478">
        <f>huishoudens!M8</f>
        <v>0</v>
      </c>
      <c r="N4" s="478">
        <f>huishoudens!N8</f>
        <v>4882.3335826374332</v>
      </c>
      <c r="O4" s="478">
        <f>huishoudens!O8</f>
        <v>76.603333333333339</v>
      </c>
      <c r="P4" s="479">
        <f>huishoudens!P8</f>
        <v>286</v>
      </c>
      <c r="Q4" s="480">
        <f>SUM(B4:P4)</f>
        <v>48535.587382817306</v>
      </c>
    </row>
    <row r="5" spans="1:17">
      <c r="A5" s="477" t="s">
        <v>156</v>
      </c>
      <c r="B5" s="478">
        <f ca="1">tertiair!B16</f>
        <v>3083.8223200000002</v>
      </c>
      <c r="C5" s="478">
        <f ca="1">tertiair!C16</f>
        <v>0</v>
      </c>
      <c r="D5" s="478">
        <f ca="1">tertiair!D16</f>
        <v>0</v>
      </c>
      <c r="E5" s="478">
        <f>tertiair!E16</f>
        <v>69.318098217396994</v>
      </c>
      <c r="F5" s="478">
        <f ca="1">tertiair!F16</f>
        <v>540.62574751207069</v>
      </c>
      <c r="G5" s="478">
        <f>tertiair!G16</f>
        <v>0</v>
      </c>
      <c r="H5" s="478">
        <f>tertiair!H16</f>
        <v>0</v>
      </c>
      <c r="I5" s="478">
        <f>tertiair!I16</f>
        <v>0</v>
      </c>
      <c r="J5" s="478">
        <f>tertiair!J16</f>
        <v>0</v>
      </c>
      <c r="K5" s="478">
        <f>tertiair!K16</f>
        <v>0</v>
      </c>
      <c r="L5" s="478">
        <f ca="1">tertiair!L16</f>
        <v>0</v>
      </c>
      <c r="M5" s="478">
        <f>tertiair!M16</f>
        <v>0</v>
      </c>
      <c r="N5" s="478">
        <f ca="1">tertiair!N16</f>
        <v>178.24079120937353</v>
      </c>
      <c r="O5" s="478">
        <f>tertiair!O16</f>
        <v>0</v>
      </c>
      <c r="P5" s="479">
        <f>tertiair!P16</f>
        <v>19.066666666666666</v>
      </c>
      <c r="Q5" s="477">
        <f t="shared" ref="Q5:Q14" ca="1" si="0">SUM(B5:P5)</f>
        <v>3891.0736236055081</v>
      </c>
    </row>
    <row r="6" spans="1:17">
      <c r="A6" s="477" t="s">
        <v>194</v>
      </c>
      <c r="B6" s="478">
        <f>'openbare verlichting'!B8</f>
        <v>309.50099999999998</v>
      </c>
      <c r="C6" s="478"/>
      <c r="D6" s="478"/>
      <c r="E6" s="478"/>
      <c r="F6" s="478"/>
      <c r="G6" s="478"/>
      <c r="H6" s="478"/>
      <c r="I6" s="478"/>
      <c r="J6" s="478"/>
      <c r="K6" s="478"/>
      <c r="L6" s="478"/>
      <c r="M6" s="478"/>
      <c r="N6" s="478"/>
      <c r="O6" s="478"/>
      <c r="P6" s="479"/>
      <c r="Q6" s="477">
        <f t="shared" si="0"/>
        <v>309.50099999999998</v>
      </c>
    </row>
    <row r="7" spans="1:17">
      <c r="A7" s="477" t="s">
        <v>112</v>
      </c>
      <c r="B7" s="478">
        <f>landbouw!B8</f>
        <v>2666.5782999999997</v>
      </c>
      <c r="C7" s="478">
        <f>landbouw!C8</f>
        <v>0</v>
      </c>
      <c r="D7" s="478">
        <f>landbouw!D8</f>
        <v>0</v>
      </c>
      <c r="E7" s="478">
        <f>landbouw!E8</f>
        <v>24.698965080256471</v>
      </c>
      <c r="F7" s="478">
        <f>landbouw!F8</f>
        <v>6765.6171297448464</v>
      </c>
      <c r="G7" s="478">
        <f>landbouw!G8</f>
        <v>0</v>
      </c>
      <c r="H7" s="478">
        <f>landbouw!H8</f>
        <v>0</v>
      </c>
      <c r="I7" s="478">
        <f>landbouw!I8</f>
        <v>0</v>
      </c>
      <c r="J7" s="478">
        <f>landbouw!J8</f>
        <v>408.81621249068269</v>
      </c>
      <c r="K7" s="478">
        <f>landbouw!K8</f>
        <v>0</v>
      </c>
      <c r="L7" s="478">
        <f>landbouw!L8</f>
        <v>0</v>
      </c>
      <c r="M7" s="478">
        <f>landbouw!M8</f>
        <v>0</v>
      </c>
      <c r="N7" s="478">
        <f>landbouw!N8</f>
        <v>0</v>
      </c>
      <c r="O7" s="478">
        <f>landbouw!O8</f>
        <v>0</v>
      </c>
      <c r="P7" s="479">
        <f>landbouw!P8</f>
        <v>0</v>
      </c>
      <c r="Q7" s="477">
        <f t="shared" si="0"/>
        <v>9865.7106073157865</v>
      </c>
    </row>
    <row r="8" spans="1:17">
      <c r="A8" s="477" t="s">
        <v>650</v>
      </c>
      <c r="B8" s="478">
        <f>industrie!B18</f>
        <v>624.76260999999988</v>
      </c>
      <c r="C8" s="478">
        <f>industrie!C18</f>
        <v>0</v>
      </c>
      <c r="D8" s="478">
        <f>industrie!D18</f>
        <v>0</v>
      </c>
      <c r="E8" s="478">
        <f>industrie!E18</f>
        <v>48.528974226324678</v>
      </c>
      <c r="F8" s="478">
        <f>industrie!F18</f>
        <v>184.27191930563325</v>
      </c>
      <c r="G8" s="478">
        <f>industrie!G18</f>
        <v>0</v>
      </c>
      <c r="H8" s="478">
        <f>industrie!H18</f>
        <v>0</v>
      </c>
      <c r="I8" s="478">
        <f>industrie!I18</f>
        <v>0</v>
      </c>
      <c r="J8" s="478">
        <f>industrie!J18</f>
        <v>2.3075793741013895</v>
      </c>
      <c r="K8" s="478">
        <f>industrie!K18</f>
        <v>0</v>
      </c>
      <c r="L8" s="478">
        <f>industrie!L18</f>
        <v>0</v>
      </c>
      <c r="M8" s="478">
        <f>industrie!M18</f>
        <v>0</v>
      </c>
      <c r="N8" s="478">
        <f>industrie!N18</f>
        <v>127.53398273226404</v>
      </c>
      <c r="O8" s="478">
        <f>industrie!O18</f>
        <v>0</v>
      </c>
      <c r="P8" s="479">
        <f>industrie!P18</f>
        <v>0</v>
      </c>
      <c r="Q8" s="477">
        <f t="shared" si="0"/>
        <v>987.40506563832309</v>
      </c>
    </row>
    <row r="9" spans="1:17" s="483" customFormat="1">
      <c r="A9" s="481" t="s">
        <v>571</v>
      </c>
      <c r="B9" s="482">
        <f>transport!B14</f>
        <v>5.0347581313323717</v>
      </c>
      <c r="C9" s="482">
        <f>transport!C14</f>
        <v>0</v>
      </c>
      <c r="D9" s="482">
        <f>transport!D14</f>
        <v>15.780078723799082</v>
      </c>
      <c r="E9" s="482">
        <f>transport!E14</f>
        <v>98.933801596791653</v>
      </c>
      <c r="F9" s="482">
        <f>transport!F14</f>
        <v>0</v>
      </c>
      <c r="G9" s="482">
        <f>transport!G14</f>
        <v>24253.501777487207</v>
      </c>
      <c r="H9" s="482">
        <f>transport!H14</f>
        <v>5908.5479453002026</v>
      </c>
      <c r="I9" s="482">
        <f>transport!I14</f>
        <v>0</v>
      </c>
      <c r="J9" s="482">
        <f>transport!J14</f>
        <v>0</v>
      </c>
      <c r="K9" s="482">
        <f>transport!K14</f>
        <v>0</v>
      </c>
      <c r="L9" s="482">
        <f>transport!L14</f>
        <v>0</v>
      </c>
      <c r="M9" s="482">
        <f>transport!M14</f>
        <v>1584.8438876820401</v>
      </c>
      <c r="N9" s="482">
        <f>transport!N14</f>
        <v>0</v>
      </c>
      <c r="O9" s="482">
        <f>transport!O14</f>
        <v>0</v>
      </c>
      <c r="P9" s="482">
        <f>transport!P14</f>
        <v>0</v>
      </c>
      <c r="Q9" s="481">
        <f>SUM(B9:P9)</f>
        <v>31866.642248921369</v>
      </c>
    </row>
    <row r="10" spans="1:17">
      <c r="A10" s="477" t="s">
        <v>561</v>
      </c>
      <c r="B10" s="478">
        <f>transport!B54</f>
        <v>0</v>
      </c>
      <c r="C10" s="478">
        <f>transport!C54</f>
        <v>0</v>
      </c>
      <c r="D10" s="478">
        <f>transport!D54</f>
        <v>0</v>
      </c>
      <c r="E10" s="478">
        <f>transport!E54</f>
        <v>0</v>
      </c>
      <c r="F10" s="478">
        <f>transport!F54</f>
        <v>0</v>
      </c>
      <c r="G10" s="478">
        <f>transport!G54</f>
        <v>1074.4530317420001</v>
      </c>
      <c r="H10" s="478">
        <f>transport!H54</f>
        <v>0</v>
      </c>
      <c r="I10" s="478">
        <f>transport!I54</f>
        <v>0</v>
      </c>
      <c r="J10" s="478">
        <f>transport!J54</f>
        <v>0</v>
      </c>
      <c r="K10" s="478">
        <f>transport!K54</f>
        <v>0</v>
      </c>
      <c r="L10" s="478">
        <f>transport!L54</f>
        <v>0</v>
      </c>
      <c r="M10" s="478">
        <f>transport!M54</f>
        <v>61.2729242004581</v>
      </c>
      <c r="N10" s="478">
        <f>transport!N54</f>
        <v>0</v>
      </c>
      <c r="O10" s="478">
        <f>transport!O54</f>
        <v>0</v>
      </c>
      <c r="P10" s="479">
        <f>transport!P54</f>
        <v>0</v>
      </c>
      <c r="Q10" s="477">
        <f t="shared" si="0"/>
        <v>1135.7259559424583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372.52290000000005</v>
      </c>
      <c r="C14" s="485"/>
      <c r="D14" s="485">
        <f>'SEAP template'!E25</f>
        <v>0</v>
      </c>
      <c r="E14" s="485"/>
      <c r="F14" s="485"/>
      <c r="G14" s="485"/>
      <c r="H14" s="485"/>
      <c r="I14" s="485"/>
      <c r="J14" s="485"/>
      <c r="K14" s="485"/>
      <c r="L14" s="485"/>
      <c r="M14" s="485"/>
      <c r="N14" s="485"/>
      <c r="O14" s="485"/>
      <c r="P14" s="486"/>
      <c r="Q14" s="477">
        <f t="shared" si="0"/>
        <v>372.52290000000005</v>
      </c>
    </row>
    <row r="15" spans="1:17" s="487" customFormat="1">
      <c r="A15" s="1051" t="s">
        <v>565</v>
      </c>
      <c r="B15" s="991">
        <f ca="1">SUM(B4:B14)</f>
        <v>16968.800177073656</v>
      </c>
      <c r="C15" s="991">
        <f t="shared" ref="C15:Q15" ca="1" si="1">SUM(C4:C14)</f>
        <v>0</v>
      </c>
      <c r="D15" s="991">
        <f t="shared" ca="1" si="1"/>
        <v>15.780078723799082</v>
      </c>
      <c r="E15" s="991">
        <f t="shared" si="1"/>
        <v>2366.7886970425211</v>
      </c>
      <c r="F15" s="991">
        <f t="shared" ca="1" si="1"/>
        <v>36958.910127551724</v>
      </c>
      <c r="G15" s="991">
        <f t="shared" si="1"/>
        <v>25327.954809229206</v>
      </c>
      <c r="H15" s="991">
        <f t="shared" si="1"/>
        <v>5908.5479453002026</v>
      </c>
      <c r="I15" s="991">
        <f t="shared" si="1"/>
        <v>0</v>
      </c>
      <c r="J15" s="991">
        <f t="shared" si="1"/>
        <v>2201.491780858074</v>
      </c>
      <c r="K15" s="991">
        <f t="shared" si="1"/>
        <v>0</v>
      </c>
      <c r="L15" s="991">
        <f t="shared" ca="1" si="1"/>
        <v>0</v>
      </c>
      <c r="M15" s="991">
        <f t="shared" si="1"/>
        <v>1646.1168118824983</v>
      </c>
      <c r="N15" s="991">
        <f t="shared" ca="1" si="1"/>
        <v>5188.1083565790705</v>
      </c>
      <c r="O15" s="991">
        <f t="shared" si="1"/>
        <v>76.603333333333339</v>
      </c>
      <c r="P15" s="991">
        <f t="shared" si="1"/>
        <v>305.06666666666666</v>
      </c>
      <c r="Q15" s="991">
        <f t="shared" ca="1" si="1"/>
        <v>96964.168784240741</v>
      </c>
    </row>
    <row r="17" spans="1:17">
      <c r="A17" s="488" t="s">
        <v>566</v>
      </c>
      <c r="B17" s="787">
        <f ca="1">huishoudens!B10</f>
        <v>0.1973942721929621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1955.5018112683699</v>
      </c>
      <c r="C22" s="478">
        <f t="shared" ref="C22:C32" ca="1" si="3">C4*$C$17</f>
        <v>0</v>
      </c>
      <c r="D22" s="478">
        <f t="shared" ref="D22:D32" si="4">D4*$D$17</f>
        <v>0</v>
      </c>
      <c r="E22" s="478">
        <f t="shared" ref="E22:E32" si="5">E4*$E$17</f>
        <v>482.44511074823748</v>
      </c>
      <c r="F22" s="478">
        <f t="shared" ref="F22:F32" si="6">F4*$F$17</f>
        <v>7868.0615533741102</v>
      </c>
      <c r="G22" s="478">
        <f t="shared" ref="G22:G32" si="7">G4*$G$17</f>
        <v>0</v>
      </c>
      <c r="H22" s="478">
        <f t="shared" ref="H22:H32" si="8">H4*$H$17</f>
        <v>0</v>
      </c>
      <c r="I22" s="478">
        <f t="shared" ref="I22:I32" si="9">I4*$I$17</f>
        <v>0</v>
      </c>
      <c r="J22" s="478">
        <f t="shared" ref="J22:J32" si="10">J4*$J$17</f>
        <v>633.79026810362461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10939.798743494342</v>
      </c>
    </row>
    <row r="23" spans="1:17">
      <c r="A23" s="477" t="s">
        <v>156</v>
      </c>
      <c r="B23" s="478">
        <f t="shared" ca="1" si="2"/>
        <v>608.72886242881191</v>
      </c>
      <c r="C23" s="478">
        <f t="shared" ca="1" si="3"/>
        <v>0</v>
      </c>
      <c r="D23" s="478">
        <f t="shared" ca="1" si="4"/>
        <v>0</v>
      </c>
      <c r="E23" s="478">
        <f t="shared" si="5"/>
        <v>15.735208295349118</v>
      </c>
      <c r="F23" s="478">
        <f t="shared" ca="1" si="6"/>
        <v>144.34707458572288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768.81114530988395</v>
      </c>
    </row>
    <row r="24" spans="1:17">
      <c r="A24" s="477" t="s">
        <v>194</v>
      </c>
      <c r="B24" s="478">
        <f t="shared" ca="1" si="2"/>
        <v>61.093724637993958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61.093724637993958</v>
      </c>
    </row>
    <row r="25" spans="1:17">
      <c r="A25" s="477" t="s">
        <v>112</v>
      </c>
      <c r="B25" s="478">
        <f t="shared" ca="1" si="2"/>
        <v>526.36728277404609</v>
      </c>
      <c r="C25" s="478">
        <f t="shared" ca="1" si="3"/>
        <v>0</v>
      </c>
      <c r="D25" s="478">
        <f t="shared" si="4"/>
        <v>0</v>
      </c>
      <c r="E25" s="478">
        <f t="shared" si="5"/>
        <v>5.6066650732182195</v>
      </c>
      <c r="F25" s="478">
        <f t="shared" si="6"/>
        <v>1806.4197736418741</v>
      </c>
      <c r="G25" s="478">
        <f t="shared" si="7"/>
        <v>0</v>
      </c>
      <c r="H25" s="478">
        <f t="shared" si="8"/>
        <v>0</v>
      </c>
      <c r="I25" s="478">
        <f t="shared" si="9"/>
        <v>0</v>
      </c>
      <c r="J25" s="478">
        <f t="shared" si="10"/>
        <v>144.72093922170166</v>
      </c>
      <c r="K25" s="478">
        <f t="shared" si="11"/>
        <v>0</v>
      </c>
      <c r="L25" s="478">
        <f t="shared" si="12"/>
        <v>0</v>
      </c>
      <c r="M25" s="478">
        <f t="shared" si="13"/>
        <v>0</v>
      </c>
      <c r="N25" s="478">
        <f t="shared" si="14"/>
        <v>0</v>
      </c>
      <c r="O25" s="478">
        <f t="shared" si="15"/>
        <v>0</v>
      </c>
      <c r="P25" s="479">
        <f t="shared" si="16"/>
        <v>0</v>
      </c>
      <c r="Q25" s="477">
        <f t="shared" ca="1" si="17"/>
        <v>2483.1146607108403</v>
      </c>
    </row>
    <row r="26" spans="1:17">
      <c r="A26" s="477" t="s">
        <v>650</v>
      </c>
      <c r="B26" s="478">
        <f t="shared" ca="1" si="2"/>
        <v>123.3245606943254</v>
      </c>
      <c r="C26" s="478">
        <f t="shared" ca="1" si="3"/>
        <v>0</v>
      </c>
      <c r="D26" s="478">
        <f t="shared" si="4"/>
        <v>0</v>
      </c>
      <c r="E26" s="478">
        <f t="shared" si="5"/>
        <v>11.016077149375702</v>
      </c>
      <c r="F26" s="478">
        <f t="shared" si="6"/>
        <v>49.200602454604081</v>
      </c>
      <c r="G26" s="478">
        <f t="shared" si="7"/>
        <v>0</v>
      </c>
      <c r="H26" s="478">
        <f t="shared" si="8"/>
        <v>0</v>
      </c>
      <c r="I26" s="478">
        <f t="shared" si="9"/>
        <v>0</v>
      </c>
      <c r="J26" s="478">
        <f t="shared" si="10"/>
        <v>0.81688309843189177</v>
      </c>
      <c r="K26" s="478">
        <f t="shared" si="11"/>
        <v>0</v>
      </c>
      <c r="L26" s="478">
        <f t="shared" si="12"/>
        <v>0</v>
      </c>
      <c r="M26" s="478">
        <f t="shared" si="13"/>
        <v>0</v>
      </c>
      <c r="N26" s="478">
        <f t="shared" si="14"/>
        <v>0</v>
      </c>
      <c r="O26" s="478">
        <f t="shared" si="15"/>
        <v>0</v>
      </c>
      <c r="P26" s="479">
        <f t="shared" si="16"/>
        <v>0</v>
      </c>
      <c r="Q26" s="477">
        <f t="shared" ca="1" si="17"/>
        <v>184.35812339673708</v>
      </c>
    </row>
    <row r="27" spans="1:17" s="483" customFormat="1">
      <c r="A27" s="481" t="s">
        <v>571</v>
      </c>
      <c r="B27" s="781">
        <f t="shared" ca="1" si="2"/>
        <v>0.99383241700195146</v>
      </c>
      <c r="C27" s="482">
        <f t="shared" ca="1" si="3"/>
        <v>0</v>
      </c>
      <c r="D27" s="482">
        <f t="shared" si="4"/>
        <v>3.1875759022074148</v>
      </c>
      <c r="E27" s="482">
        <f t="shared" si="5"/>
        <v>22.457972962471707</v>
      </c>
      <c r="F27" s="482">
        <f t="shared" si="6"/>
        <v>0</v>
      </c>
      <c r="G27" s="482">
        <f t="shared" si="7"/>
        <v>6475.684974589085</v>
      </c>
      <c r="H27" s="482">
        <f t="shared" si="8"/>
        <v>1471.2284383797505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7973.5527942505169</v>
      </c>
    </row>
    <row r="28" spans="1:17">
      <c r="A28" s="477" t="s">
        <v>561</v>
      </c>
      <c r="B28" s="478">
        <f t="shared" ca="1" si="2"/>
        <v>0</v>
      </c>
      <c r="C28" s="478">
        <f t="shared" ca="1" si="3"/>
        <v>0</v>
      </c>
      <c r="D28" s="478">
        <f t="shared" si="4"/>
        <v>0</v>
      </c>
      <c r="E28" s="478">
        <f t="shared" si="5"/>
        <v>0</v>
      </c>
      <c r="F28" s="478">
        <f t="shared" si="6"/>
        <v>0</v>
      </c>
      <c r="G28" s="478">
        <f t="shared" si="7"/>
        <v>286.87895947511407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286.87895947511407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73.533886720711607</v>
      </c>
      <c r="C32" s="478">
        <f t="shared" ca="1" si="3"/>
        <v>0</v>
      </c>
      <c r="D32" s="478">
        <f t="shared" si="4"/>
        <v>0</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73.533886720711607</v>
      </c>
    </row>
    <row r="33" spans="1:17" s="487" customFormat="1">
      <c r="A33" s="1051" t="s">
        <v>565</v>
      </c>
      <c r="B33" s="991">
        <f ca="1">SUM(B22:B32)</f>
        <v>3349.543960941261</v>
      </c>
      <c r="C33" s="991">
        <f t="shared" ref="C33:Q33" ca="1" si="18">SUM(C22:C32)</f>
        <v>0</v>
      </c>
      <c r="D33" s="991">
        <f t="shared" ca="1" si="18"/>
        <v>3.1875759022074148</v>
      </c>
      <c r="E33" s="991">
        <f t="shared" si="18"/>
        <v>537.26103422865219</v>
      </c>
      <c r="F33" s="991">
        <f t="shared" ca="1" si="18"/>
        <v>9868.0290040563123</v>
      </c>
      <c r="G33" s="991">
        <f t="shared" si="18"/>
        <v>6762.5639340641992</v>
      </c>
      <c r="H33" s="991">
        <f t="shared" si="18"/>
        <v>1471.2284383797505</v>
      </c>
      <c r="I33" s="991">
        <f t="shared" si="18"/>
        <v>0</v>
      </c>
      <c r="J33" s="991">
        <f t="shared" si="18"/>
        <v>779.32809042375811</v>
      </c>
      <c r="K33" s="991">
        <f t="shared" si="18"/>
        <v>0</v>
      </c>
      <c r="L33" s="991">
        <f t="shared" ca="1" si="18"/>
        <v>0</v>
      </c>
      <c r="M33" s="991">
        <f t="shared" si="18"/>
        <v>0</v>
      </c>
      <c r="N33" s="991">
        <f t="shared" ca="1" si="18"/>
        <v>0</v>
      </c>
      <c r="O33" s="991">
        <f t="shared" si="18"/>
        <v>0</v>
      </c>
      <c r="P33" s="991">
        <f t="shared" si="18"/>
        <v>0</v>
      </c>
      <c r="Q33" s="991">
        <f t="shared" ca="1" si="18"/>
        <v>22771.142037996142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1812.4926615023419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1812.4926615023419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0.1973942721929621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0.1973942721929621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2019-08-12T08:10:50Z</dcterms:modified>
</cp:coreProperties>
</file>