
<file path=[Content_Types].xml><?xml version="1.0" encoding="utf-8"?>
<Types xmlns="http://schemas.openxmlformats.org/package/2006/content-types">
  <Override PartName="/xl/worksheets/sheet15.xml" ContentType="application/vnd.openxmlformats-officedocument.spreadsheetml.worksheet+xml"/>
  <Override PartName="/xl/worksheets/sheet24.xml" ContentType="application/vnd.openxmlformats-officedocument.spreadsheetml.worksheet+xml"/>
  <Override PartName="/xl/worksheets/sheet9.xml" ContentType="application/vnd.openxmlformats-officedocument.spreadsheetml.worksheet+xml"/>
  <Override PartName="/xl/worksheets/sheet13.xml" ContentType="application/vnd.openxmlformats-officedocument.spreadsheetml.worksheet+xml"/>
  <Override PartName="/xl/worksheets/sheet2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drawings/drawing6.xml" ContentType="application/vnd.openxmlformats-officedocument.drawing+xml"/>
  <Override PartName="/xl/charts/chart4.xml" ContentType="application/vnd.openxmlformats-officedocument.drawingml.chart+xml"/>
  <Override PartName="/xl/drawings/drawing8.xml" ContentType="application/vnd.openxmlformats-officedocument.drawing+xml"/>
  <Override PartName="/xl/tables/table2.xml" ContentType="application/vnd.openxmlformats-officedocument.spreadsheetml.table+xml"/>
  <Override PartName="/xl/comments8.xml" ContentType="application/vnd.openxmlformats-officedocument.spreadsheetml.comments+xml"/>
  <Override PartName="/xl/worksheets/sheet7.xml" ContentType="application/vnd.openxmlformats-officedocument.spreadsheetml.worksheet+xml"/>
  <Override PartName="/xl/worksheets/sheet11.xml" ContentType="application/vnd.openxmlformats-officedocument.spreadsheetml.worksheet+xml"/>
  <Override PartName="/xl/worksheets/sheet20.xml" ContentType="application/vnd.openxmlformats-officedocument.spreadsheetml.worksheet+xml"/>
  <Override PartName="/xl/worksheets/sheet31.xml" ContentType="application/vnd.openxmlformats-officedocument.spreadsheetml.worksheet+xml"/>
  <Override PartName="/xl/drawings/drawing4.xml" ContentType="application/vnd.openxmlformats-officedocument.drawing+xml"/>
  <Override PartName="/xl/charts/chart2.xml" ContentType="application/vnd.openxmlformats-officedocument.drawingml.chart+xml"/>
  <Override PartName="/xl/comments6.xml" ContentType="application/vnd.openxmlformats-officedocument.spreadsheetml.comments+xml"/>
  <Default Extension="rels" ContentType="application/vnd.openxmlformats-package.relationships+xml"/>
  <Default Extension="xml" ContentType="application/xml"/>
  <Override PartName="/xl/worksheets/sheet5.xml" ContentType="application/vnd.openxmlformats-officedocument.spreadsheetml.worksheet+xml"/>
  <Override PartName="/xl/drawings/drawing2.xml" ContentType="application/vnd.openxmlformats-officedocument.drawing+xml"/>
  <Override PartName="/xl/comments4.xml" ContentType="application/vnd.openxmlformats-officedocument.spreadsheetml.comments+xml"/>
  <Override PartName="/xl/worksheets/sheet3.xml" ContentType="application/vnd.openxmlformats-officedocument.spreadsheetml.worksheet+xml"/>
  <Override PartName="/xl/drawings/drawing13.xml" ContentType="application/vnd.openxmlformats-officedocument.drawing+xml"/>
  <Override PartName="/xl/comments2.xml" ContentType="application/vnd.openxmlformats-officedocument.spreadsheetml.comments+xml"/>
  <Override PartName="/xl/worksheets/sheet1.xml" ContentType="application/vnd.openxmlformats-officedocument.spreadsheetml.worksheet+xml"/>
  <Override PartName="/xl/chartsheets/sheet4.xml" ContentType="application/vnd.openxmlformats-officedocument.spreadsheetml.chartsheet+xml"/>
  <Override PartName="/xl/drawings/drawing11.xml" ContentType="application/vnd.openxmlformats-officedocument.drawing+xml"/>
  <Override PartName="/xl/drawings/drawing12.xml" ContentType="application/vnd.openxmlformats-officedocument.drawing+xml"/>
  <Default Extension="vml" ContentType="application/vnd.openxmlformats-officedocument.vmlDrawing"/>
  <Override PartName="/xl/comments1.xml" ContentType="application/vnd.openxmlformats-officedocument.spreadsheetml.comments+xml"/>
  <Override PartName="/xl/calcChain.xml" ContentType="application/vnd.openxmlformats-officedocument.spreadsheetml.calcChain+xml"/>
  <Override PartName="/xl/chartsheets/sheet2.xml" ContentType="application/vnd.openxmlformats-officedocument.spreadsheetml.chartsheet+xml"/>
  <Override PartName="/xl/chartsheets/sheet3.xml" ContentType="application/vnd.openxmlformats-officedocument.spreadsheetml.chartsheet+xml"/>
  <Override PartName="/xl/worksheets/sheet19.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sharedStrings.xml" ContentType="application/vnd.openxmlformats-officedocument.spreadsheetml.sharedStrings+xml"/>
  <Override PartName="/xl/drawings/drawing10.xml" ContentType="application/vnd.openxmlformats-officedocument.drawing+xml"/>
  <Override PartName="/xl/chartsheets/sheet1.xml" ContentType="application/vnd.openxmlformats-officedocument.spreadsheetml.chart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docProps/core.xml" ContentType="application/vnd.openxmlformats-package.core-properties+xml"/>
  <Override PartName="/xl/worksheets/sheet16.xml" ContentType="application/vnd.openxmlformats-officedocument.spreadsheetml.worksheet+xml"/>
  <Override PartName="/xl/worksheets/sheet25.xml" ContentType="application/vnd.openxmlformats-officedocument.spreadsheetml.worksheet+xml"/>
  <Default Extension="bin" ContentType="application/vnd.openxmlformats-officedocument.spreadsheetml.printerSettings"/>
  <Default Extension="png" ContentType="image/png"/>
  <Override PartName="/xl/drawings/drawing9.xml" ContentType="application/vnd.openxmlformats-officedocument.drawing+xml"/>
  <Override PartName="/xl/worksheets/sheet14.xml" ContentType="application/vnd.openxmlformats-officedocument.spreadsheetml.worksheet+xml"/>
  <Override PartName="/xl/worksheets/sheet23.xml" ContentType="application/vnd.openxmlformats-officedocument.spreadsheetml.worksheet+xml"/>
  <Override PartName="/xl/worksheets/sheet32.xml" ContentType="application/vnd.openxmlformats-officedocument.spreadsheetml.worksheet+xml"/>
  <Override PartName="/xl/drawings/drawing7.xml" ContentType="application/vnd.openxmlformats-officedocument.drawing+xml"/>
  <Override PartName="/xl/tables/table1.xml" ContentType="application/vnd.openxmlformats-officedocument.spreadsheetml.table+xml"/>
  <Override PartName="/xl/worksheets/sheet6.xml" ContentType="application/vnd.openxmlformats-officedocument.spreadsheetml.worksheet+xml"/>
  <Override PartName="/xl/worksheets/sheet8.xml" ContentType="application/vnd.openxmlformats-officedocument.spreadsheetml.worksheet+xml"/>
  <Override PartName="/xl/worksheets/sheet12.xml" ContentType="application/vnd.openxmlformats-officedocument.spreadsheetml.worksheet+xml"/>
  <Override PartName="/xl/worksheets/sheet21.xml" ContentType="application/vnd.openxmlformats-officedocument.spreadsheetml.worksheet+xml"/>
  <Override PartName="/xl/worksheets/sheet30.xml" ContentType="application/vnd.openxmlformats-officedocument.spreadsheetml.worksheet+xml"/>
  <Default Extension="jpeg" ContentType="image/jpeg"/>
  <Override PartName="/xl/drawings/drawing5.xml" ContentType="application/vnd.openxmlformats-officedocument.drawing+xml"/>
  <Override PartName="/xl/charts/chart3.xml" ContentType="application/vnd.openxmlformats-officedocument.drawingml.chart+xml"/>
  <Override PartName="/xl/comments7.xml" ContentType="application/vnd.openxmlformats-officedocument.spreadsheetml.comments+xml"/>
  <Override PartName="/xl/workbook.xml" ContentType="application/vnd.openxmlformats-officedocument.spreadsheetml.sheet.main+xml"/>
  <Override PartName="/xl/worksheets/sheet4.xml" ContentType="application/vnd.openxmlformats-officedocument.spreadsheetml.worksheet+xml"/>
  <Override PartName="/xl/worksheets/sheet10.xml" ContentType="application/vnd.openxmlformats-officedocument.spreadsheetml.worksheet+xml"/>
  <Override PartName="/xl/drawings/drawing3.xml" ContentType="application/vnd.openxmlformats-officedocument.drawing+xml"/>
  <Override PartName="/xl/charts/chart1.xml" ContentType="application/vnd.openxmlformats-officedocument.drawingml.chart+xml"/>
  <Override PartName="/xl/comments5.xml" ContentType="application/vnd.openxmlformats-officedocument.spreadsheetml.comments+xml"/>
  <Override PartName="/docProps/app.xml" ContentType="application/vnd.openxmlformats-officedocument.extended-properties+xml"/>
  <Override PartName="/xl/worksheets/sheet2.xml" ContentType="application/vnd.openxmlformats-officedocument.spreadsheetml.worksheet+xml"/>
  <Override PartName="/xl/drawings/drawing1.xml" ContentType="application/vnd.openxmlformats-officedocument.drawing+xml"/>
  <Override PartName="/xl/comments3.xml" ContentType="application/vnd.openxmlformats-officedocument.spreadsheetml.comments+xml"/>
  <Override PartName="/xl/drawings/drawing14.xml" ContentType="application/vnd.openxmlformats-officedocument.drawing+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5" rupBuild="4507"/>
  <workbookPr codeName="ThisWorkbook" defaultThemeVersion="124226"/>
  <bookViews>
    <workbookView xWindow="480" yWindow="360" windowWidth="14640" windowHeight="7515" tabRatio="598"/>
  </bookViews>
  <sheets>
    <sheet name="LEGENDE" sheetId="31" r:id="rId1"/>
    <sheet name="OUTPUT--&gt;" sheetId="53" r:id="rId2"/>
    <sheet name="SEAP template" sheetId="14" r:id="rId3"/>
    <sheet name="Inventaris 2014" sheetId="48" r:id="rId4"/>
    <sheet name="betrouwbaarheid inventaris" sheetId="58" r:id="rId5"/>
    <sheet name="Lokale energieproductie 2014" sheetId="59" r:id="rId6"/>
    <sheet name="betrouwbaarheid productie" sheetId="60" r:id="rId7"/>
    <sheet name="grafiek finaal energieverbruik" sheetId="54" r:id="rId8"/>
    <sheet name="taart finaal energieverbruik" sheetId="55" r:id="rId9"/>
    <sheet name="grafiek CO2 emissies" sheetId="56" r:id="rId10"/>
    <sheet name="taart CO2 emissies" sheetId="57" r:id="rId11"/>
    <sheet name="INPUT--&gt;" sheetId="35" r:id="rId12"/>
    <sheet name="Eigen gebouwen" sheetId="19" r:id="rId13"/>
    <sheet name="Eigen openbare verlichting" sheetId="49" r:id="rId14"/>
    <sheet name="Eigen vloot" sheetId="20" r:id="rId15"/>
    <sheet name="Eigen informatie GS &amp; warmtenet" sheetId="43" r:id="rId16"/>
    <sheet name="Conversiefactoren" sheetId="50" r:id="rId17"/>
    <sheet name="DATA--&gt;" sheetId="36" r:id="rId18"/>
    <sheet name="data" sheetId="4" r:id="rId19"/>
    <sheet name="EF N2O_CH4 landbouw" sheetId="7" r:id="rId20"/>
    <sheet name="ha_N2O bodem landbouw" sheetId="21" r:id="rId21"/>
    <sheet name="GWP N2O_CH4" sheetId="47" r:id="rId22"/>
    <sheet name="EF brandstof" sheetId="11" r:id="rId23"/>
    <sheet name="EF ele_warmte" sheetId="6" r:id="rId24"/>
    <sheet name="ECF transport " sheetId="23" r:id="rId25"/>
    <sheet name="E Balans VL " sheetId="5" r:id="rId26"/>
    <sheet name="BEREKENINGEN PER SECTOR --&gt;" sheetId="45" r:id="rId27"/>
    <sheet name="openbare verlichting" sheetId="9" r:id="rId28"/>
    <sheet name="huishoudens" sheetId="13" r:id="rId29"/>
    <sheet name="tertiair" sheetId="15" r:id="rId30"/>
    <sheet name="industrie" sheetId="16" r:id="rId31"/>
    <sheet name="landbouw" sheetId="17" r:id="rId32"/>
    <sheet name="transport" sheetId="22" r:id="rId33"/>
    <sheet name="lokale energieproductie" sheetId="18" r:id="rId34"/>
    <sheet name="BRONNEN --&gt;" sheetId="44" r:id="rId35"/>
    <sheet name="versiebeheer" sheetId="51" r:id="rId36"/>
  </sheets>
  <definedNames>
    <definedName name="_xlnm._FilterDatabase" localSheetId="24" hidden="1">'ECF transport '!#REF!</definedName>
    <definedName name="_Toc352313866" localSheetId="19">'EF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2020">data!$C$9</definedName>
    <definedName name="aantalHuishoudens2011">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CF_PW_SW_CNG_CNG">'ECF transport '!#REF!</definedName>
    <definedName name="ECF_PW_SW_Diesel_Diesel">'ECF transport '!#REF!</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data!$B$8</definedName>
    <definedName name="vkm_2011_bus">data!$B$83</definedName>
    <definedName name="vkm_2011_GW_LV">data!#REF!</definedName>
    <definedName name="vkm_2011_GW_PW">data!$D$73</definedName>
    <definedName name="vkm_2011_GW_ZV">data!$D$74</definedName>
    <definedName name="vkm_2011_NGW_LV">data!$D$75</definedName>
    <definedName name="vkm_2011_NGW_PW">data!$D$75</definedName>
    <definedName name="vkm_2011_NGW_ZV">data!$D$76</definedName>
    <definedName name="vkm_2011_SW_LV">data!#REF!</definedName>
    <definedName name="vkm_2011_SW_PW">data!$D$77</definedName>
    <definedName name="vkm_2011_SW_ZV">data!$D$78</definedName>
    <definedName name="vkm_2011_tram">data!$B$84</definedName>
    <definedName name="vkm_2020_bus">data!$C$83</definedName>
    <definedName name="vkm_2020_GW_LV">data!#REF!</definedName>
    <definedName name="vkm_2020_GW_PW">data!$E$73</definedName>
    <definedName name="vkm_2020_GW_ZV">data!$E$74</definedName>
    <definedName name="vkm_2020_NGW_LV">data!#REF!</definedName>
    <definedName name="vkm_2020_NGW_PW">data!$E$75</definedName>
    <definedName name="vkm_2020_NGW_ZV">data!$E$76</definedName>
    <definedName name="vkm_2020_SW_LV">data!#REF!</definedName>
    <definedName name="vkm_2020_SW_PW">data!$E$77</definedName>
    <definedName name="vkm_2020_SW_ZV">data!$E$78</definedName>
    <definedName name="vkm_2020_tram">data!$C$84</definedName>
    <definedName name="WP_HH_bestaande_bouw">data!$B$132</definedName>
    <definedName name="WP_NHH_bestaande_bouw">data!$B$131</definedName>
    <definedName name="ZB_HH_bestaande_bouw">data!$B$129</definedName>
    <definedName name="ZB_NHH_bestaande_bouw">data!$B$130</definedName>
  </definedNames>
  <calcPr calcId="125725" calcMode="manual"/>
</workbook>
</file>

<file path=xl/calcChain.xml><?xml version="1.0" encoding="utf-8"?>
<calcChain xmlns="http://schemas.openxmlformats.org/spreadsheetml/2006/main">
  <c r="P7" i="59"/>
  <c r="P6"/>
  <c r="P5"/>
  <c r="P4"/>
  <c r="L19" i="18" l="1"/>
  <c r="K19"/>
  <c r="N89" i="14" s="1"/>
  <c r="N19" i="59" s="1"/>
  <c r="J19" i="18"/>
  <c r="J89" i="14" s="1"/>
  <c r="J19" i="59" s="1"/>
  <c r="I19" i="18"/>
  <c r="I89" i="14" s="1"/>
  <c r="I19" i="59" s="1"/>
  <c r="H19" i="18"/>
  <c r="M89" i="14" s="1"/>
  <c r="M19" i="59" s="1"/>
  <c r="G19" i="18"/>
  <c r="F19"/>
  <c r="E19"/>
  <c r="F89" i="14" s="1"/>
  <c r="F19" i="59" s="1"/>
  <c r="D19" i="18"/>
  <c r="C19"/>
  <c r="D89" i="14" s="1"/>
  <c r="D19" i="59" s="1"/>
  <c r="B19" i="18"/>
  <c r="N18"/>
  <c r="L88" i="14" s="1"/>
  <c r="M18" i="18"/>
  <c r="K88" i="14" s="1"/>
  <c r="K18" i="59" s="1"/>
  <c r="L18" i="18"/>
  <c r="L20" s="1"/>
  <c r="K18"/>
  <c r="J18"/>
  <c r="J88" i="14" s="1"/>
  <c r="J18" i="59" s="1"/>
  <c r="I18" i="18"/>
  <c r="H18"/>
  <c r="M88" i="14" s="1"/>
  <c r="M18" i="59" s="1"/>
  <c r="G18" i="18"/>
  <c r="H88" i="14" s="1"/>
  <c r="F18" i="18"/>
  <c r="F20" s="1"/>
  <c r="E18"/>
  <c r="D18"/>
  <c r="C18"/>
  <c r="B18"/>
  <c r="L9"/>
  <c r="K9"/>
  <c r="N77" i="14" s="1"/>
  <c r="I9" i="18"/>
  <c r="G9"/>
  <c r="F9"/>
  <c r="F10" s="1"/>
  <c r="E9"/>
  <c r="D9"/>
  <c r="C9"/>
  <c r="B9"/>
  <c r="K22"/>
  <c r="J22"/>
  <c r="I22"/>
  <c r="H22"/>
  <c r="K12"/>
  <c r="J12"/>
  <c r="I12"/>
  <c r="H12"/>
  <c r="W92"/>
  <c r="V92"/>
  <c r="U92"/>
  <c r="T92"/>
  <c r="S92"/>
  <c r="R92"/>
  <c r="Q92"/>
  <c r="N6" i="17" s="1"/>
  <c r="P92" i="18"/>
  <c r="D6" i="17" s="1"/>
  <c r="O92" i="18"/>
  <c r="C6" i="17" s="1"/>
  <c r="N92" i="18"/>
  <c r="M92"/>
  <c r="W91"/>
  <c r="V91"/>
  <c r="U91"/>
  <c r="T91"/>
  <c r="S91"/>
  <c r="R91"/>
  <c r="Q91"/>
  <c r="P91"/>
  <c r="O91"/>
  <c r="N91"/>
  <c r="M91"/>
  <c r="W90"/>
  <c r="V90"/>
  <c r="U90"/>
  <c r="T90"/>
  <c r="S90"/>
  <c r="R90"/>
  <c r="Q90"/>
  <c r="P90"/>
  <c r="O90"/>
  <c r="C16" i="16" s="1"/>
  <c r="N90" i="18"/>
  <c r="B16" i="16" s="1"/>
  <c r="M90" i="18"/>
  <c r="W89"/>
  <c r="V89"/>
  <c r="U89"/>
  <c r="T89"/>
  <c r="S89"/>
  <c r="R89"/>
  <c r="Q89"/>
  <c r="J9" s="1"/>
  <c r="J77" i="14" s="1"/>
  <c r="J9" i="59" s="1"/>
  <c r="P89" i="18"/>
  <c r="O89"/>
  <c r="N89"/>
  <c r="M89"/>
  <c r="W61"/>
  <c r="V61"/>
  <c r="U61"/>
  <c r="T61"/>
  <c r="L6" i="17" s="1"/>
  <c r="S61" i="18"/>
  <c r="F6" i="17" s="1"/>
  <c r="R61" i="18"/>
  <c r="Q61"/>
  <c r="P61"/>
  <c r="O61"/>
  <c r="N61"/>
  <c r="M61"/>
  <c r="W60"/>
  <c r="V60"/>
  <c r="U60"/>
  <c r="T60"/>
  <c r="S60"/>
  <c r="R60"/>
  <c r="Q60"/>
  <c r="P60"/>
  <c r="D13" i="15" s="1"/>
  <c r="O60" i="18"/>
  <c r="C13" i="15" s="1"/>
  <c r="N60" i="18"/>
  <c r="M60"/>
  <c r="W59"/>
  <c r="V59"/>
  <c r="U59"/>
  <c r="T59"/>
  <c r="S59"/>
  <c r="R59"/>
  <c r="Q59"/>
  <c r="P59"/>
  <c r="O59"/>
  <c r="N59"/>
  <c r="M59"/>
  <c r="W58"/>
  <c r="V58"/>
  <c r="U58"/>
  <c r="T58"/>
  <c r="S58"/>
  <c r="R58"/>
  <c r="Q58"/>
  <c r="P58"/>
  <c r="O58"/>
  <c r="N58"/>
  <c r="C98" s="1"/>
  <c r="M58"/>
  <c r="G22"/>
  <c r="F22"/>
  <c r="E22"/>
  <c r="D22"/>
  <c r="C22"/>
  <c r="K20"/>
  <c r="D20"/>
  <c r="D88" i="14"/>
  <c r="D18" i="59" s="1"/>
  <c r="B17" i="18"/>
  <c r="G12"/>
  <c r="F12"/>
  <c r="E12"/>
  <c r="D12"/>
  <c r="C12"/>
  <c r="L10"/>
  <c r="G10"/>
  <c r="E77" i="14"/>
  <c r="E9" i="59" s="1"/>
  <c r="B6" i="18"/>
  <c r="B74" i="14" s="1"/>
  <c r="B6" i="59" s="1"/>
  <c r="B5" i="18"/>
  <c r="B4"/>
  <c r="B72" i="14" s="1"/>
  <c r="B4" i="59" s="1"/>
  <c r="D5" i="17"/>
  <c r="B19" i="6"/>
  <c r="B18"/>
  <c r="B5"/>
  <c r="C29" i="14" s="1"/>
  <c r="B6" i="6"/>
  <c r="C64" i="14" s="1"/>
  <c r="P7" i="48"/>
  <c r="O7"/>
  <c r="M7"/>
  <c r="K7"/>
  <c r="I7"/>
  <c r="H7"/>
  <c r="G7"/>
  <c r="P10"/>
  <c r="O10"/>
  <c r="N10"/>
  <c r="L10"/>
  <c r="K10"/>
  <c r="J10"/>
  <c r="I10"/>
  <c r="H10"/>
  <c r="F10"/>
  <c r="E10"/>
  <c r="D10"/>
  <c r="C10"/>
  <c r="P9"/>
  <c r="O9"/>
  <c r="N9"/>
  <c r="L9"/>
  <c r="K9"/>
  <c r="J9"/>
  <c r="I9"/>
  <c r="F9"/>
  <c r="C9"/>
  <c r="P13"/>
  <c r="O13"/>
  <c r="N13"/>
  <c r="L13"/>
  <c r="K13"/>
  <c r="J13"/>
  <c r="I13"/>
  <c r="F13"/>
  <c r="E13"/>
  <c r="D13"/>
  <c r="C13"/>
  <c r="B13"/>
  <c r="M8"/>
  <c r="K8"/>
  <c r="I8"/>
  <c r="H8"/>
  <c r="G8"/>
  <c r="B12"/>
  <c r="P17"/>
  <c r="O17"/>
  <c r="O32" s="1"/>
  <c r="M4"/>
  <c r="L4"/>
  <c r="K4"/>
  <c r="I4"/>
  <c r="H4"/>
  <c r="G4"/>
  <c r="P11"/>
  <c r="P29" s="1"/>
  <c r="O11"/>
  <c r="N11"/>
  <c r="M11"/>
  <c r="L11"/>
  <c r="K11"/>
  <c r="J11"/>
  <c r="I11"/>
  <c r="H11"/>
  <c r="G11"/>
  <c r="F11"/>
  <c r="E11"/>
  <c r="D11"/>
  <c r="C11"/>
  <c r="B11"/>
  <c r="P32"/>
  <c r="O31"/>
  <c r="P28"/>
  <c r="P27"/>
  <c r="P25"/>
  <c r="O89" i="14"/>
  <c r="O19" i="59" s="1"/>
  <c r="L89" i="14"/>
  <c r="L19" i="59" s="1"/>
  <c r="K89" i="14"/>
  <c r="K19" i="59" s="1"/>
  <c r="H89" i="14"/>
  <c r="H19" i="59" s="1"/>
  <c r="E89" i="14"/>
  <c r="E19" i="59" s="1"/>
  <c r="I88" i="14"/>
  <c r="I18" i="59" s="1"/>
  <c r="G88" i="14"/>
  <c r="G18" i="59" s="1"/>
  <c r="F88" i="14"/>
  <c r="F18" i="59" s="1"/>
  <c r="E88" i="14"/>
  <c r="E18" i="59" s="1"/>
  <c r="O87" i="14"/>
  <c r="O17" i="59" s="1"/>
  <c r="N87" i="14"/>
  <c r="N17" i="59" s="1"/>
  <c r="L87" i="14"/>
  <c r="L17" i="59" s="1"/>
  <c r="K87" i="14"/>
  <c r="K17" i="59" s="1"/>
  <c r="H87" i="14"/>
  <c r="H17" i="59" s="1"/>
  <c r="G87" i="14"/>
  <c r="G17" i="59" s="1"/>
  <c r="E87" i="14"/>
  <c r="E17" i="59" s="1"/>
  <c r="E20" s="1"/>
  <c r="O77" i="14"/>
  <c r="O9" i="59" s="1"/>
  <c r="L77" i="14"/>
  <c r="L9" i="59" s="1"/>
  <c r="K77" i="14"/>
  <c r="K9" i="59" s="1"/>
  <c r="G77" i="14"/>
  <c r="G9" i="59" s="1"/>
  <c r="O76" i="14"/>
  <c r="O8" i="59" s="1"/>
  <c r="N76" i="14"/>
  <c r="N8" i="59" s="1"/>
  <c r="L76" i="14"/>
  <c r="L8" i="59" s="1"/>
  <c r="K76" i="14"/>
  <c r="K8" i="59" s="1"/>
  <c r="K10" s="1"/>
  <c r="H76" i="14"/>
  <c r="H8" i="59" s="1"/>
  <c r="G76" i="14"/>
  <c r="G8" i="59" s="1"/>
  <c r="E76" i="14"/>
  <c r="E8" i="59" s="1"/>
  <c r="B75" i="14"/>
  <c r="B7" i="59" s="1"/>
  <c r="B73" i="14"/>
  <c r="B5" i="59" s="1"/>
  <c r="Q54" i="14"/>
  <c r="Q56" s="1"/>
  <c r="P54"/>
  <c r="P56" s="1"/>
  <c r="L54"/>
  <c r="L56" s="1"/>
  <c r="J54"/>
  <c r="I54"/>
  <c r="I56" s="1"/>
  <c r="H54"/>
  <c r="H56" s="1"/>
  <c r="Q24"/>
  <c r="Q26" s="1"/>
  <c r="P24"/>
  <c r="P26" s="1"/>
  <c r="N24"/>
  <c r="L24"/>
  <c r="L26" s="1"/>
  <c r="J24"/>
  <c r="I24"/>
  <c r="H24"/>
  <c r="Q50"/>
  <c r="P50"/>
  <c r="P52" s="1"/>
  <c r="O50"/>
  <c r="M50"/>
  <c r="L50"/>
  <c r="K50"/>
  <c r="J50"/>
  <c r="G50"/>
  <c r="D50"/>
  <c r="Q49"/>
  <c r="P49"/>
  <c r="Q20"/>
  <c r="P20"/>
  <c r="O20"/>
  <c r="M20"/>
  <c r="L20"/>
  <c r="K20"/>
  <c r="J20"/>
  <c r="G20"/>
  <c r="D20"/>
  <c r="Q19"/>
  <c r="P19"/>
  <c r="O19"/>
  <c r="M19"/>
  <c r="L19"/>
  <c r="K19"/>
  <c r="J19"/>
  <c r="I19"/>
  <c r="G19"/>
  <c r="F19"/>
  <c r="E19"/>
  <c r="D19"/>
  <c r="Q48"/>
  <c r="P48"/>
  <c r="O48"/>
  <c r="M48"/>
  <c r="L48"/>
  <c r="K48"/>
  <c r="J48"/>
  <c r="G48"/>
  <c r="D48"/>
  <c r="Q18"/>
  <c r="P18"/>
  <c r="O18"/>
  <c r="O22" s="1"/>
  <c r="M18"/>
  <c r="M22" s="1"/>
  <c r="L18"/>
  <c r="K18"/>
  <c r="K22" s="1"/>
  <c r="J18"/>
  <c r="G18"/>
  <c r="F18"/>
  <c r="E18"/>
  <c r="D18"/>
  <c r="C18"/>
  <c r="L43"/>
  <c r="J43"/>
  <c r="I43"/>
  <c r="H43"/>
  <c r="N13"/>
  <c r="L13"/>
  <c r="J13"/>
  <c r="I13"/>
  <c r="H13"/>
  <c r="C12"/>
  <c r="L41"/>
  <c r="J41"/>
  <c r="I41"/>
  <c r="H41"/>
  <c r="N11"/>
  <c r="M11"/>
  <c r="L11"/>
  <c r="J11"/>
  <c r="I11"/>
  <c r="H11"/>
  <c r="I39"/>
  <c r="H39"/>
  <c r="Q9"/>
  <c r="P9"/>
  <c r="O9"/>
  <c r="N9"/>
  <c r="M9"/>
  <c r="L9"/>
  <c r="K9"/>
  <c r="J9"/>
  <c r="I9"/>
  <c r="H9"/>
  <c r="G9"/>
  <c r="F9"/>
  <c r="E9"/>
  <c r="D9"/>
  <c r="C9"/>
  <c r="R90"/>
  <c r="R78"/>
  <c r="J56"/>
  <c r="Q52"/>
  <c r="R44"/>
  <c r="E25"/>
  <c r="E55" s="1"/>
  <c r="C25"/>
  <c r="B14" i="48" s="1"/>
  <c r="N26" i="14"/>
  <c r="J26"/>
  <c r="I26"/>
  <c r="H26"/>
  <c r="J22"/>
  <c r="G22"/>
  <c r="R12"/>
  <c r="N78" l="1"/>
  <c r="N9" i="59"/>
  <c r="L90" i="14"/>
  <c r="L18" i="59"/>
  <c r="L20" s="1"/>
  <c r="Q14" i="48"/>
  <c r="D14"/>
  <c r="K10" i="18"/>
  <c r="B20"/>
  <c r="I77" i="14"/>
  <c r="I9" i="59" s="1"/>
  <c r="O10"/>
  <c r="H20"/>
  <c r="B98" i="18"/>
  <c r="H90" i="14"/>
  <c r="H18" i="59"/>
  <c r="N10"/>
  <c r="K20"/>
  <c r="P22" i="14"/>
  <c r="L78"/>
  <c r="K78"/>
  <c r="H9" i="18"/>
  <c r="O9" s="1"/>
  <c r="Q22" i="14"/>
  <c r="G10" i="59"/>
  <c r="L10"/>
  <c r="D22" i="14"/>
  <c r="L22"/>
  <c r="E10" i="59"/>
  <c r="B8" i="18"/>
  <c r="B10" s="1"/>
  <c r="F13" i="15"/>
  <c r="B13"/>
  <c r="N13"/>
  <c r="L13"/>
  <c r="F77" i="14"/>
  <c r="F9" i="59" s="1"/>
  <c r="I101" i="18"/>
  <c r="H8" s="1"/>
  <c r="E101"/>
  <c r="E8" s="1"/>
  <c r="F101"/>
  <c r="H101"/>
  <c r="D101"/>
  <c r="G101"/>
  <c r="C101"/>
  <c r="B101"/>
  <c r="C8" s="1"/>
  <c r="I102"/>
  <c r="H17" s="1"/>
  <c r="E102"/>
  <c r="E17" s="1"/>
  <c r="C102"/>
  <c r="F102"/>
  <c r="H102"/>
  <c r="D102"/>
  <c r="G102"/>
  <c r="B102"/>
  <c r="C17" s="1"/>
  <c r="C89" i="14"/>
  <c r="C19" i="59" s="1"/>
  <c r="O19" i="18"/>
  <c r="O78" i="14"/>
  <c r="N88"/>
  <c r="D10" i="18"/>
  <c r="E78" i="14"/>
  <c r="D77"/>
  <c r="D9" i="59" s="1"/>
  <c r="H77" i="14"/>
  <c r="G90"/>
  <c r="O88"/>
  <c r="G89"/>
  <c r="G19" i="59" s="1"/>
  <c r="G20" s="1"/>
  <c r="G20" i="18"/>
  <c r="O18"/>
  <c r="G78" i="14"/>
  <c r="O25" i="48"/>
  <c r="O27"/>
  <c r="Q11"/>
  <c r="O29"/>
  <c r="P31"/>
  <c r="O28"/>
  <c r="Q12"/>
  <c r="O24"/>
  <c r="O30"/>
  <c r="P24"/>
  <c r="P30"/>
  <c r="E90" i="14"/>
  <c r="R9"/>
  <c r="R25"/>
  <c r="K90"/>
  <c r="H78" l="1"/>
  <c r="H9" i="59"/>
  <c r="H10" s="1"/>
  <c r="M77" i="14"/>
  <c r="Q89"/>
  <c r="P19" i="59" s="1"/>
  <c r="O90" i="14"/>
  <c r="O18" i="59"/>
  <c r="O20" s="1"/>
  <c r="N90" i="14"/>
  <c r="N18" i="59"/>
  <c r="N20" s="1"/>
  <c r="B89" i="14"/>
  <c r="B19" i="59" s="1"/>
  <c r="J17" i="18"/>
  <c r="J20" s="1"/>
  <c r="I8"/>
  <c r="H20"/>
  <c r="M87" i="14"/>
  <c r="F76"/>
  <c r="E10" i="18"/>
  <c r="C20"/>
  <c r="D87" i="14"/>
  <c r="D17" i="59" s="1"/>
  <c r="D20" s="1"/>
  <c r="H10" i="18"/>
  <c r="M76" i="14"/>
  <c r="B88"/>
  <c r="B18" i="59" s="1"/>
  <c r="I17" i="18"/>
  <c r="O17" s="1"/>
  <c r="O20" s="1"/>
  <c r="D76" i="14"/>
  <c r="D8" i="59" s="1"/>
  <c r="D10" s="1"/>
  <c r="C10" i="18"/>
  <c r="J8"/>
  <c r="C88" i="14"/>
  <c r="C18" i="59" s="1"/>
  <c r="I10" i="18"/>
  <c r="I76" i="14"/>
  <c r="I8" i="59" s="1"/>
  <c r="I10" s="1"/>
  <c r="B77" i="14"/>
  <c r="B9" i="59" s="1"/>
  <c r="E20" i="18"/>
  <c r="F87" i="14"/>
  <c r="Q88"/>
  <c r="P18" i="59" s="1"/>
  <c r="H14" i="15"/>
  <c r="H16" s="1"/>
  <c r="G14"/>
  <c r="G16" s="1"/>
  <c r="M90" i="14" l="1"/>
  <c r="M17" i="59"/>
  <c r="M20" s="1"/>
  <c r="M9"/>
  <c r="Q77" i="14"/>
  <c r="P9" i="59" s="1"/>
  <c r="F90" i="14"/>
  <c r="F17" i="59"/>
  <c r="F20" s="1"/>
  <c r="J87" i="14"/>
  <c r="M78"/>
  <c r="M8" i="59"/>
  <c r="F78" i="14"/>
  <c r="F8" i="59"/>
  <c r="F10" s="1"/>
  <c r="I10" i="14"/>
  <c r="I16" s="1"/>
  <c r="H5" i="48"/>
  <c r="G5"/>
  <c r="H10" i="14"/>
  <c r="H16" s="1"/>
  <c r="O8" i="18"/>
  <c r="O10" s="1"/>
  <c r="C77" i="14"/>
  <c r="C9" i="59" s="1"/>
  <c r="Q76" i="14"/>
  <c r="D78"/>
  <c r="I78"/>
  <c r="B76"/>
  <c r="J10" i="18"/>
  <c r="J76" i="14"/>
  <c r="I87"/>
  <c r="I17" i="59" s="1"/>
  <c r="I20" s="1"/>
  <c r="I20" i="18"/>
  <c r="Q87" i="14"/>
  <c r="D90"/>
  <c r="C87"/>
  <c r="A31" i="23"/>
  <c r="A32"/>
  <c r="A33"/>
  <c r="Q90" i="14" l="1"/>
  <c r="B17" i="6" s="1"/>
  <c r="P17" i="59"/>
  <c r="P20" s="1"/>
  <c r="B78" i="14"/>
  <c r="B8" i="59"/>
  <c r="B10" s="1"/>
  <c r="M10"/>
  <c r="Q78" i="14"/>
  <c r="B9" i="6" s="1"/>
  <c r="P8" i="59"/>
  <c r="P10" s="1"/>
  <c r="C90" i="14"/>
  <c r="C17" i="59"/>
  <c r="C20" s="1"/>
  <c r="J78" i="14"/>
  <c r="J8" i="59"/>
  <c r="J10" s="1"/>
  <c r="J90" i="14"/>
  <c r="J17" i="59"/>
  <c r="J20" s="1"/>
  <c r="B87" i="14"/>
  <c r="I90"/>
  <c r="C76"/>
  <c r="B11" i="44"/>
  <c r="B25"/>
  <c r="B24"/>
  <c r="B90" i="14" l="1"/>
  <c r="B17" i="59"/>
  <c r="B20" s="1"/>
  <c r="C78" i="14"/>
  <c r="B4" i="6" s="1"/>
  <c r="C8" i="59"/>
  <c r="C10" s="1"/>
  <c r="A6" i="23"/>
  <c r="A5"/>
  <c r="A2" l="1"/>
  <c r="A3" l="1"/>
  <c r="A4"/>
  <c r="A7"/>
  <c r="A8"/>
  <c r="A9"/>
  <c r="A10"/>
  <c r="A11"/>
  <c r="A12"/>
  <c r="A13"/>
  <c r="A14"/>
  <c r="A15"/>
  <c r="A16"/>
  <c r="A17"/>
  <c r="A18"/>
  <c r="A19"/>
  <c r="A20"/>
  <c r="A21"/>
  <c r="A22"/>
  <c r="A23"/>
  <c r="A24"/>
  <c r="A25"/>
  <c r="A26"/>
  <c r="A27"/>
  <c r="A28"/>
  <c r="A29"/>
  <c r="A30"/>
  <c r="E7" i="22" l="1"/>
  <c r="E11"/>
  <c r="D9"/>
  <c r="E9"/>
  <c r="E8"/>
  <c r="E10"/>
  <c r="B11"/>
  <c r="B10"/>
  <c r="B9"/>
  <c r="E6"/>
  <c r="B7"/>
  <c r="B6"/>
  <c r="D11"/>
  <c r="D10"/>
  <c r="B8"/>
  <c r="D8"/>
  <c r="D7"/>
  <c r="D6"/>
  <c r="B52"/>
  <c r="AC25" i="5"/>
  <c r="AB25"/>
  <c r="AA25"/>
  <c r="Z25"/>
  <c r="Y25"/>
  <c r="X25"/>
  <c r="W25"/>
  <c r="V25"/>
  <c r="U25"/>
  <c r="T25"/>
  <c r="S25"/>
  <c r="R25"/>
  <c r="Q25"/>
  <c r="P25"/>
  <c r="O25"/>
  <c r="N25"/>
  <c r="M25"/>
  <c r="L25"/>
  <c r="K25"/>
  <c r="J25"/>
  <c r="I25"/>
  <c r="H25"/>
  <c r="G25"/>
  <c r="F25"/>
  <c r="E25"/>
  <c r="D25"/>
  <c r="C25"/>
  <c r="B4" i="21" l="1"/>
  <c r="C42" i="22" l="1"/>
  <c r="H9" l="1"/>
  <c r="H10"/>
  <c r="H8"/>
  <c r="H6"/>
  <c r="H11"/>
  <c r="H7"/>
  <c r="M15" i="19"/>
  <c r="M14" i="15" s="1"/>
  <c r="M16" s="1"/>
  <c r="O15" i="19"/>
  <c r="P15"/>
  <c r="N10" i="14" l="1"/>
  <c r="N16" s="1"/>
  <c r="M5" i="48"/>
  <c r="E35" i="50"/>
  <c r="E34" s="1"/>
  <c r="E33"/>
  <c r="E32" s="1"/>
  <c r="E31"/>
  <c r="E30" s="1"/>
  <c r="E29"/>
  <c r="E28" s="1"/>
  <c r="N24" i="22" l="1"/>
  <c r="N25" l="1"/>
  <c r="E77" l="1"/>
  <c r="B28" i="17" l="1"/>
  <c r="B27"/>
  <c r="B26"/>
  <c r="B31" i="19" l="1"/>
  <c r="B24"/>
  <c r="B46" i="15" l="1"/>
  <c r="B69" i="13"/>
  <c r="B35" i="19" l="1"/>
  <c r="B26"/>
  <c r="B27" s="1"/>
  <c r="B6" i="13" l="1"/>
  <c r="B17" i="17" l="1"/>
  <c r="B34" l="1"/>
  <c r="B18" i="13" l="1"/>
  <c r="B19"/>
  <c r="B20"/>
  <c r="B21"/>
  <c r="B6" i="16" l="1"/>
  <c r="L5" i="17" l="1"/>
  <c r="D8"/>
  <c r="L16" i="16"/>
  <c r="L18" s="1"/>
  <c r="F16"/>
  <c r="N16"/>
  <c r="D16"/>
  <c r="A78" i="22"/>
  <c r="C77"/>
  <c r="A77"/>
  <c r="A76"/>
  <c r="E75"/>
  <c r="D75"/>
  <c r="A75"/>
  <c r="E74"/>
  <c r="D74"/>
  <c r="A74"/>
  <c r="B64"/>
  <c r="N56"/>
  <c r="M56"/>
  <c r="L56"/>
  <c r="K56"/>
  <c r="J56"/>
  <c r="I56"/>
  <c r="H56"/>
  <c r="G56"/>
  <c r="F56"/>
  <c r="E56"/>
  <c r="D56"/>
  <c r="B50"/>
  <c r="B54" s="1"/>
  <c r="P50"/>
  <c r="P54" s="1"/>
  <c r="O50"/>
  <c r="O54" s="1"/>
  <c r="N50"/>
  <c r="N54" s="1"/>
  <c r="L50"/>
  <c r="L54" s="1"/>
  <c r="K50"/>
  <c r="K54" s="1"/>
  <c r="J50"/>
  <c r="J54" s="1"/>
  <c r="I50"/>
  <c r="I54" s="1"/>
  <c r="H50"/>
  <c r="H54" s="1"/>
  <c r="F50"/>
  <c r="F54" s="1"/>
  <c r="E50"/>
  <c r="E54" s="1"/>
  <c r="D50"/>
  <c r="D54" s="1"/>
  <c r="C50"/>
  <c r="C54" s="1"/>
  <c r="C35"/>
  <c r="N16"/>
  <c r="M16"/>
  <c r="L16"/>
  <c r="K16"/>
  <c r="J16"/>
  <c r="I16"/>
  <c r="H16"/>
  <c r="G16"/>
  <c r="F16"/>
  <c r="E16"/>
  <c r="D16"/>
  <c r="B29" i="17"/>
  <c r="C29" s="1"/>
  <c r="C28"/>
  <c r="C27"/>
  <c r="C26"/>
  <c r="J5"/>
  <c r="N10"/>
  <c r="M10"/>
  <c r="M12" s="1"/>
  <c r="N54" i="14" s="1"/>
  <c r="N56" s="1"/>
  <c r="L10" i="17"/>
  <c r="K10"/>
  <c r="J10"/>
  <c r="I10"/>
  <c r="H10"/>
  <c r="G10"/>
  <c r="F10"/>
  <c r="E10"/>
  <c r="D10"/>
  <c r="F5"/>
  <c r="F8" s="1"/>
  <c r="C5"/>
  <c r="B5"/>
  <c r="B8" s="1"/>
  <c r="B51" i="16"/>
  <c r="P5" s="1"/>
  <c r="B45"/>
  <c r="B43"/>
  <c r="B37"/>
  <c r="C37" s="1"/>
  <c r="F15" s="1"/>
  <c r="B36"/>
  <c r="C36" s="1"/>
  <c r="J14" s="1"/>
  <c r="B35"/>
  <c r="B34"/>
  <c r="B12" s="1"/>
  <c r="B33"/>
  <c r="C33" s="1"/>
  <c r="F11" s="1"/>
  <c r="B32"/>
  <c r="C32" s="1"/>
  <c r="J10" s="1"/>
  <c r="B31"/>
  <c r="C31" s="1"/>
  <c r="F9" s="1"/>
  <c r="B30"/>
  <c r="C30" s="1"/>
  <c r="N8" s="1"/>
  <c r="B29"/>
  <c r="C29" s="1"/>
  <c r="N20"/>
  <c r="M20"/>
  <c r="M22" s="1"/>
  <c r="N43" i="14" s="1"/>
  <c r="L20" i="16"/>
  <c r="K20"/>
  <c r="J20"/>
  <c r="I20"/>
  <c r="H20"/>
  <c r="G20"/>
  <c r="F20"/>
  <c r="E20"/>
  <c r="D20"/>
  <c r="J15"/>
  <c r="D15"/>
  <c r="D14"/>
  <c r="D13"/>
  <c r="D12"/>
  <c r="D11"/>
  <c r="D10"/>
  <c r="D9"/>
  <c r="D8"/>
  <c r="D7"/>
  <c r="D6"/>
  <c r="C5"/>
  <c r="B40" i="15"/>
  <c r="B38"/>
  <c r="B32"/>
  <c r="C32" s="1"/>
  <c r="N12" s="1"/>
  <c r="B31"/>
  <c r="C31" s="1"/>
  <c r="E11" s="1"/>
  <c r="B30"/>
  <c r="C30" s="1"/>
  <c r="E10" s="1"/>
  <c r="B29"/>
  <c r="C29" s="1"/>
  <c r="J9" s="1"/>
  <c r="B28"/>
  <c r="C28" s="1"/>
  <c r="N8" s="1"/>
  <c r="B27"/>
  <c r="C27" s="1"/>
  <c r="F7" s="1"/>
  <c r="B26"/>
  <c r="C26" s="1"/>
  <c r="E6" s="1"/>
  <c r="N18"/>
  <c r="M18"/>
  <c r="L18"/>
  <c r="K18"/>
  <c r="J18"/>
  <c r="I18"/>
  <c r="H18"/>
  <c r="G18"/>
  <c r="F18"/>
  <c r="E18"/>
  <c r="D18"/>
  <c r="D12"/>
  <c r="D11"/>
  <c r="D10"/>
  <c r="D9"/>
  <c r="D8"/>
  <c r="D7"/>
  <c r="D6"/>
  <c r="P5"/>
  <c r="P16" s="1"/>
  <c r="C5"/>
  <c r="B77" i="13"/>
  <c r="P5" s="1"/>
  <c r="P8" s="1"/>
  <c r="B71"/>
  <c r="B52"/>
  <c r="B49"/>
  <c r="B45"/>
  <c r="B29"/>
  <c r="B32" s="1"/>
  <c r="B44" s="1"/>
  <c r="B28"/>
  <c r="B26"/>
  <c r="B25"/>
  <c r="B24"/>
  <c r="B23"/>
  <c r="B22"/>
  <c r="N10"/>
  <c r="N17" i="48" s="1"/>
  <c r="M10" i="13"/>
  <c r="M17" i="48" s="1"/>
  <c r="L10" i="13"/>
  <c r="L17" i="48" s="1"/>
  <c r="K10" i="13"/>
  <c r="K17" i="48" s="1"/>
  <c r="J10" i="13"/>
  <c r="J17" i="48" s="1"/>
  <c r="I10" i="13"/>
  <c r="I17" i="48" s="1"/>
  <c r="H10" i="13"/>
  <c r="H17" i="48" s="1"/>
  <c r="G10" i="13"/>
  <c r="G17" i="48" s="1"/>
  <c r="F10" i="13"/>
  <c r="F17" i="48" s="1"/>
  <c r="E10" i="13"/>
  <c r="E17" i="48" s="1"/>
  <c r="D10" i="13"/>
  <c r="D17" i="48" s="1"/>
  <c r="M8" i="13"/>
  <c r="L8"/>
  <c r="O5"/>
  <c r="O8" s="1"/>
  <c r="D5"/>
  <c r="D8" s="1"/>
  <c r="C5"/>
  <c r="C8" s="1"/>
  <c r="B5"/>
  <c r="B8" s="1"/>
  <c r="B5" i="9"/>
  <c r="E21" i="50"/>
  <c r="E20"/>
  <c r="E19"/>
  <c r="D18"/>
  <c r="E18" s="1"/>
  <c r="D17"/>
  <c r="E17" s="1"/>
  <c r="E16"/>
  <c r="E15"/>
  <c r="E14"/>
  <c r="E13"/>
  <c r="E12"/>
  <c r="E11"/>
  <c r="E10"/>
  <c r="E9"/>
  <c r="E8"/>
  <c r="E7"/>
  <c r="E6"/>
  <c r="E5"/>
  <c r="N29" i="20"/>
  <c r="M29"/>
  <c r="L29"/>
  <c r="K29"/>
  <c r="J29"/>
  <c r="I29"/>
  <c r="H29"/>
  <c r="G29"/>
  <c r="F29"/>
  <c r="E29"/>
  <c r="D29"/>
  <c r="H26"/>
  <c r="G26"/>
  <c r="E26"/>
  <c r="E27" s="1"/>
  <c r="E12" i="22" s="1"/>
  <c r="D26" i="20"/>
  <c r="D27" s="1"/>
  <c r="D12" i="22" s="1"/>
  <c r="B26" i="20"/>
  <c r="B27" s="1"/>
  <c r="B12" i="22" s="1"/>
  <c r="N17" i="49"/>
  <c r="M17"/>
  <c r="L17"/>
  <c r="K17"/>
  <c r="J17"/>
  <c r="I17"/>
  <c r="F17"/>
  <c r="E17"/>
  <c r="D17"/>
  <c r="B15"/>
  <c r="B6" i="9" s="1"/>
  <c r="N17" i="19"/>
  <c r="M17"/>
  <c r="M19" s="1"/>
  <c r="N39" i="14" s="1"/>
  <c r="L17" i="19"/>
  <c r="K17"/>
  <c r="J17"/>
  <c r="I17"/>
  <c r="F17"/>
  <c r="E17"/>
  <c r="D17"/>
  <c r="P19"/>
  <c r="Q39" i="14" s="1"/>
  <c r="O19" i="19"/>
  <c r="P39" i="14" s="1"/>
  <c r="N15" i="19"/>
  <c r="N14" i="15" s="1"/>
  <c r="L15" i="19"/>
  <c r="L14" i="15" s="1"/>
  <c r="K15" i="19"/>
  <c r="K14" i="15" s="1"/>
  <c r="K16" s="1"/>
  <c r="J15" i="19"/>
  <c r="J14" i="15" s="1"/>
  <c r="I15" i="19"/>
  <c r="F15"/>
  <c r="F14" i="15" s="1"/>
  <c r="E15" i="19"/>
  <c r="E14" i="15" s="1"/>
  <c r="D15" i="19"/>
  <c r="C15"/>
  <c r="C14" i="15" s="1"/>
  <c r="B15" i="19"/>
  <c r="B14" i="15" s="1"/>
  <c r="A7" i="31"/>
  <c r="A6"/>
  <c r="K28" i="48" l="1"/>
  <c r="K32"/>
  <c r="K27"/>
  <c r="K30"/>
  <c r="K25"/>
  <c r="K29"/>
  <c r="K22"/>
  <c r="K26"/>
  <c r="K31"/>
  <c r="K24"/>
  <c r="J24"/>
  <c r="J32"/>
  <c r="J30"/>
  <c r="J27"/>
  <c r="J31"/>
  <c r="J29"/>
  <c r="J28"/>
  <c r="P11" i="14"/>
  <c r="O4" i="48"/>
  <c r="G30"/>
  <c r="G29"/>
  <c r="G26"/>
  <c r="G32"/>
  <c r="G22"/>
  <c r="G25"/>
  <c r="G24"/>
  <c r="G23"/>
  <c r="B4"/>
  <c r="C11" i="14"/>
  <c r="C19"/>
  <c r="B10" i="48"/>
  <c r="E32"/>
  <c r="E31"/>
  <c r="E30"/>
  <c r="E29"/>
  <c r="E28"/>
  <c r="E24"/>
  <c r="M26"/>
  <c r="M22"/>
  <c r="M25"/>
  <c r="M32"/>
  <c r="M29"/>
  <c r="M24"/>
  <c r="M30"/>
  <c r="M23"/>
  <c r="B8" i="9"/>
  <c r="B6" i="48" s="1"/>
  <c r="Q6" s="1"/>
  <c r="B7"/>
  <c r="C24" i="14"/>
  <c r="C26" s="1"/>
  <c r="P4" i="48"/>
  <c r="Q11" i="14"/>
  <c r="I32" i="48"/>
  <c r="I28"/>
  <c r="I22"/>
  <c r="I31"/>
  <c r="I27"/>
  <c r="I26"/>
  <c r="I29"/>
  <c r="I30"/>
  <c r="I24"/>
  <c r="I25"/>
  <c r="E11" i="14"/>
  <c r="D4" i="48"/>
  <c r="D22" s="1"/>
  <c r="H32"/>
  <c r="H29"/>
  <c r="H28"/>
  <c r="H26"/>
  <c r="H24"/>
  <c r="H25"/>
  <c r="H22"/>
  <c r="H30"/>
  <c r="H23"/>
  <c r="C4"/>
  <c r="D11" i="14"/>
  <c r="F24" i="48"/>
  <c r="F32"/>
  <c r="F29"/>
  <c r="F27"/>
  <c r="F30"/>
  <c r="F31"/>
  <c r="F28"/>
  <c r="N30"/>
  <c r="N27"/>
  <c r="N24"/>
  <c r="N32"/>
  <c r="N29"/>
  <c r="N28"/>
  <c r="N31"/>
  <c r="K5"/>
  <c r="L10" i="14"/>
  <c r="L16" s="1"/>
  <c r="L27" s="1"/>
  <c r="D29" i="48"/>
  <c r="D30"/>
  <c r="D28"/>
  <c r="D24"/>
  <c r="D31"/>
  <c r="D32"/>
  <c r="L32"/>
  <c r="L29"/>
  <c r="L28"/>
  <c r="L27"/>
  <c r="L24"/>
  <c r="L31"/>
  <c r="L22"/>
  <c r="L30"/>
  <c r="Q10" i="14"/>
  <c r="P5" i="48"/>
  <c r="P23" s="1"/>
  <c r="N46" i="14"/>
  <c r="G24"/>
  <c r="G26" s="1"/>
  <c r="F7" i="48"/>
  <c r="F25" s="1"/>
  <c r="L8"/>
  <c r="L26" s="1"/>
  <c r="M13" i="14"/>
  <c r="C16" i="15"/>
  <c r="C5" i="48" s="1"/>
  <c r="C18" i="16"/>
  <c r="D7" i="48"/>
  <c r="E24" i="14"/>
  <c r="B13" i="16"/>
  <c r="C35"/>
  <c r="D14" i="15"/>
  <c r="P18" i="16"/>
  <c r="N5" i="17"/>
  <c r="I14" i="15"/>
  <c r="I16" s="1"/>
  <c r="J8" i="17"/>
  <c r="L16" i="15"/>
  <c r="B67" i="22"/>
  <c r="M11"/>
  <c r="G10"/>
  <c r="M9"/>
  <c r="G8"/>
  <c r="M7"/>
  <c r="G6"/>
  <c r="G11"/>
  <c r="M8"/>
  <c r="G7"/>
  <c r="M10"/>
  <c r="G9"/>
  <c r="M6"/>
  <c r="B7" i="15"/>
  <c r="O5" i="16"/>
  <c r="B38" i="13"/>
  <c r="B50" s="1"/>
  <c r="B11" i="15"/>
  <c r="B11" i="16"/>
  <c r="J19" i="19"/>
  <c r="K39" i="14" s="1"/>
  <c r="N19" i="19"/>
  <c r="O39" i="14" s="1"/>
  <c r="D12" i="17"/>
  <c r="E54" i="14" s="1"/>
  <c r="E56" s="1"/>
  <c r="D31" i="20"/>
  <c r="E48" i="14" s="1"/>
  <c r="L22" i="16"/>
  <c r="M43" i="14" s="1"/>
  <c r="K19" i="19"/>
  <c r="L39" i="14" s="1"/>
  <c r="I19" i="19"/>
  <c r="J39" i="14" s="1"/>
  <c r="E31" i="20"/>
  <c r="F48" i="14" s="1"/>
  <c r="L12" i="13"/>
  <c r="M41" i="14" s="1"/>
  <c r="E8" i="16"/>
  <c r="K20" i="15"/>
  <c r="L40" i="14" s="1"/>
  <c r="F19" i="19"/>
  <c r="G39" i="14" s="1"/>
  <c r="L19" i="19"/>
  <c r="M39" i="14" s="1"/>
  <c r="M12" i="13"/>
  <c r="N41" i="14" s="1"/>
  <c r="C78" i="22"/>
  <c r="M51" s="1"/>
  <c r="M27" i="20"/>
  <c r="H27"/>
  <c r="J7" i="15"/>
  <c r="J11"/>
  <c r="N7"/>
  <c r="N11"/>
  <c r="E7"/>
  <c r="F11"/>
  <c r="L58" i="22"/>
  <c r="M49" i="14" s="1"/>
  <c r="M52" s="1"/>
  <c r="E58" i="22"/>
  <c r="F49" i="14" s="1"/>
  <c r="J58" i="22"/>
  <c r="K49" i="14" s="1"/>
  <c r="K52" s="1"/>
  <c r="O58" i="22"/>
  <c r="K58"/>
  <c r="L49" i="14" s="1"/>
  <c r="L52" s="1"/>
  <c r="P58" i="22"/>
  <c r="I58"/>
  <c r="J49" i="14" s="1"/>
  <c r="J52" s="1"/>
  <c r="N58" i="22"/>
  <c r="O49" i="14" s="1"/>
  <c r="O52" s="1"/>
  <c r="F58" i="22"/>
  <c r="G49" i="14" s="1"/>
  <c r="G52" s="1"/>
  <c r="G27" i="20"/>
  <c r="D58" i="22"/>
  <c r="E49" i="14" s="1"/>
  <c r="H58" i="22"/>
  <c r="I49" i="14" s="1"/>
  <c r="E12" i="15"/>
  <c r="O5"/>
  <c r="O16" s="1"/>
  <c r="M20"/>
  <c r="N40" i="14" s="1"/>
  <c r="G20" i="15"/>
  <c r="H40" i="14" s="1"/>
  <c r="H46" s="1"/>
  <c r="H20" i="15"/>
  <c r="I40" i="14" s="1"/>
  <c r="I46" s="1"/>
  <c r="F8" i="16"/>
  <c r="J9"/>
  <c r="F6" i="15"/>
  <c r="F8"/>
  <c r="N10" i="16"/>
  <c r="E14"/>
  <c r="D5" i="15"/>
  <c r="D16" s="1"/>
  <c r="B8"/>
  <c r="J8"/>
  <c r="F12"/>
  <c r="I20"/>
  <c r="J40" i="14" s="1"/>
  <c r="J46" s="1"/>
  <c r="J61" s="1"/>
  <c r="B9" i="16"/>
  <c r="N9"/>
  <c r="E8" i="15"/>
  <c r="B10"/>
  <c r="E9" i="16"/>
  <c r="B6" i="15"/>
  <c r="N9"/>
  <c r="J10"/>
  <c r="D5" i="16"/>
  <c r="F10"/>
  <c r="J11"/>
  <c r="B15"/>
  <c r="F14"/>
  <c r="J6" i="15"/>
  <c r="F10"/>
  <c r="B12"/>
  <c r="J12"/>
  <c r="B7" i="16"/>
  <c r="E10"/>
  <c r="N14"/>
  <c r="N11"/>
  <c r="N6" i="15"/>
  <c r="F9"/>
  <c r="N10"/>
  <c r="B8" i="16"/>
  <c r="J8"/>
  <c r="B10"/>
  <c r="E11"/>
  <c r="B14"/>
  <c r="E15"/>
  <c r="E7"/>
  <c r="J7"/>
  <c r="F7"/>
  <c r="N7"/>
  <c r="E9" i="15"/>
  <c r="N15" i="16"/>
  <c r="C34"/>
  <c r="B9" i="15"/>
  <c r="E19" i="19"/>
  <c r="F39" i="14" s="1"/>
  <c r="D19" i="19"/>
  <c r="E39" i="14" s="1"/>
  <c r="E5" i="22"/>
  <c r="E14" s="1"/>
  <c r="D5"/>
  <c r="D14" s="1"/>
  <c r="B5"/>
  <c r="B14" s="1"/>
  <c r="B39" i="13"/>
  <c r="B51" s="1"/>
  <c r="F5" s="1"/>
  <c r="F8" s="1"/>
  <c r="P12"/>
  <c r="Q41" i="14" s="1"/>
  <c r="D12" i="13"/>
  <c r="E41" i="14" s="1"/>
  <c r="C22" i="13"/>
  <c r="C21"/>
  <c r="C20"/>
  <c r="O12"/>
  <c r="P41" i="14" s="1"/>
  <c r="E5" i="17"/>
  <c r="C8"/>
  <c r="E20" i="14" l="1"/>
  <c r="E22" s="1"/>
  <c r="D9" i="48"/>
  <c r="D27" s="1"/>
  <c r="P10" i="14"/>
  <c r="O5" i="48"/>
  <c r="O23" s="1"/>
  <c r="J7"/>
  <c r="J25" s="1"/>
  <c r="K24" i="14"/>
  <c r="K26" s="1"/>
  <c r="C20"/>
  <c r="B9" i="48"/>
  <c r="C22" i="14"/>
  <c r="D10"/>
  <c r="J12" i="17"/>
  <c r="K54" i="14" s="1"/>
  <c r="K56" s="1"/>
  <c r="L46"/>
  <c r="L61" s="1"/>
  <c r="L63" s="1"/>
  <c r="K33" i="48"/>
  <c r="M12" i="22"/>
  <c r="M13" i="48"/>
  <c r="M31" s="1"/>
  <c r="N18" i="14"/>
  <c r="G13" i="48"/>
  <c r="H18" i="14"/>
  <c r="H13" i="48"/>
  <c r="H31" s="1"/>
  <c r="I18" i="14"/>
  <c r="P22" i="16"/>
  <c r="Q43" i="14" s="1"/>
  <c r="Q13"/>
  <c r="Q16" s="1"/>
  <c r="Q27" s="1"/>
  <c r="P8" i="48"/>
  <c r="P26" s="1"/>
  <c r="K23"/>
  <c r="K15"/>
  <c r="O22"/>
  <c r="I5"/>
  <c r="J10" i="14"/>
  <c r="J16" s="1"/>
  <c r="J27" s="1"/>
  <c r="J63" s="1"/>
  <c r="P22" i="48"/>
  <c r="P33" s="1"/>
  <c r="P15"/>
  <c r="F20" i="14"/>
  <c r="F22" s="1"/>
  <c r="E9" i="48"/>
  <c r="E27" s="1"/>
  <c r="G11" i="14"/>
  <c r="F4" i="48"/>
  <c r="F22" s="1"/>
  <c r="C7"/>
  <c r="D24" i="14"/>
  <c r="D26" s="1"/>
  <c r="C8" i="48"/>
  <c r="D13" i="14"/>
  <c r="E26"/>
  <c r="D25" i="48"/>
  <c r="M10" i="14"/>
  <c r="L5" i="48"/>
  <c r="E10" i="14"/>
  <c r="D5" i="48"/>
  <c r="B34" i="13"/>
  <c r="N8" i="17"/>
  <c r="B35" i="13"/>
  <c r="B47" s="1"/>
  <c r="O18" i="16"/>
  <c r="B36" i="13"/>
  <c r="B48" s="1"/>
  <c r="C48" s="1"/>
  <c r="N5" s="1"/>
  <c r="N8" s="1"/>
  <c r="G31" i="20"/>
  <c r="H48" i="14" s="1"/>
  <c r="G12" i="22"/>
  <c r="D18" i="16"/>
  <c r="E8" i="17"/>
  <c r="H12" i="22"/>
  <c r="L8" i="17"/>
  <c r="M50" i="22"/>
  <c r="M54" s="1"/>
  <c r="G51"/>
  <c r="G50" s="1"/>
  <c r="G54" s="1"/>
  <c r="F12" i="17"/>
  <c r="G54" i="14" s="1"/>
  <c r="G56" s="1"/>
  <c r="D20" i="15"/>
  <c r="E40" i="14" s="1"/>
  <c r="M31" i="20"/>
  <c r="N48" i="14" s="1"/>
  <c r="H31" i="20"/>
  <c r="I48" i="14" s="1"/>
  <c r="M5" i="22"/>
  <c r="M14" s="1"/>
  <c r="G5"/>
  <c r="G14" s="1"/>
  <c r="H5"/>
  <c r="E5" i="15"/>
  <c r="O20"/>
  <c r="P40" i="14" s="1"/>
  <c r="P20" i="15"/>
  <c r="Q40" i="14" s="1"/>
  <c r="J5" i="15"/>
  <c r="F5"/>
  <c r="F16" s="1"/>
  <c r="B5"/>
  <c r="B16" s="1"/>
  <c r="B5" i="16"/>
  <c r="B18" s="1"/>
  <c r="N5" i="15"/>
  <c r="N16" s="1"/>
  <c r="F12" i="13"/>
  <c r="G41" i="14" s="1"/>
  <c r="F13" i="16"/>
  <c r="E13"/>
  <c r="N13"/>
  <c r="J13"/>
  <c r="N12"/>
  <c r="J12"/>
  <c r="F12"/>
  <c r="E12"/>
  <c r="B46" i="13"/>
  <c r="E5" s="1"/>
  <c r="E8" s="1"/>
  <c r="C50"/>
  <c r="J5" s="1"/>
  <c r="J8" s="1"/>
  <c r="O11" i="14" l="1"/>
  <c r="N4" i="48"/>
  <c r="N22" s="1"/>
  <c r="Q63" i="14"/>
  <c r="H19"/>
  <c r="G10" i="48"/>
  <c r="E12" i="13"/>
  <c r="F41" i="14" s="1"/>
  <c r="E4" i="48"/>
  <c r="F11" i="14"/>
  <c r="R11" s="1"/>
  <c r="K11"/>
  <c r="J4" i="48"/>
  <c r="Q13"/>
  <c r="G31"/>
  <c r="Q46" i="14"/>
  <c r="Q61" s="1"/>
  <c r="N52"/>
  <c r="N61" s="1"/>
  <c r="N20"/>
  <c r="M9" i="48"/>
  <c r="G9"/>
  <c r="H20" i="14"/>
  <c r="I23" i="48"/>
  <c r="I33" s="1"/>
  <c r="I15"/>
  <c r="N19" i="14"/>
  <c r="N22" s="1"/>
  <c r="N27" s="1"/>
  <c r="M10" i="48"/>
  <c r="M28" s="1"/>
  <c r="O22" i="16"/>
  <c r="P43" i="14" s="1"/>
  <c r="P46" s="1"/>
  <c r="P61" s="1"/>
  <c r="P13"/>
  <c r="O8" i="48"/>
  <c r="E7"/>
  <c r="E25" s="1"/>
  <c r="F24" i="14"/>
  <c r="F26" s="1"/>
  <c r="P16"/>
  <c r="P27" s="1"/>
  <c r="R18"/>
  <c r="B8" i="48"/>
  <c r="C13" i="14"/>
  <c r="O24"/>
  <c r="O26" s="1"/>
  <c r="N7" i="48"/>
  <c r="N25" s="1"/>
  <c r="L12" i="17"/>
  <c r="M54" i="14" s="1"/>
  <c r="M56" s="1"/>
  <c r="M24"/>
  <c r="L7" i="48"/>
  <c r="D22" i="16"/>
  <c r="E43" i="14" s="1"/>
  <c r="E13"/>
  <c r="D8" i="48"/>
  <c r="D26" s="1"/>
  <c r="O10" i="14"/>
  <c r="N5" i="48"/>
  <c r="C10" i="14"/>
  <c r="B5" i="48"/>
  <c r="G10" i="14"/>
  <c r="F5" i="48"/>
  <c r="E12" i="17"/>
  <c r="F54" i="14" s="1"/>
  <c r="F56" s="1"/>
  <c r="J16" i="15"/>
  <c r="E16"/>
  <c r="H14" i="22"/>
  <c r="N12" i="17"/>
  <c r="O54" i="14" s="1"/>
  <c r="O56" s="1"/>
  <c r="M58" i="22"/>
  <c r="N49" i="14" s="1"/>
  <c r="D18" i="22"/>
  <c r="E50" i="14" s="1"/>
  <c r="E52" s="1"/>
  <c r="E18" i="22"/>
  <c r="F50" i="14" s="1"/>
  <c r="F52" s="1"/>
  <c r="G58" i="22"/>
  <c r="H49" i="14" s="1"/>
  <c r="M18" i="22"/>
  <c r="N50" i="14" s="1"/>
  <c r="N20" i="15"/>
  <c r="O40" i="14" s="1"/>
  <c r="F20" i="15"/>
  <c r="G40" i="14" s="1"/>
  <c r="N5" i="16"/>
  <c r="E5"/>
  <c r="J5"/>
  <c r="C35" i="13"/>
  <c r="F5" i="16"/>
  <c r="C36" i="13"/>
  <c r="N12"/>
  <c r="O41" i="14" s="1"/>
  <c r="C38" i="13"/>
  <c r="C39"/>
  <c r="C32"/>
  <c r="C34"/>
  <c r="J12"/>
  <c r="K41" i="14" s="1"/>
  <c r="L20" i="15"/>
  <c r="M40" i="14" s="1"/>
  <c r="H9" i="48" l="1"/>
  <c r="I20" i="14"/>
  <c r="K10"/>
  <c r="J5" i="48"/>
  <c r="J23" s="1"/>
  <c r="F10" i="14"/>
  <c r="E5" i="48"/>
  <c r="E23" s="1"/>
  <c r="P63" i="14"/>
  <c r="J22" i="48"/>
  <c r="M27"/>
  <c r="M33" s="1"/>
  <c r="M15"/>
  <c r="G28"/>
  <c r="Q10"/>
  <c r="O26"/>
  <c r="O33" s="1"/>
  <c r="O15"/>
  <c r="G27"/>
  <c r="G33" s="1"/>
  <c r="G15"/>
  <c r="E22"/>
  <c r="Q4"/>
  <c r="N63" i="14"/>
  <c r="R19"/>
  <c r="H22"/>
  <c r="H27" s="1"/>
  <c r="L25" i="48"/>
  <c r="Q7"/>
  <c r="M26" i="14"/>
  <c r="R24"/>
  <c r="R26" s="1"/>
  <c r="E20" i="15"/>
  <c r="F40" i="14" s="1"/>
  <c r="F18" i="16"/>
  <c r="F22" s="1"/>
  <c r="G43" i="14" s="1"/>
  <c r="J18" i="16"/>
  <c r="E18"/>
  <c r="J20" i="15"/>
  <c r="K40" i="14" s="1"/>
  <c r="N18" i="16"/>
  <c r="N22" s="1"/>
  <c r="O43" i="14" s="1"/>
  <c r="G18" i="22"/>
  <c r="H50" i="14" s="1"/>
  <c r="H52" s="1"/>
  <c r="H61" s="1"/>
  <c r="H18" i="22"/>
  <c r="I50" i="14" s="1"/>
  <c r="I52" s="1"/>
  <c r="I61" s="1"/>
  <c r="R20" l="1"/>
  <c r="R22" s="1"/>
  <c r="I22"/>
  <c r="I27" s="1"/>
  <c r="I63" s="1"/>
  <c r="F13"/>
  <c r="E8" i="48"/>
  <c r="H27"/>
  <c r="H33" s="1"/>
  <c r="H15"/>
  <c r="Q9"/>
  <c r="H63" i="14"/>
  <c r="K46"/>
  <c r="K61" s="1"/>
  <c r="J22" i="16"/>
  <c r="K43" i="14" s="1"/>
  <c r="J8" i="48"/>
  <c r="K13" i="14"/>
  <c r="K16"/>
  <c r="K27" s="1"/>
  <c r="E22" i="16"/>
  <c r="F43" i="14" s="1"/>
  <c r="F46"/>
  <c r="F61" s="1"/>
  <c r="F63" s="1"/>
  <c r="F16"/>
  <c r="F27" s="1"/>
  <c r="O13"/>
  <c r="N8" i="48"/>
  <c r="N26" s="1"/>
  <c r="F8"/>
  <c r="G13" i="14"/>
  <c r="J26" i="48" l="1"/>
  <c r="J33" s="1"/>
  <c r="J15"/>
  <c r="E26"/>
  <c r="E33" s="1"/>
  <c r="E15"/>
  <c r="K63" i="14"/>
  <c r="R13"/>
  <c r="F26" i="48"/>
  <c r="Q8"/>
  <c r="M16" i="14" l="1"/>
  <c r="M27" s="1"/>
  <c r="D16"/>
  <c r="D27" s="1"/>
  <c r="B20" i="6" s="1"/>
  <c r="C15" i="48" l="1"/>
  <c r="B15"/>
  <c r="L23"/>
  <c r="L33" s="1"/>
  <c r="L15"/>
  <c r="O16" i="14"/>
  <c r="O27" s="1"/>
  <c r="G16"/>
  <c r="G27" s="1"/>
  <c r="E16"/>
  <c r="E27" s="1"/>
  <c r="C16"/>
  <c r="C27" s="1"/>
  <c r="B3" i="6" s="1"/>
  <c r="R10" i="14"/>
  <c r="R16" s="1"/>
  <c r="R27" s="1"/>
  <c r="B22" i="6"/>
  <c r="C22" i="59" s="1"/>
  <c r="E46" i="14"/>
  <c r="E61" s="1"/>
  <c r="O46"/>
  <c r="O61" s="1"/>
  <c r="G46"/>
  <c r="G61" s="1"/>
  <c r="M46"/>
  <c r="M61" s="1"/>
  <c r="M63" s="1"/>
  <c r="E63" l="1"/>
  <c r="C10" i="13"/>
  <c r="C29" i="20"/>
  <c r="C18" i="15"/>
  <c r="C20" s="1"/>
  <c r="D40" i="14" s="1"/>
  <c r="C17" i="49"/>
  <c r="C10" i="17"/>
  <c r="C12" s="1"/>
  <c r="D54" i="14" s="1"/>
  <c r="C56" i="22"/>
  <c r="C58" s="1"/>
  <c r="D49" i="14" s="1"/>
  <c r="C16" i="22"/>
  <c r="C17" i="19"/>
  <c r="C19" s="1"/>
  <c r="D39" i="14" s="1"/>
  <c r="C20" i="16"/>
  <c r="C22" s="1"/>
  <c r="D43" i="14" s="1"/>
  <c r="O63"/>
  <c r="D23" i="48"/>
  <c r="D33" s="1"/>
  <c r="D15"/>
  <c r="N23"/>
  <c r="N33" s="1"/>
  <c r="N15"/>
  <c r="G63" i="14"/>
  <c r="Q5" i="48"/>
  <c r="Q15" s="1"/>
  <c r="F23"/>
  <c r="F33" s="1"/>
  <c r="F15"/>
  <c r="B12" i="6"/>
  <c r="C12" i="59" s="1"/>
  <c r="C55" i="14" l="1"/>
  <c r="B10" i="9"/>
  <c r="B12" s="1"/>
  <c r="B10" i="17"/>
  <c r="B12" s="1"/>
  <c r="C54" i="14" s="1"/>
  <c r="B17" i="49"/>
  <c r="B19" s="1"/>
  <c r="C42" i="14" s="1"/>
  <c r="B56" i="22"/>
  <c r="B58" s="1"/>
  <c r="C49" i="14" s="1"/>
  <c r="B10" i="13"/>
  <c r="B16" i="22"/>
  <c r="B18" s="1"/>
  <c r="C50" i="14" s="1"/>
  <c r="B18" i="15"/>
  <c r="B20" s="1"/>
  <c r="B17" i="19"/>
  <c r="B19" s="1"/>
  <c r="C39" i="14" s="1"/>
  <c r="B29" i="20"/>
  <c r="B31" s="1"/>
  <c r="C48" i="14" s="1"/>
  <c r="B20" i="16"/>
  <c r="B22" s="1"/>
  <c r="C43" i="14" s="1"/>
  <c r="C17" i="48"/>
  <c r="C12" i="13"/>
  <c r="D41" i="14" s="1"/>
  <c r="C40" l="1"/>
  <c r="B12" i="13"/>
  <c r="C41" i="14" s="1"/>
  <c r="B17" i="48"/>
  <c r="D56" i="14"/>
  <c r="D52"/>
  <c r="D46"/>
  <c r="C32" i="48" l="1"/>
  <c r="C30"/>
  <c r="C24"/>
  <c r="C31"/>
  <c r="C26"/>
  <c r="C22"/>
  <c r="C25"/>
  <c r="C27"/>
  <c r="C28"/>
  <c r="C29"/>
  <c r="C23"/>
  <c r="D61" i="14"/>
  <c r="D63" s="1"/>
  <c r="R55"/>
  <c r="C33" i="48" l="1"/>
  <c r="R49" i="14"/>
  <c r="R50"/>
  <c r="R43"/>
  <c r="R42"/>
  <c r="B32" i="48" l="1"/>
  <c r="Q32" s="1"/>
  <c r="B24"/>
  <c r="Q24" s="1"/>
  <c r="B31"/>
  <c r="Q31" s="1"/>
  <c r="B22"/>
  <c r="B30"/>
  <c r="Q30" s="1"/>
  <c r="B28"/>
  <c r="Q28" s="1"/>
  <c r="B26"/>
  <c r="Q26" s="1"/>
  <c r="B29"/>
  <c r="Q29" s="1"/>
  <c r="B25"/>
  <c r="Q25" s="1"/>
  <c r="B27"/>
  <c r="Q27" s="1"/>
  <c r="B23"/>
  <c r="Q23" s="1"/>
  <c r="R39" i="14"/>
  <c r="C56"/>
  <c r="R54"/>
  <c r="R56" s="1"/>
  <c r="C52"/>
  <c r="R48"/>
  <c r="R52" s="1"/>
  <c r="R40"/>
  <c r="R41"/>
  <c r="Q22" i="48" l="1"/>
  <c r="Q33" s="1"/>
  <c r="B33"/>
  <c r="R46" i="14"/>
  <c r="R61" s="1"/>
  <c r="C46"/>
  <c r="C61" s="1"/>
  <c r="C63" s="1"/>
</calcChain>
</file>

<file path=xl/comments1.xml><?xml version="1.0" encoding="utf-8"?>
<comments xmlns="http://schemas.openxmlformats.org/spreadsheetml/2006/main">
  <authors>
    <author>Aernouts Kristien</author>
  </authors>
  <commentList>
    <comment ref="Z25" authorId="0">
      <text>
        <r>
          <rPr>
            <b/>
            <sz val="9"/>
            <color indexed="81"/>
            <rFont val="Tahoma"/>
            <family val="2"/>
          </rPr>
          <t>Aernouts Kristien:</t>
        </r>
        <r>
          <rPr>
            <sz val="9"/>
            <color indexed="81"/>
            <rFont val="Tahoma"/>
            <family val="2"/>
          </rPr>
          <t xml:space="preserve">
netto afname
</t>
        </r>
      </text>
    </comment>
    <comment ref="Z26" author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Meynaerts Erika</author>
  </authors>
  <commentList>
    <comment ref="A1" authorId="0">
      <text>
        <r>
          <rPr>
            <sz val="9"/>
            <color indexed="81"/>
            <rFont val="Tahoma"/>
            <family val="2"/>
          </rPr>
          <t xml:space="preserve">
In het</t>
        </r>
        <r>
          <rPr>
            <b/>
            <sz val="9"/>
            <color indexed="81"/>
            <rFont val="Tahoma"/>
            <family val="2"/>
          </rPr>
          <t xml:space="preserve"> rekenblad “openbare verlichting”</t>
        </r>
        <r>
          <rPr>
            <sz val="9"/>
            <color indexed="81"/>
            <rFont val="Tahoma"/>
            <family val="2"/>
          </rPr>
          <t xml:space="preserve"> worden de CO2-emissies voor openbare verlichting berekend op basis van het elektriciteitsverbruik en gerelateerde emissiefactor. 
Voor elektriciteit worden de afnamecijfers van de netbeheerders uit het rekenblad “data” overgenomen voor de sector openbare verlichting (subsectoren openbare verlichting en rest).
Indien relevant, worden deze afnamecijfers in het rekenblad “openbare verlichting” (rij 6) gecorrigeerd voor het verbruik van de gemeentelijke openbare verlichting. De gemeente kan het elektriciteitsverbruik van de eigen openbare verlichting invullen in het rekenblad “Eigen gebouwen &amp; OV”. 
De emissiefactor voor elektriciteit wordt  berekend in het rekenblad “EF ele_warmte” (rij 1 ev.).
</t>
        </r>
        <r>
          <rPr>
            <b/>
            <sz val="9"/>
            <color indexed="81"/>
            <rFont val="Tahoma"/>
            <family val="2"/>
          </rPr>
          <t>Voor meer informatie: http://www.burgemeestersconvenant.be/co2-inventarissen (handleiding nulmeting, pagina 21 ev.)</t>
        </r>
      </text>
    </comment>
  </commentList>
</comments>
</file>

<file path=xl/comments3.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t>
        </r>
        <r>
          <rPr>
            <b/>
            <sz val="9"/>
            <color indexed="81"/>
            <rFont val="Tahoma"/>
            <family val="2"/>
          </rPr>
          <t xml:space="preserve"> rekenblad “huishoudens” </t>
        </r>
        <r>
          <rPr>
            <sz val="9"/>
            <color indexed="81"/>
            <rFont val="Tahoma"/>
            <family val="2"/>
          </rPr>
          <t>wordt voor de sector huishoudens een overzicht gegeven van de brandstofverbruiken, elektriciteitsverbruiken en warmteaankopen. Ook voor de aanwezige zonneboilers en warmtepompen wordt productie/verbruik bepaald. De CO2-emissies worden berekend door de verbruiken te vermenigvuldigen met de overeenkomstige emissiefactoren. De emissiefactoren zijn de default IPCC 2006 factoren of de berekende emissiefactoren voor elektriciteit en warmte uit het rekenblad “EF ele_warmte”.
De afnamecijfers voor aardgas en elektriciteit worden rechtstreeks uit het rekenblad “data” overgenomen (subsectoren huishoudelijk en rest). Het aardgasverbruik wordt omgerekend van bovenste verbrandingswaarde naar onderste verbrandingswaarde met factor 0,902. Het elektriciteitsverbruik van de huishoudens wordt vermeerderd met de productie van PV &lt;= 10 kWp. Hierbij nemen we aan dat alle PV &lt;= 10 kWp op daken van huishoudens liggen en dat ze een terugdraaiende teller hebben. 
Aankopen of leveringen vanuit warmtenetten, dienen door de gemeente zelf opgevraagd te worden en ingevuld in het rekenblad “Eigen informatie GS &amp; warmtenet”. De ingevulde gegevens worden vervolgens overgenomen in het rekenblad “huishoudens” (kolom “warmte”).
Voor stookolie, propaan/LPG/butaan, steenkool, biomassa (hout) wordt in het rekenblad “huishoudens” (rij 14 ev.) een inschatting gemaakt van het energieverbruik op basis van verdeelsleutels. Deze verdeelsleutels worden afgeleid van gegevens uit de algemene socio-economische enquête van 2001 , het aantal huishoudens en aantal afnemers voor aardgas. Deze gegevens worden overgenomen uit het rekenblad “data”. Aan de hand van aannames, worden dan aantallen huishoudens per energiedrager berekend. Hiervoor wordt voor aardgas het aantal afnemers overgenomen uit de data van de netbeheerders. We veronderstellen dat het verschil tussen het aantal huishoudens op aardgas in het referentiejaar en 2001 (uit de SEE 2001) kan verklaard worden door een omschakeling naar aardgas door 10% van het aantal woningen op steenkool en door 90% van het aantal woningen op stookolie. Voor de andere energiedragers wordt de verdeling van 2001 toegepast op het aantal resterende huishoudens. 
Voor steenkool en hout (energiedrager “overige biomassa”) wordt tevens een inschatting gemaakt van het aantal huishoudens dat deze brandstoffen inzet als bijverwarming. We veronderstellen dat het aantal huishoudens dat steenkool gebruikt voor bijverwarming 2x zo hoog is als het aantal huishoudens dat steenkool voor hoofdverwarming gebruikt. Voor hout wordt verondersteld dat het aantal huishoudens 10x zo hoog is voor bijverwarming dan voor hoofdverwarming.
Er zijn default energieverbruiken per huishouden voorzien in de tool. Deze default verbruiken per huishouden, per energiedrager zijn afkomstig van de Energiebalans Vlaanderen. Het verbruik wordt bepaald door het aantal huishoudens per energiedrager te vermenigvuldigen met de gemiddelde verbruiken per huishouden, per energiedrager. Voor steenkool en hout wordt tevens een onderscheid gemaakt tussen hoofd- en bijverwarming. 
Voor zonneboilers en warmtepompen werden data per gemeente door het VEA aangeleverd. Het VEA verzamelt deze gegevens jaarlijks, op basis van de premies uitgereikt door de netbeheerders en data uit de EPB aangifte voor nieuwbouwwoningen. Op basis van het aantal zonneboilers/warmtepompen en gemiddelde kengetallen (m², vermogen, kWh per m², kWh per kWth) afkomstig uit de Inventaris Hernieuwbare Energie wordt in het rekenblad “huishoudens” (rij 65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V</t>
        </r>
        <r>
          <rPr>
            <b/>
            <sz val="9"/>
            <color indexed="81"/>
            <rFont val="Tahoma"/>
            <family val="2"/>
          </rPr>
          <t>oor meer informatie: http://www.burgemeestersconvenant.be/co2-inventarissen (handleiding nulmeting, pagina 23 ev.)</t>
        </r>
        <r>
          <rPr>
            <sz val="9"/>
            <color indexed="81"/>
            <rFont val="Tahoma"/>
            <family val="2"/>
          </rPr>
          <t xml:space="preserve">
</t>
        </r>
      </text>
    </comment>
    <comment ref="D3" authorId="1">
      <text>
        <r>
          <rPr>
            <b/>
            <sz val="9"/>
            <color indexed="81"/>
            <rFont val="Tahoma"/>
            <family val="2"/>
          </rPr>
          <t>meynaere:</t>
        </r>
        <r>
          <rPr>
            <sz val="9"/>
            <color indexed="81"/>
            <rFont val="Tahoma"/>
            <family val="2"/>
          </rPr>
          <t xml:space="preserve">
x0,902:  bovenste verbrandingswaarde =&gt;onderste verbrandingswaarde</t>
        </r>
      </text>
    </comment>
    <comment ref="B38" authorId="2">
      <text>
        <r>
          <rPr>
            <b/>
            <sz val="9"/>
            <color indexed="81"/>
            <rFont val="Tahoma"/>
            <family val="2"/>
          </rPr>
          <t>Aernouts Kristien:</t>
        </r>
        <r>
          <rPr>
            <sz val="9"/>
            <color indexed="81"/>
            <rFont val="Tahoma"/>
            <family val="2"/>
          </rPr>
          <t xml:space="preserve">
10% van de aardgasstijging eraf</t>
        </r>
      </text>
    </comment>
    <comment ref="B39" authorId="2">
      <text>
        <r>
          <rPr>
            <b/>
            <sz val="9"/>
            <color indexed="81"/>
            <rFont val="Tahoma"/>
            <family val="2"/>
          </rPr>
          <t>Aernouts Kristien:</t>
        </r>
        <r>
          <rPr>
            <sz val="9"/>
            <color indexed="81"/>
            <rFont val="Tahoma"/>
            <family val="2"/>
          </rPr>
          <t xml:space="preserve">
90% van de aardgasstijging eraf</t>
        </r>
      </text>
    </comment>
    <comment ref="C48" authorId="2">
      <text>
        <r>
          <rPr>
            <b/>
            <sz val="9"/>
            <color indexed="81"/>
            <rFont val="Tahoma"/>
            <family val="2"/>
          </rPr>
          <t>Aernouts Kristien:</t>
        </r>
        <r>
          <rPr>
            <sz val="9"/>
            <color indexed="81"/>
            <rFont val="Tahoma"/>
            <family val="2"/>
          </rPr>
          <t xml:space="preserve">
10x zoveel als hoofdverw</t>
        </r>
      </text>
    </comment>
    <comment ref="C50" authorId="2">
      <text>
        <r>
          <rPr>
            <b/>
            <sz val="9"/>
            <color indexed="81"/>
            <rFont val="Tahoma"/>
            <family val="2"/>
          </rPr>
          <t>Aernouts Kristien:</t>
        </r>
        <r>
          <rPr>
            <sz val="9"/>
            <color indexed="81"/>
            <rFont val="Tahoma"/>
            <family val="2"/>
          </rPr>
          <t xml:space="preserve">
2x zoveel als hoofdverw</t>
        </r>
      </text>
    </comment>
  </commentList>
</comments>
</file>

<file path=xl/comments4.xml><?xml version="1.0" encoding="utf-8"?>
<comments xmlns="http://schemas.openxmlformats.org/spreadsheetml/2006/main">
  <authors>
    <author>Meynaerts Erika</author>
    <author>meynaere</author>
  </authors>
  <commentList>
    <comment ref="A1" authorId="0">
      <text>
        <r>
          <rPr>
            <sz val="9"/>
            <color indexed="81"/>
            <rFont val="Tahoma"/>
            <family val="2"/>
          </rPr>
          <t xml:space="preserve">
In het</t>
        </r>
        <r>
          <rPr>
            <b/>
            <sz val="9"/>
            <color indexed="81"/>
            <rFont val="Tahoma"/>
            <family val="2"/>
          </rPr>
          <t xml:space="preserve"> rekenblad “tertiair” </t>
        </r>
        <r>
          <rPr>
            <sz val="9"/>
            <color indexed="81"/>
            <rFont val="Tahoma"/>
            <family val="2"/>
          </rPr>
          <t xml:space="preserve">wordt de tertiaire sector een overzicht gegeven van de brandstofverbruiken, elektriciteitsverbruiken en warmteaankopen. Ook voor de aanwezige zonneboilers en warmtepompen wordt productie/verbruik bepaald. De verbruiken worden met de overeenkomstige emissiefactoren vermenigvuldigd om tot CO2-emissies te komen. De emissiefactoren zijn de default IPCC 2006 factoren of de berekende emissiefactoren voor elektriciteit en warmte uit het rekenblad “EF ele_warmte”.
Voor aardgas en elektriciteit worden in het rekenblad “tertiair”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Aankopen of leveringen van (niet-WKK) warmte vanuit lokale productie-eenheden aan (deelsectoren van) de tertiaire sector, dienen door de gemeente zelf opgevraagd te worden en ingevuld in het rekenblad “Eigen informatie GS &amp; warmtenet”. De ingevulde gegevens worden vervolgens overgenomen in het rekenblad “tertiair” (kolom “warmte”). Leveringen van WKK-warmte en lokaal geproduceerde elektriciteit vanuit lokale productie-eenheden aan (deelsectoren van) de tertiaire sector, worden opgehaald uit rekenblad “lokale energieproductie”. Ook de brandstof verbruiken worden opgehaald en er gebeuren in het rekenblad “tertiair” (rij 13) volgende correcties om dubbeltellingen te vermijden:
- Lokaal geproduceerde elektriciteit wordt opgeteld bij de afnamecijfers van de netbeheerders;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“tertiair” (rij 22 ev.) een inschatting gemaakt van het energieverbruik op basis van verdeelsleutels, afgeleid uit de Energiebalans Vlaanderen (tertiaire sector) (rekenblad "E Balans VL"). Per deelsector wordt de verhouding bepaald van het elektriciteitsverbruik van deze deelsector in de gemeente (op basis van de afname cijfers) ten opzichte van het elektriciteitsverbruik van deze deelsector in Vlaanderen. Het verbruik van lichte stookolie, zware stookolie, LPG, steenkool en biomassa uit de Energiebalans Vlaanderen wordt vermenigvuldigd met deze sleutels, om te komen tot een inschatting van het verbruik van deze energiedragers in de gemeente. 
Het aantal  zonneboilers en warmtepompen wordt  per gemeente door het VEA aangeleverd. Het VEA verzamelt deze gegevens jaarlijks, op basis van de premies uitgereikt door de netbeheerders en data uit de EPB aangifte voor nieuwbouwwoningen. Op basis van deze aantallen en gemiddelde kengetallen (m², vermogen, kWh per m², kWh per kWth) afkomstig uit de Inventaris Hernieuwbare Energie wordt in het rekenblad “tertiair” (rij 34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Indien relevant, worden de energieverbruiken in het rekenblad “tertiair” (rij 14) gecorrigeerd voor het verbruik van de gemeentelijke gebouwen. De gemeente kan het energieverbruik van de eigen gebouwen invullen in het rekenblad “Eigen gebouwen &amp; OV”. 
</t>
        </r>
        <r>
          <rPr>
            <b/>
            <sz val="9"/>
            <color indexed="81"/>
            <rFont val="Tahoma"/>
            <family val="2"/>
          </rPr>
          <t>Voor meer informatie: http://www.burgemeestersconvenant.be/co2-inventarissen (handleiding nulmeting, pagina 27 ev.)</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meynaere:</t>
        </r>
        <r>
          <rPr>
            <sz val="9"/>
            <color indexed="81"/>
            <rFont val="Tahoma"/>
            <family val="2"/>
          </rPr>
          <t xml:space="preserve">
lichte en zware stookolie</t>
        </r>
      </text>
    </comment>
    <comment ref="J3" authorId="1">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 </t>
        </r>
        <r>
          <rPr>
            <b/>
            <sz val="9"/>
            <color indexed="81"/>
            <rFont val="Tahoma"/>
            <family val="2"/>
          </rPr>
          <t xml:space="preserve">rekenblad “industrie” </t>
        </r>
        <r>
          <rPr>
            <sz val="9"/>
            <color indexed="81"/>
            <rFont val="Tahoma"/>
            <family val="2"/>
          </rPr>
          <t xml:space="preserve">wordt een overzicht gegeven van de brandstofverbruiken, elektriciteitsverbruiken en warmteaankopen voor de sector “industrie” (deel niet-ETS). Ook voor de aanwezige zonneboilers en warmtepompen wordt productie/verbruik bepaald. De verbruiken worden vermenigvuldigd met de overeenkomstige emissiefactoren om tot CO2-emissies te komen. e emissiefactoren zijn de default IPCC 2006 factoren of de berekende emissiefactoren voor elektriciteit en warmte uit het rekenblad “EF ele_warmte”.
Industrie dient enkel opgenomen te worden in de nulmeting, indien de gemeente of stad ook maatregelen wil opnemen in het SEAP. Indien een gemeente deze sector niet wenst mee te nemen, kunnen de verbruiken overschreven worden met waarde “0”.
Voor aardgas en elektriciteit worden in het rekenblad “industrie”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Er is geen informatie (publiek) beschikbaar over welke bedrijven of installaties tot deze sector behoren en of deze al dan niet</t>
        </r>
        <r>
          <rPr>
            <b/>
            <sz val="9"/>
            <color indexed="81"/>
            <rFont val="Tahoma"/>
            <family val="2"/>
          </rPr>
          <t xml:space="preserve"> ETS</t>
        </r>
        <r>
          <rPr>
            <sz val="9"/>
            <color indexed="81"/>
            <rFont val="Tahoma"/>
            <family val="2"/>
          </rPr>
          <t xml:space="preserve"> zijn. We veronderstellen in de rekentool dat de verbruiken die worden aangeleverd door de distributienetbeheerders, representatief zijn voor het energieverbruik van de niet-ETS bedrijven of de bedrijven die niet vallen onder het Europees systeem voor verhandelbare emissierechten. Via de website van departement Omgeving kan een gemeente of stad de lijst van ETS-installaties en hun totale CO2-uitstoot terugvinden (https://www.lne.be/eu-ets-vaste-installaties-cijferoverzicht-vlaanderen-toewijzingen-en-emissies). Echter, er is geen informatie publiek beschikbaar over het energieverbruik of CO2-uitstoot per energiedrager (nodig voor de rapportering binnen het Burgemeestersconvenant).
Aankopen of leveringen van (niet-WKK) warmte vanuit lokale productie-eenheden aan (deelsectoren van) de industrie, dienen door de gemeente zelf opgevraagd te worden en ingevuld in het rekenblad “Eigen informatie GS &amp; warmtenet” . De ingevulde gegevens worden vervolgens overgenomen in het rekenblad “industrie” (kolom “warmte”). 
Leveringen van WKK-warmte en lokaal geproduceerde elektriciteit vanuit lokale productie-eenheden aan (deelsectoren van) de industrie, worden opgehaald uit rekenblad “lokale energieproductie”. Ook de brandstof verbruiken worden opgehaald en er gebeuren in het rekenblad “industrie” (rij 16) volgende correcties om dubbeltellingen te vermijden:
- Lokaal geproduceerde elektriciteit wordt opgeteld bij de afnamecijfers van de netbeheerders ;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“industrie” (rij 25 ev.) een inschatting gemaakt van het verbruik op basis van verdeelsleutels, afgeleid uit de Energiebalans Vlaanderen (industrie niet ETS) (rekenblad "E Balans VL"). Per deelsector wordt de verhouding bepaald van het elektriciteitsverbruik van deze deelsector in de gemeente (op basis van de afnamecijfers) ten opzichte van het elektriciteitsverbruik van deze deelsector in Vlaanderen. Het verbruik per energiedrager uit de Energiebalans Vlaanderen wordt vermenigvuldigd met deze sleutels, om te komen tot een inschatting van het verbruik in de gemeente. 
Het aantal zonneboilers en warmtepompen wordt per gemeente door het VEA aangeleverd. Het VEA verzamelt deze gegevens jaarlijks, op basis van de premies uitgereikt door de netbeheerders (3.1.9) en data uit de EPB aangifte voor nieuwbouwwoningen. We gaan ervan uit dat de niet-huishoudelijke toepassingen uit de VEA bestanden voor bestaande gebouwen (premies netbeheerders) vooral in de tertiaire sector voorkomen. We nemen ze dan ook niet mee voor industrie. Op basis van deze aantallen en gemiddelde kengetallen (m², vermogen, kWh per m², kWh per kWth) afkomstig uit de Inventaris Hernieuwbare Energie wordt in het rekenblad “industrie” (rij 40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t>
        </r>
        <r>
          <rPr>
            <b/>
            <sz val="9"/>
            <color indexed="81"/>
            <rFont val="Tahoma"/>
            <family val="2"/>
          </rPr>
          <t>Voor meer informatie: http://www.burgemeestersconvenant.be/co2-inventarissen (handleiding nulmeting, pagina 31 ev.)</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2">
      <text>
        <r>
          <rPr>
            <b/>
            <sz val="9"/>
            <color indexed="81"/>
            <rFont val="Tahoma"/>
            <family val="2"/>
          </rPr>
          <t>Aernouts Kristien:</t>
        </r>
        <r>
          <rPr>
            <sz val="9"/>
            <color indexed="81"/>
            <rFont val="Tahoma"/>
            <family val="2"/>
          </rPr>
          <t xml:space="preserve">
lichte en zware stookolie</t>
        </r>
      </text>
    </comment>
    <comment ref="J3" authorId="1">
      <text>
        <r>
          <rPr>
            <b/>
            <sz val="9"/>
            <color indexed="81"/>
            <rFont val="Tahoma"/>
            <family val="2"/>
          </rPr>
          <t>meynaere:</t>
        </r>
        <r>
          <rPr>
            <sz val="9"/>
            <color indexed="81"/>
            <rFont val="Tahoma"/>
            <family val="2"/>
          </rPr>
          <t xml:space="preserve">
kolen en cokes</t>
        </r>
      </text>
    </comment>
  </commentList>
</comments>
</file>

<file path=xl/comments6.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 </t>
        </r>
        <r>
          <rPr>
            <b/>
            <sz val="9"/>
            <color indexed="81"/>
            <rFont val="Tahoma"/>
            <family val="2"/>
          </rPr>
          <t>rekenblad “landbouw”</t>
        </r>
        <r>
          <rPr>
            <sz val="9"/>
            <color indexed="81"/>
            <rFont val="Tahoma"/>
            <family val="2"/>
          </rPr>
          <t xml:space="preserve"> wordt een overzicht gegeven van de brandstofverbruiken, elektriciteitsverbruiken en warmteaankopen vanuit warmtenetten of WKK-eenheden. We nemen aan dat zonneboilers en warmtepompen voor niet-huishoudelijke toepassingen voornamelijk in de tertiaire sector voorkomen en nemen ze hier dus niet mee. De verbruiken worden vermenigvuldigd met de overeenkomstige emissiefactoren om tot CO2-emissies te komen. e emissiefactoren zijn de default IPCC 2006 factoren of de berekende emissiefactoren voor elektriciteit en warmte uit het rekenblad “EF ele_warmte”.
Voor aardgas en elektriciteit worden de afnamecijfers van de netbeheerders uit het rekenblad “data” overgenomen. Het aardgasverbruik wordt omgerekend van bovenste verbrandingswaarde naar onderste verbrandingswaarde met factor 0,902.
Aankopen of leveringen van (niet-WKK) warmte vanuit lokale productie-eenheden aan de landbouw, dienen door de gemeente zelf opgevraagd te worden en ingevuld in het rekenblad “Eigen informatie GS &amp; warmtenet” . De ingevulde gegevens worden vervolgens overgenomen in het rekenblad “landbouw” (kolom “warmte”). Leveringen van WKK-warmte en lokaal geproduceerde elektriciteit vanuit lokale productie-eenheden aan (deelsectoren van) de landbouw, worden opgehaald uit rekenblad “lokale energieproductie”. Ook de brandstof verbruiken worden opgehaald en er gebeuren in het rekenblad “landbouw” (rij 6) volgende correcties om dubbeltellingen te vermijden:
- Lokale geproduceerde elektriciteit wordt voor de landbouwsector NIET opgeteld bij de afnamecijfers van de netbeheerders. De reden is dat het elektriciteitsverbruik berekend werd op de bruto afname, en in het geval van de landbouwsector veronderstellen we dat hierin de lokale elektriciteitsproductie grotendeels is inbegrepen (in tegenstelling tot de industrie en de tertiaire sector, waar dit meestal niet het geval is). 
- Lokaal geproduceerde warmte wordt opgeteld bij warmteleveringen uit warmtenetten (niet-WKK).
- Brandstofverbruiken voor lokale productie van elektriciteit en/of warmte wordt afgetrokken van de berekende brandstofverbruiken. Indien de correctie voor een bepaalde energiedrager resulteert in een totaal verbruik &lt; 0, wordt het verbruik voor die energiedrager = 0 verondersteld. 
Voor (lichte en zware) stookolie, propaan/LPG/butaan, steenkool wordt in het rekenblad “landbouw” (rij 14 ev.) een inschatting gemaakt van het energieverbruik op basis van verdeelsleutels, afgeleid uit de Energiebalans Vlaanderen (sector landbouw) (rekenblad "E Balans VL"). Voor de gehele sector wordt de verhouding bepaald van het elektriciteitsverbruik van deze deelsector in de gemeente (op basis van de afname cijfers in rekenblad “data”) ten opzichte van het elektriciteitsverbruik in Vlaanderen. Het verbruik van lichte stookolie, zware stookolie, LPG en steenkool uit de Energiebalans Vlaanderen wordt vermenigvuldigd met deze sleutels, om te komen tot een inschatting van het verbruik van deze energiedragers in de gemeente. Het verbruik van biomassa wordt op dezelfde manier berekend, indien de gemeente er voor kiest om geen lokale energieproductie eenheden op te nemen in het SEAP. Als dat wel gebeurt, dan is de biomassa inschatting gelijk aan 0 om geen dubbeltellingen te hebben: biomassa wordt in de landbouw vnl. gebruikt als brandstof in lokale energieproductie eenheden. 
</t>
        </r>
        <r>
          <rPr>
            <b/>
            <sz val="9"/>
            <color indexed="81"/>
            <rFont val="Tahoma"/>
            <family val="2"/>
          </rPr>
          <t xml:space="preserve">
Voor meer informatie: http://www.burgemeestersconvenant.be/co2-inventarissen (handleiding nulmeting, pagina 35 ev.)</t>
        </r>
        <r>
          <rPr>
            <sz val="9"/>
            <color indexed="81"/>
            <rFont val="Tahoma"/>
            <family val="2"/>
          </rPr>
          <t xml:space="preserve">
</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meynaere:</t>
        </r>
        <r>
          <rPr>
            <sz val="9"/>
            <color indexed="81"/>
            <rFont val="Tahoma"/>
            <family val="2"/>
          </rPr>
          <t xml:space="preserve">
lichte en zware stookolie</t>
        </r>
      </text>
    </comment>
    <comment ref="G3" authorId="1">
      <text>
        <r>
          <rPr>
            <b/>
            <sz val="9"/>
            <color indexed="81"/>
            <rFont val="Tahoma"/>
            <family val="2"/>
          </rPr>
          <t>meynaere:</t>
        </r>
        <r>
          <rPr>
            <sz val="9"/>
            <color indexed="81"/>
            <rFont val="Tahoma"/>
            <family val="2"/>
          </rPr>
          <t xml:space="preserve">
cf. stookolie</t>
        </r>
      </text>
    </comment>
    <comment ref="J3" authorId="1">
      <text>
        <r>
          <rPr>
            <b/>
            <sz val="9"/>
            <color indexed="81"/>
            <rFont val="Tahoma"/>
            <family val="2"/>
          </rPr>
          <t>meynaere:</t>
        </r>
        <r>
          <rPr>
            <sz val="9"/>
            <color indexed="81"/>
            <rFont val="Tahoma"/>
            <family val="2"/>
          </rPr>
          <t xml:space="preserve">
kolen en cokes</t>
        </r>
      </text>
    </comment>
    <comment ref="L5" authorId="2">
      <text>
        <r>
          <rPr>
            <b/>
            <sz val="9"/>
            <color indexed="81"/>
            <rFont val="Tahoma"/>
            <family val="2"/>
          </rPr>
          <t>Aernouts Kristien:</t>
        </r>
        <r>
          <rPr>
            <sz val="9"/>
            <color indexed="81"/>
            <rFont val="Tahoma"/>
            <family val="2"/>
          </rPr>
          <t xml:space="preserve">
idem biomassa</t>
        </r>
      </text>
    </comment>
    <comment ref="N5" authorId="2">
      <text>
        <r>
          <rPr>
            <b/>
            <sz val="9"/>
            <color indexed="81"/>
            <rFont val="Tahoma"/>
            <family val="2"/>
          </rPr>
          <t>Aernouts Kristien:</t>
        </r>
        <r>
          <rPr>
            <sz val="9"/>
            <color indexed="81"/>
            <rFont val="Tahoma"/>
            <family val="2"/>
          </rPr>
          <t xml:space="preserve">
niet op basis van E balans , in landbouw toch vnl bij productie installaties</t>
        </r>
      </text>
    </comment>
    <comment ref="A22" authorId="0">
      <text>
        <r>
          <rPr>
            <sz val="9"/>
            <color indexed="81"/>
            <rFont val="Tahoma"/>
            <family val="2"/>
          </rPr>
          <t xml:space="preserve">
In het rekenblad "landbouw" wordt tevens een inschatting gemaakt van de </t>
        </r>
        <r>
          <rPr>
            <b/>
            <sz val="9"/>
            <color indexed="81"/>
            <rFont val="Tahoma"/>
            <family val="2"/>
          </rPr>
          <t>niet-energiegerelateerde emissies</t>
        </r>
        <r>
          <rPr>
            <sz val="9"/>
            <color indexed="81"/>
            <rFont val="Tahoma"/>
            <family val="2"/>
          </rPr>
          <t xml:space="preserve"> (CH4 vertering, mestopslag, N2O mestopslag, bodem). Deze broeikasgasemissies worden </t>
        </r>
        <r>
          <rPr>
            <b/>
            <sz val="9"/>
            <color indexed="81"/>
            <rFont val="Tahoma"/>
            <family val="2"/>
          </rPr>
          <t xml:space="preserve">niet </t>
        </r>
        <r>
          <rPr>
            <sz val="9"/>
            <color indexed="81"/>
            <rFont val="Tahoma"/>
            <family val="2"/>
          </rPr>
          <t xml:space="preserve">meegenomen in de SEAP template.
De CH4-emissies (uit verteringsprocessen en mestopslag) per gemeente en de N2O-emissies (uit mestopslag) worden in het rekenblad “landbouw” (rij 26 ev.) ingeschat op basis van het aantal dieren per gemeente en een emissiefactor per dier. Het aantal dieren per gemeente wordt overgenomen uit het rekenblad “data" en is afkomstig uit de Mestbank van de Vlaamse Landmaatschappij (VLM). De  emissiefactoren per dier uit het rekenblad “EF N2O_CH4 landbouw" worden aangeleverd door de Vlaamse Milieumaatschappij (VMM) en zijn afkomstig uit de rekenmodellen van de VMM, met name het CH4 VEE en N2O model.
De N2O-emissies uit de bodem (direct en indirect) worden in het rekenblad “landbouw” (rij 29) ingeschat op basis van de totale emissies in Vlaanderen. Voor de herschaling van de Vlaamse cijfers naar gemeentelijk niveau wordt gebruik gemaakt van een verdeelsleutel: verhouding ha cultuurgrond per gemeente ten opzichte van ha cultuurgrond in Vlaanderen. De totale emissies en hectare cultuurgrond in Vlaanderen wordt overgenomen uit het rekenblad “ha_N2O bodem landbouw”. De hectare cultuurgrond per gemeente wordt overgenomen uit het rekenblad “data”.
De totale hectare cultuurgrond in Vlaanderen en per gemeente  is afkomstig uit de Mestbank van de Vlaamse Landmaatschappij. De totale N2O-emissies die (direct &amp; indirect) vrij komen uit de bodem in Vlaanderen worden aangeleverd door de Vlaamse Milieumaatschappij. Deze emissies worden berekend met het N2O-model van de VMM.
Het rekenblad “GWP N2O_CH4” geeft de global warming potential (GWP) van CH4 en N2O op basis van de IPCC 2006 guidelines en de SEAP guidebook (part II). De GWP-waarden worden gebruikt voor conversie van CH4- en N2O-emissies naar CO2-equivalenten.
</t>
        </r>
        <r>
          <rPr>
            <b/>
            <sz val="9"/>
            <color indexed="81"/>
            <rFont val="Tahoma"/>
            <family val="2"/>
          </rPr>
          <t xml:space="preserve">
Voor meer informatie: http://www.burgemeestersconvenant.be/co2-inventarissen (handleiding nulmeting, pagina 35 ev.)</t>
        </r>
      </text>
    </comment>
  </commentList>
</comments>
</file>

<file path=xl/comments7.xml><?xml version="1.0" encoding="utf-8"?>
<comments xmlns="http://schemas.openxmlformats.org/spreadsheetml/2006/main">
  <authors>
    <author>Meynaerts Erika</author>
  </authors>
  <commentList>
    <comment ref="A1" authorId="0">
      <text>
        <r>
          <rPr>
            <sz val="9"/>
            <color indexed="81"/>
            <rFont val="Tahoma"/>
            <family val="2"/>
          </rPr>
          <t xml:space="preserve">
In het rekenblad </t>
        </r>
        <r>
          <rPr>
            <b/>
            <sz val="9"/>
            <color indexed="81"/>
            <rFont val="Tahoma"/>
            <family val="2"/>
          </rPr>
          <t xml:space="preserve">“transport” </t>
        </r>
        <r>
          <rPr>
            <sz val="9"/>
            <color indexed="81"/>
            <rFont val="Tahoma"/>
            <family val="2"/>
          </rPr>
          <t xml:space="preserve">worden de CO2-emissies ingeschat voor het </t>
        </r>
        <r>
          <rPr>
            <b/>
            <sz val="9"/>
            <color indexed="81"/>
            <rFont val="Tahoma"/>
            <family val="2"/>
          </rPr>
          <t>commercieel en particulier vervoer</t>
        </r>
        <r>
          <rPr>
            <sz val="9"/>
            <color indexed="81"/>
            <rFont val="Tahoma"/>
            <family val="2"/>
          </rPr>
          <t>. Deze inschatting gaat uit van energieverbruiken en gerelateerde emissiefactoren. Er wordt een onderscheid gemaakt naar wegtype (snelwegen, genummerde (gewest)wegen en niet-genummerde (gemeente)wegen) en voertuigtype (lichte voertuigen en zware voertuigen).</t>
        </r>
        <r>
          <rPr>
            <b/>
            <sz val="9"/>
            <color indexed="81"/>
            <rFont val="Tahoma"/>
            <family val="2"/>
          </rPr>
          <t xml:space="preserve">
</t>
        </r>
        <r>
          <rPr>
            <sz val="9"/>
            <color indexed="81"/>
            <rFont val="Tahoma"/>
            <family val="2"/>
          </rPr>
          <t xml:space="preserve">
Het energieverbruik wordt berekend op basis van het aantal voertuigkilometers per voertuigtechnologie en de energieconsumptiefactor per voertuigtechnologie. De voertuigkilometers worden gehaald uit rekenblad “data” en de energieconsumptiefactoren uit het rekenblad “ECF transport”. Het departement Mobiliteit en Openbare Werken (MOW) levert het aantal voertuigkilometers per wegtype (snelwegen, genummerde wegen, niet-genummerde wegen) en voertuigtype (lichte voertuigen en zware voertuigen) aan, op basis van berekeningen met het verkeersmodel PROMOVIA. De verdeling van de voertuigkilometers per voertuigtechnologie en de energieconsumptiefactoren zijn afkomstig uit COPERT (doorrekeningen aangeleverd door de VMM). 
Het verbruik van diesel, benzine en E85 wordt gecorrigeerd voor het aandeel biobrandstof. We baseren ons hiervoor op de gerapporteerde brandstofverkopen afkomstig van de VMM. 
Indien relevant, worden energieverbruiken in het rekenblad “transport” (rij 15) gecorrigeerd voor het verbruik van de gemeentelijke vloot. De gemeente kan het energieverbruik van de eigen vloot invullen in het rekenblad “Eigen vloot”. 
</t>
        </r>
        <r>
          <rPr>
            <b/>
            <sz val="9"/>
            <color indexed="81"/>
            <rFont val="Tahoma"/>
            <family val="2"/>
          </rPr>
          <t>Voor meer informatie: http://www.burgemeestersconvenant.be/co2-inventarissen (handleiding nulmeting, pagina 40 ev.)</t>
        </r>
      </text>
    </comment>
    <comment ref="A46" authorId="0">
      <text>
        <r>
          <rPr>
            <sz val="9"/>
            <color indexed="81"/>
            <rFont val="Tahoma"/>
            <family val="2"/>
          </rPr>
          <t xml:space="preserve">
In het rekenblad “transport” worden de CO2-emissies ingeschat voor het </t>
        </r>
        <r>
          <rPr>
            <b/>
            <sz val="9"/>
            <color indexed="81"/>
            <rFont val="Tahoma"/>
            <family val="2"/>
          </rPr>
          <t>openbaar vervoer</t>
        </r>
        <r>
          <rPr>
            <sz val="9"/>
            <color indexed="81"/>
            <rFont val="Tahoma"/>
            <family val="2"/>
          </rPr>
          <t xml:space="preserve">. Deze inschatting gaat uit van energieverbruiken en gerelateerde emissiefactoren. Er wordt een onderscheid gemaakt tussen bussen en trams.
Het energieverbruik wordt berekend op basis van het aantal voertuigkilometers per voertuigtechnologie en de energieconsumptiefactor per voertuigtechnologie. De voertuigkilometers worden gehaald uit rekenblad “data” en de energieconsumptiefactoren uit het rekenblad “ECF transport”. 
De voertuigkilometers voor bussen zijn ingeschat op basis van een verdeelsleutel en het aantal buskilometers per provincie, per jaar uit het Jaarverslag van De Lijn. De verdeling van de voertuigkilometers van bussen over diesel en diesel hybride (CS)  is afkomstig van De Lijn. De energieconsumptiefactoren voor bussen komen uit COPERT (doorrekeningen aangeleverd door de VMM) en zijn verschillend per type bus en per type weg. Het verbruik van diesel door bussen wordt gecorrigeerd voor het aandeel biobrandstof. We baseren ons hiervoor op de gerapporteerde brandstofverkopen afkomstig van de VMM. 
In het “Jaarverslag” van De Lijn zijn voor de trams voertuigkilometers per provincie beschikbaar. Voor de kust tram herschaalt VITO de voertuigkilometers van de provincie West-Vlaanderen op basis van de kilometers tram lijn, aangeleverd door De Lijn West-Vlaanderen. Voor de trams in de provincie Oost-Vlaanderen en Antwerpen herschaalt VITO de voertuigkilometers per provincie op basis van het aantal huishoudens in de betreffende “tramgemeente” t.o.v. aantal huishoudens in de “tramgemeentes” van de betreffende provincie. Het aantal huishoudens vwordt aangeleverd door de Studiedienst van de Vlaamse Regering. De energieconsumptiefactoren voor trams komen uit de Energiebalans Vlaanderen en werden aangeleverd door De Lijn.
</t>
        </r>
        <r>
          <rPr>
            <b/>
            <sz val="9"/>
            <color indexed="81"/>
            <rFont val="Tahoma"/>
            <family val="2"/>
          </rPr>
          <t xml:space="preserve">Voor meer informatie: http://www.burgemeestersconvenant.be/co2-inventarissen (handleiding nulmeting, pagina 40 ev.)
</t>
        </r>
      </text>
    </comment>
  </commentList>
</comments>
</file>

<file path=xl/comments8.xml><?xml version="1.0" encoding="utf-8"?>
<comments xmlns="http://schemas.openxmlformats.org/spreadsheetml/2006/main">
  <authors>
    <author>meynaere</author>
  </authors>
  <commentList>
    <comment ref="A9" authorId="0">
      <text>
        <r>
          <rPr>
            <b/>
            <sz val="9"/>
            <color indexed="81"/>
            <rFont val="Tahoma"/>
            <family val="2"/>
          </rPr>
          <t>meynaere:</t>
        </r>
        <r>
          <rPr>
            <sz val="9"/>
            <color indexed="81"/>
            <rFont val="Tahoma"/>
            <family val="2"/>
          </rPr>
          <t xml:space="preserve">
incl. afvalverbranding met energierecuperatie</t>
        </r>
      </text>
    </comment>
    <comment ref="A19" authorId="0">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<sst xmlns="http://schemas.openxmlformats.org/spreadsheetml/2006/main" count="2419" uniqueCount="907">
  <si>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</si>
  <si>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</si>
  <si>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</si>
  <si>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</si>
  <si>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</si>
  <si>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</si>
  <si>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</si>
  <si>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</si>
  <si>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</si>
  <si>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</si>
  <si>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</si>
  <si>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</si>
  <si>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</si>
  <si>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</si>
  <si>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</si>
  <si>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</si>
  <si>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</si>
  <si>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</si>
  <si>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</si>
  <si>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</si>
  <si>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Gas</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</si>
  <si>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</si>
  <si>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</si>
  <si>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</si>
  <si>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</si>
  <si>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</si>
  <si>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</si>
  <si>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</si>
  <si>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</si>
  <si>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</si>
  <si>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</si>
  <si>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</si>
  <si>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</si>
  <si>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</si>
  <si>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</si>
  <si>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</si>
  <si>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</si>
  <si>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</si>
  <si>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</si>
  <si>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</si>
  <si>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</si>
  <si>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</si>
  <si>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</si>
  <si>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</si>
  <si>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</si>
  <si>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</si>
  <si>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</si>
  <si>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</si>
  <si>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</si>
  <si>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</si>
  <si>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</si>
  <si>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</si>
  <si>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</si>
  <si>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</si>
  <si>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</si>
  <si>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</si>
  <si>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</si>
  <si>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</si>
  <si>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</si>
  <si>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</si>
  <si>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</si>
  <si>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</si>
  <si>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</si>
  <si>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</si>
  <si>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</si>
  <si>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</si>
  <si>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</si>
  <si>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</si>
  <si>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</si>
  <si>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</si>
  <si>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</si>
  <si>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</si>
  <si>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</si>
  <si>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</si>
  <si>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</si>
  <si>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</si>
  <si>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</si>
  <si>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</si>
  <si>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</si>
  <si>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</si>
  <si>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</si>
  <si>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</si>
  <si>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</si>
  <si>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</si>
  <si>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</si>
  <si>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</si>
  <si>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</si>
  <si>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</si>
  <si>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</si>
  <si>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</si>
  <si>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</si>
  <si>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</si>
  <si>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</si>
  <si>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</si>
  <si>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</si>
  <si>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</si>
  <si>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</si>
  <si>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</si>
  <si>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</si>
  <si>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</si>
  <si>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</si>
  <si>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</si>
  <si>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</si>
  <si>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</si>
  <si>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</si>
  <si>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</si>
  <si>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</si>
  <si>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</si>
  <si>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</si>
  <si>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</si>
  <si>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</si>
  <si>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</si>
  <si>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</si>
  <si>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</si>
  <si>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</si>
  <si>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</si>
  <si>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</si>
  <si>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</si>
  <si>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</si>
  <si>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</si>
  <si>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</si>
  <si>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</si>
  <si>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</si>
  <si>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</si>
  <si>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</si>
  <si>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</si>
  <si>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</si>
  <si>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</si>
  <si>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</si>
  <si>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</si>
  <si>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</si>
  <si>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</si>
  <si>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</si>
  <si>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</si>
  <si>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</si>
  <si>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</si>
  <si>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</si>
  <si>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</si>
  <si>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</si>
  <si>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</si>
  <si>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</si>
  <si>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</si>
  <si>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</si>
  <si>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</si>
  <si>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</si>
  <si>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</si>
  <si>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</si>
  <si>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</si>
  <si>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</si>
  <si>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</si>
  <si>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</si>
  <si>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</si>
  <si>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</si>
  <si>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</si>
  <si>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</si>
  <si>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</si>
  <si>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</si>
  <si>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</si>
  <si>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</si>
  <si>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</si>
  <si>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</si>
  <si>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</si>
  <si>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</si>
  <si>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</si>
  <si>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</si>
  <si>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</si>
  <si>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</si>
  <si>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</si>
  <si>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</si>
  <si>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</si>
  <si>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</si>
  <si>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</si>
  <si>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</si>
  <si>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</si>
  <si>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</si>
  <si>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</si>
  <si>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</si>
  <si>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</si>
  <si>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</si>
  <si>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</si>
  <si>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</si>
  <si>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</si>
  <si>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</si>
  <si>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</si>
  <si>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</si>
  <si>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</si>
  <si>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</si>
  <si>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</si>
  <si>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</si>
  <si>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</si>
  <si>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</si>
  <si>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</si>
  <si>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</si>
  <si>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</si>
  <si>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</si>
  <si>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</si>
  <si>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</si>
  <si>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</si>
  <si>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</si>
  <si>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</si>
  <si>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</si>
  <si>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</si>
  <si>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</si>
  <si>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</si>
  <si>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</si>
  <si>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</si>
  <si>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</si>
  <si>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</si>
  <si>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</si>
  <si>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</si>
  <si>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</si>
  <si>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</si>
  <si>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</si>
  <si>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</si>
  <si>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</si>
  <si>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type energiedrager 2001</t>
  </si>
  <si>
    <t>aantallen</t>
  </si>
  <si>
    <t>% verdeling</t>
  </si>
  <si>
    <t>MWh/m2/jaar</t>
  </si>
  <si>
    <t>zie verder</t>
  </si>
  <si>
    <t>% verdeling (ex stookolie, ex aardgas, ex WP, ex niet gespec)</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</si>
  <si>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</si>
  <si>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</si>
  <si>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</si>
  <si>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</si>
  <si>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</si>
  <si>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</si>
  <si>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</si>
  <si>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</si>
  <si>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</si>
  <si>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</si>
  <si>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</si>
  <si>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</si>
  <si>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</si>
  <si>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</si>
  <si>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</si>
  <si>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</si>
  <si>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</si>
  <si>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</si>
  <si>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</si>
  <si>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</si>
  <si>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</si>
  <si>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</si>
  <si>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</si>
  <si>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</si>
  <si>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</si>
  <si>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</si>
  <si>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</si>
  <si>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</si>
  <si>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</si>
  <si>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</si>
  <si>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</si>
  <si>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</si>
  <si>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</si>
  <si>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</si>
  <si>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</si>
  <si>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</si>
  <si>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</si>
  <si>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</si>
  <si>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</si>
  <si>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</si>
  <si>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</si>
  <si>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</si>
  <si>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</si>
  <si>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</si>
  <si>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</si>
  <si>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</si>
  <si>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</si>
  <si>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</si>
  <si>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</si>
  <si>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</si>
  <si>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</si>
  <si>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</si>
  <si>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</si>
  <si>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</si>
  <si>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</si>
  <si>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</si>
  <si>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</si>
  <si>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</si>
  <si>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</si>
  <si>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</si>
  <si>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</si>
  <si>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</si>
  <si>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</si>
  <si>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</si>
  <si>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</si>
  <si>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</si>
  <si>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</si>
  <si>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</si>
  <si>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</si>
  <si>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</si>
  <si>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</si>
  <si>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</si>
  <si>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</si>
  <si>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</si>
  <si>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</si>
  <si>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</si>
  <si>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</si>
  <si>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</si>
  <si>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</si>
  <si>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</si>
  <si>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</si>
  <si>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</si>
  <si>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</si>
  <si>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</si>
  <si>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</si>
  <si>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</si>
  <si>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</si>
  <si>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</si>
  <si>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</si>
  <si>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</si>
  <si>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</si>
  <si>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</si>
  <si>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</si>
  <si>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</si>
  <si>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</si>
  <si>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</si>
  <si>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Diesel Hybrid CS</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</si>
  <si>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</si>
  <si>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</si>
  <si>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</si>
  <si>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</si>
  <si>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</si>
  <si>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</si>
  <si>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</si>
  <si>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</si>
  <si>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</si>
  <si>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</si>
  <si>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</si>
  <si>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</si>
  <si>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</si>
  <si>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</si>
  <si>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</si>
  <si>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Diesel hybride CS</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</si>
  <si>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</si>
  <si>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</si>
  <si>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</si>
  <si>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</si>
  <si>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</si>
  <si>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</si>
  <si>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</si>
  <si>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</si>
  <si>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</si>
  <si>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</si>
  <si>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</si>
  <si>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</si>
  <si>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</si>
  <si>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</si>
  <si>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</si>
  <si>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</si>
  <si>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</si>
  <si>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</si>
  <si>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</si>
  <si>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</si>
  <si>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</si>
  <si>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</si>
  <si>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</si>
  <si>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</si>
  <si>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</si>
  <si>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</si>
  <si>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</si>
  <si>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</si>
  <si>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</si>
  <si>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</si>
  <si>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</si>
  <si>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</si>
  <si>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</si>
  <si>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</si>
  <si>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</si>
  <si>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</si>
  <si>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</si>
  <si>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</si>
  <si>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</si>
  <si>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</si>
  <si>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</si>
  <si>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</si>
  <si>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</si>
  <si>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Eenheid</t>
  </si>
  <si>
    <t>K. Jespers, K. Aernouts, Y. Dams</t>
  </si>
  <si>
    <t xml:space="preserve">Inventaris duurzame energie in Vlaanderen 2011, DEEL I: hernieuwbare energie
</t>
  </si>
  <si>
    <t>november 2012</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</si>
  <si>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</si>
  <si>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</si>
  <si>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</si>
  <si>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</si>
  <si>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</si>
  <si>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</si>
  <si>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</si>
  <si>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</si>
  <si>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</si>
  <si>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</si>
  <si>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</si>
  <si>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</si>
  <si>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</si>
  <si>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</si>
  <si>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</si>
  <si>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</si>
  <si>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</si>
  <si>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02 / 553 57 35</t>
  </si>
  <si>
    <t>dirk.smets@dar.vlaanderen.be</t>
  </si>
  <si>
    <t>Eandis</t>
  </si>
  <si>
    <t>Sander Van Herzeele</t>
  </si>
  <si>
    <t>09 / 263 64 57</t>
  </si>
  <si>
    <t>Sander.VanHerzeele@eandis.be</t>
  </si>
  <si>
    <t>Infrax</t>
  </si>
  <si>
    <t>toon.lenaerts@infrax.be</t>
  </si>
  <si>
    <t>Toon Lenaerts</t>
  </si>
  <si>
    <t>011 / 72 22 05</t>
  </si>
  <si>
    <t xml:space="preserve">Bron: </t>
  </si>
  <si>
    <t>VREG</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</si>
  <si>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</si>
  <si>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</si>
  <si>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</si>
  <si>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</si>
  <si>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</si>
  <si>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</si>
  <si>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</si>
  <si>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</si>
  <si>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</si>
  <si>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</si>
  <si>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</si>
  <si>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</si>
  <si>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</si>
  <si>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</si>
  <si>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</si>
  <si>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</si>
  <si>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http://www.vreg.be/statistieken-groene-stroom</t>
  </si>
  <si>
    <t xml:space="preserve">Socio-economische enquête 2001 </t>
  </si>
  <si>
    <t>2001</t>
  </si>
  <si>
    <t>VITO</t>
  </si>
  <si>
    <t>Vlaams Milieumaatschappij</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</si>
  <si>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</si>
  <si>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</si>
  <si>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</si>
  <si>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</si>
  <si>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</si>
  <si>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</si>
  <si>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</si>
  <si>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</si>
  <si>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</si>
  <si>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</si>
  <si>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</si>
  <si>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</si>
  <si>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</si>
  <si>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</si>
  <si>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</si>
  <si>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</si>
  <si>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</si>
  <si>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</si>
  <si>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</si>
  <si>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</si>
  <si>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</si>
  <si>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</si>
  <si>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</si>
  <si>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</si>
  <si>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</si>
  <si>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</si>
  <si>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</si>
  <si>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</si>
  <si>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</si>
  <si>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</si>
  <si>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</si>
  <si>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</si>
  <si>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</si>
  <si>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</si>
  <si>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</si>
  <si>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</si>
  <si>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</si>
  <si>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</si>
  <si>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</si>
  <si>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</si>
  <si>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</si>
  <si>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</si>
  <si>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</si>
  <si>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</si>
  <si>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</si>
  <si>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</si>
  <si>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</si>
  <si>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</si>
  <si>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</si>
  <si>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</si>
  <si>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</si>
  <si>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</si>
  <si>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</si>
  <si>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</si>
  <si>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</si>
  <si>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</si>
  <si>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</si>
  <si>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</si>
  <si>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</si>
  <si>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</si>
  <si>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</si>
  <si>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</si>
  <si>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</si>
  <si>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</si>
  <si>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</si>
  <si>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</si>
  <si>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</si>
  <si>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</si>
  <si>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</si>
  <si>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</si>
  <si>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</si>
  <si>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</si>
  <si>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</si>
  <si>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</si>
  <si>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</si>
  <si>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</si>
  <si>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</si>
  <si>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</si>
  <si>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</si>
  <si>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</si>
  <si>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Berekeningen met Emotion Road die werden uitgevoerd in het kader van de studie “Ondersteuning bij de ontwikkeling van het Vlaams Klimaatbeleidsplan"</t>
  </si>
  <si>
    <t xml:space="preserve">Cools I., Meynaerts E., Aernouts K., Renders N., Lodewijks P., De Vlieger I., Schoeters K., </t>
  </si>
  <si>
    <t>augustus 2012</t>
  </si>
  <si>
    <t>VITO Emotion Road</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</si>
  <si>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</si>
  <si>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</si>
  <si>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</si>
  <si>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</si>
  <si>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</si>
  <si>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</si>
  <si>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</si>
  <si>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</si>
  <si>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</si>
  <si>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</si>
  <si>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</si>
  <si>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</si>
  <si>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</si>
  <si>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</si>
  <si>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</si>
  <si>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</si>
  <si>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</si>
  <si>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</si>
  <si>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</si>
  <si>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</si>
  <si>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</si>
  <si>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</si>
  <si>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</si>
  <si>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</si>
  <si>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</si>
  <si>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</si>
  <si>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</si>
  <si>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</si>
  <si>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</si>
  <si>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</si>
  <si>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</si>
  <si>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</si>
  <si>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</si>
  <si>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</si>
  <si>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</si>
  <si>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</si>
  <si>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</si>
  <si>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</si>
  <si>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</si>
  <si>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</si>
  <si>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</si>
  <si>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</si>
  <si>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</si>
  <si>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</si>
  <si>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</si>
  <si>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</si>
  <si>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</si>
  <si>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</si>
  <si>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</si>
  <si>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</si>
  <si>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</si>
  <si>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</si>
  <si>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</si>
  <si>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</si>
  <si>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</si>
  <si>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</si>
  <si>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</si>
  <si>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</si>
  <si>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</si>
  <si>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</si>
  <si>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</si>
  <si>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</si>
  <si>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</si>
  <si>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</si>
  <si>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</si>
  <si>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</si>
  <si>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</si>
  <si>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</si>
  <si>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</si>
  <si>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</si>
  <si>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</si>
  <si>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</si>
  <si>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</si>
  <si>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</si>
  <si>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</si>
  <si>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</si>
  <si>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</si>
  <si>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</si>
  <si>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</si>
  <si>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</si>
  <si>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</si>
  <si>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</si>
  <si>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</si>
  <si>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</si>
  <si>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</si>
  <si>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</si>
  <si>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</si>
  <si>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</si>
  <si>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</si>
  <si>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</si>
  <si>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</si>
  <si>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</si>
  <si>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</si>
  <si>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</si>
  <si>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</si>
  <si>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</si>
  <si>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</si>
  <si>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</si>
  <si>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</si>
  <si>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</si>
  <si>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</si>
  <si>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</si>
  <si>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</si>
  <si>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</si>
  <si>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</si>
  <si>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</si>
  <si>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</si>
  <si>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</si>
  <si>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</si>
  <si>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</si>
  <si>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</si>
  <si>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</si>
  <si>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</si>
  <si>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</si>
  <si>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</si>
  <si>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</si>
  <si>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</si>
  <si>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</si>
  <si>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</si>
  <si>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verhouding ha cultuurgrond gemeente/Vlaanderen (%)</t>
  </si>
  <si>
    <t>cultuurgrond (ha)</t>
  </si>
  <si>
    <t>Totale N2O emissies bodem (direct + indirect) en ha cultuurgrond in Vlaanderen</t>
  </si>
  <si>
    <t>Mestbank</t>
  </si>
  <si>
    <t xml:space="preserve">Bruno Fernagut </t>
  </si>
  <si>
    <t>02/543 72 30</t>
  </si>
  <si>
    <t>bruno.fernagut@vlm.be</t>
  </si>
  <si>
    <t>VLM</t>
  </si>
  <si>
    <t>gemeentestatistieken gegevens mestbank</t>
  </si>
  <si>
    <t>kopie van cel B35 of eigen gegevens</t>
  </si>
  <si>
    <t>kopie van cel B27 of eigen gegevens</t>
  </si>
  <si>
    <t>EF N2O_CH4 landbouw'!A1</t>
  </si>
  <si>
    <t>ha_N2O bodem landbouw'!A1</t>
  </si>
  <si>
    <t>Aantal productie-installaties en geïnstalleerd vermogen per technologie en per gemeente dat in aanmerking komt voor groenestroomcertificaten</t>
  </si>
  <si>
    <t>Landbouw, bosbouw, visserij</t>
  </si>
  <si>
    <t>OVERIGE NIET-ENERGIEGERELATEERD</t>
  </si>
  <si>
    <t>industrie (niet-ETS)</t>
  </si>
  <si>
    <t>niet-ETS</t>
  </si>
  <si>
    <t>ETS</t>
  </si>
  <si>
    <t>Bedrijven</t>
  </si>
  <si>
    <t xml:space="preserve">Bedrijven </t>
  </si>
  <si>
    <t>waarvan hernieuwbaar</t>
  </si>
  <si>
    <t>Emissies CO2 / CO2-eq [t]</t>
  </si>
  <si>
    <t>CO2-emissiefactor in  [t/MWh]</t>
  </si>
  <si>
    <t>fossiele brandstoffen</t>
  </si>
  <si>
    <t>hernieuwbare brandstoffen</t>
  </si>
  <si>
    <t>E Balans VL '!A1</t>
  </si>
  <si>
    <t>Eigen Warmte Pomp en Zonneboilers Bestaande Bouw</t>
  </si>
  <si>
    <t>ZB</t>
  </si>
  <si>
    <t>WP</t>
  </si>
  <si>
    <t>E85</t>
  </si>
  <si>
    <t>Opgelet: kan meer dan 100% zijn omdat elektrische wagens hier boven op komen</t>
  </si>
  <si>
    <t xml:space="preserve">Tool Ondersteuning Burgemeestersconvenant - Deel 1: Emission Inventory </t>
  </si>
  <si>
    <t>COPERT</t>
  </si>
  <si>
    <t>VEA (juni 2015)</t>
  </si>
  <si>
    <t>Mestbank (mei 2015)</t>
  </si>
  <si>
    <t>Aantal productie-installaties en geïnstalleerd vermogen per technologie en per gemeente dat in aanmerking komt voor warmtekrachtcertificaten</t>
  </si>
  <si>
    <t>http://www.vreg.be/nl/warmte-krachtkoppeling</t>
  </si>
  <si>
    <t>landbouw (excl. zeevisserij)</t>
  </si>
  <si>
    <t>transport!B69</t>
  </si>
  <si>
    <t>transport!C38</t>
  </si>
  <si>
    <t>transport!B27</t>
  </si>
  <si>
    <t>ECF transport '!A1</t>
  </si>
  <si>
    <t>transport!D27</t>
  </si>
  <si>
    <t>actualisatie % hybride bussen De Lijn voor 2014 obv communicatie met De Lijn op 31/07/2015</t>
  </si>
  <si>
    <t>2014_01</t>
  </si>
  <si>
    <t>actualisatie %kg biobrandstoffen obv communicatie met VMM op 29/02/2016 - we gebruiken de % uit de EnergieBalans Vlaanderen</t>
  </si>
  <si>
    <t>actualisatie aandeel van brandstoftechnologieën in vkm obv COPERT 4.11.3-doorrekening voor 2014 (communicatie VMM op 26/02/2016)</t>
  </si>
  <si>
    <t>actualisatie surplus elektrische voertuigen (personenwagens en lichte vrachtwagens) (communicatie VMM op 03/03/2016)</t>
  </si>
  <si>
    <t>actualisatie ECF op basis van COPERT 4.11.3-doorrekening voor 2014 (communicatie VMM op 26/02/2016)</t>
  </si>
  <si>
    <t xml:space="preserve">Deze tool werd ontwikkeld door VITO in opdracht van de Vlaamse Overheid, Departement  Leefmilieu, Natuur en Energie  (Afdeling Milieu-, Natuur- en Energiebeleid). Deze tool moet steden en gemeenten in Vlaanderen ondersteunen bij de opmaak van een “baseline inventory” (BEI) en "monitoring emission inventory" (MEI) zoals gedefinieerd onder het Covenant of Mayors (CoM). Het referentiejaar in deze tool is het jaar 2014.
</t>
  </si>
  <si>
    <r>
      <t>sheet met resultaten inventaris voor</t>
    </r>
    <r>
      <rPr>
        <b/>
        <sz val="11"/>
        <color rgb="FF009999"/>
        <rFont val="Calibri"/>
        <family val="2"/>
        <scheme val="minor"/>
      </rPr>
      <t xml:space="preserve"> 2014</t>
    </r>
    <r>
      <rPr>
        <sz val="11"/>
        <color theme="1"/>
        <rFont val="Calibri"/>
        <family val="2"/>
        <scheme val="minor"/>
      </rPr>
      <t>, weergegeven in SEAP template</t>
    </r>
  </si>
  <si>
    <t>Energiebalans Vlaanderen voor 2014 voor sector huishoudens, tertiair, industrie (niet-ETS) en landbouw</t>
  </si>
  <si>
    <t>Bron: CH4 vee-model (VMM, 2016)</t>
  </si>
  <si>
    <t>Bron: N2O-model (VMM, 2016)</t>
  </si>
  <si>
    <t>VMM (2016)</t>
  </si>
  <si>
    <t>actualisatie emissiefactoren per diercategorie (VMM, 2016)</t>
  </si>
  <si>
    <t>actualisatie N2O emissies bodem VL voor het jaar 2014 (VMM, 2016)</t>
  </si>
  <si>
    <t>VITO Energiebalans Vlaanderen (februari 2016)</t>
  </si>
  <si>
    <t>MWh hoofdverw/hh (2014)</t>
  </si>
  <si>
    <t>MWh bijverwarming/hh (2014)</t>
  </si>
  <si>
    <t>aantallen 2014 voor hoofdverwarming</t>
  </si>
  <si>
    <t>aantallen 2014 voor bijverwarming</t>
  </si>
  <si>
    <t>huishoudens!A55</t>
  </si>
  <si>
    <t>actualisatie Energiebalans Vlaanderen niet-ETS (Energiebalans Vlaanderen, februari 2016)</t>
  </si>
  <si>
    <t>Inventaris 2014'!A1</t>
  </si>
  <si>
    <t>SEAP template met inventaris voor 2014</t>
  </si>
  <si>
    <t>SEAP template'!A1</t>
  </si>
  <si>
    <t>Eandis (februari 2016); Infrax (februari 2016)</t>
  </si>
  <si>
    <t>Verbruik aardgas en elektriciteit per gemeente en NACE-code voor 2014</t>
  </si>
  <si>
    <t>februari 2016</t>
  </si>
  <si>
    <t>Verbruik aardgas en elektriciteit per gemeente en NACE-code  voor 2014</t>
  </si>
  <si>
    <t>COPERT 4.11.3</t>
  </si>
  <si>
    <t>SVR-projecties van de bevolking en de huishoudens voor Vlaamse steden en gemeenten, 2010-2015</t>
  </si>
  <si>
    <t>maart 2016</t>
  </si>
  <si>
    <t>Studiedienst van de Vlaamse Regering (februari 2016)</t>
  </si>
  <si>
    <t xml:space="preserve">Energiebalans Vlaanderen </t>
  </si>
  <si>
    <t xml:space="preserve">emissiefactoren niet-energiegerelateerde emissies CH4 en N2O voor 2014 uit rekenmodellen VMM </t>
  </si>
  <si>
    <t>actualisatie gemiddeld verbruik per huishouden, per energiedrager (hoofdverwarming/bijverwarming) (Energiebalans Vlaanderen, 02/02/2016)</t>
  </si>
  <si>
    <t>Lichte voertuigen</t>
  </si>
  <si>
    <t>Zware voertuigen</t>
  </si>
  <si>
    <t>Lichte voertuigen_Genummerde wegen</t>
  </si>
  <si>
    <t>Zware voertuigen_Genummerde wegen</t>
  </si>
  <si>
    <t>Lichte voertuigen_Niet-genummerde wegen</t>
  </si>
  <si>
    <t>Zware voertuigen_Niet-genummerde wegen</t>
  </si>
  <si>
    <t>Lichte voertuigen_Snelwegen</t>
  </si>
  <si>
    <t>Zware voertuigen_Snelwegen</t>
  </si>
  <si>
    <t>DIESEL</t>
  </si>
  <si>
    <t>DIESEL HYBRID CS</t>
  </si>
  <si>
    <t>DIESEL HYBRID PHEV</t>
  </si>
  <si>
    <t>ELECTRIC</t>
  </si>
  <si>
    <t>FUEL CELL H2</t>
  </si>
  <si>
    <t>PETROL</t>
  </si>
  <si>
    <t>PETROL HYBRID CS</t>
  </si>
  <si>
    <t>PETROL HYBRID PHEV</t>
  </si>
  <si>
    <t>BUS</t>
  </si>
  <si>
    <t>snelwegen</t>
  </si>
  <si>
    <t>Index</t>
  </si>
  <si>
    <t>wijziging methodologie wegtransport: opsplitsing voertuigtypes naar zwaar vervoer en licht vervoer. Impact op volgende tabbladen</t>
  </si>
  <si>
    <t>* tabblad "transport": aanpassing berekeningen naar indeling twee voertuigtypes</t>
  </si>
  <si>
    <t>* tabblad "data": input opgesplitst naar twee voertuigtypes</t>
  </si>
  <si>
    <t>* tabblad "ECF Transport": input opgestplitst naar twee voertuigtypes</t>
  </si>
  <si>
    <t>data!A73</t>
  </si>
  <si>
    <t>ECF transport '!A2</t>
  </si>
  <si>
    <t>transport!A1</t>
  </si>
  <si>
    <t>Mestbank (juni 2016)</t>
  </si>
  <si>
    <t>aantal huishoudens 2014</t>
  </si>
  <si>
    <t>aantal afnemers aardgas 2014</t>
  </si>
  <si>
    <t>inschatting type energiedrager 2014</t>
  </si>
  <si>
    <t>2014_02</t>
  </si>
  <si>
    <t>E Balans VL - aanpassing waarden industrie</t>
  </si>
  <si>
    <t xml:space="preserve">VITO Energiebalans Vlaanderen (februari 2016) </t>
  </si>
  <si>
    <t>Cultuurgrond (ha)</t>
  </si>
  <si>
    <t>Bron: COPERT4.11.3 doorrekening VMM februari 2017</t>
  </si>
  <si>
    <t>Petrol Hybrid</t>
  </si>
  <si>
    <t>COPERT4.11.3 doorrekening VMM februari 2017</t>
  </si>
  <si>
    <t/>
  </si>
  <si>
    <t>Data VMM februari 2017</t>
  </si>
  <si>
    <t>transport!A21</t>
  </si>
  <si>
    <t>transport!A28</t>
  </si>
  <si>
    <t>2014_03</t>
  </si>
  <si>
    <t>februari 2017</t>
  </si>
  <si>
    <t>MOW (november 2016)</t>
  </si>
  <si>
    <t>Caroline De Bosscher</t>
  </si>
  <si>
    <t xml:space="preserve">053 / 72 66 55 </t>
  </si>
  <si>
    <t xml:space="preserve">c.debosscher@vmm.be </t>
  </si>
  <si>
    <t>Wilfrid Degroot</t>
  </si>
  <si>
    <t>015 / 408 791</t>
  </si>
  <si>
    <t>Wilfrid.degroot@delijn.be</t>
  </si>
  <si>
    <t xml:space="preserve">COPERT doorrekening </t>
  </si>
  <si>
    <t>COPERT 4.11</t>
  </si>
  <si>
    <t>EMISIA</t>
  </si>
  <si>
    <t>mei 2017</t>
  </si>
  <si>
    <t>Marlies Vanhulsel</t>
  </si>
  <si>
    <t>014 / 33 59 52</t>
  </si>
  <si>
    <t>marlies.vanhulsel@vito.be</t>
  </si>
  <si>
    <t>verdeling hybride/diesel aangeleverd door De Lijn</t>
  </si>
  <si>
    <t>november 2016</t>
  </si>
  <si>
    <t>standaardwaardes in COPERT-tool</t>
  </si>
  <si>
    <t>"fuel sold" - gerapporteerde brandstofverkopen</t>
  </si>
  <si>
    <t>Jaarverslag De Lijn</t>
  </si>
  <si>
    <t>Jaarverslag van De Lijn</t>
  </si>
  <si>
    <t>https://www.vlaanderen.be/nl/publicaties/detail/jaarverslag-de-lijn</t>
  </si>
  <si>
    <t>referentietaak LNE</t>
  </si>
  <si>
    <t>doorrekeningen openbaar vervoer door VITO in kader van referentietaak LNE</t>
  </si>
  <si>
    <t>MOW</t>
  </si>
  <si>
    <t>Departement Mobiliteit en Openbare werken</t>
  </si>
  <si>
    <t xml:space="preserve">Aantal voertuigkm per gemeente en per weg </t>
  </si>
  <si>
    <t>Ynte Vanderhoydonc</t>
  </si>
  <si>
    <t>03 / 224 96 16</t>
  </si>
  <si>
    <t>ynte.vanderhoydonc@mow.vlaanderen.be</t>
  </si>
  <si>
    <t>De Lijn (2015)</t>
  </si>
  <si>
    <t>Kaat Jespers</t>
  </si>
  <si>
    <t>014 / 33 58 48</t>
  </si>
  <si>
    <t>kaat.jespers@vito.be</t>
  </si>
  <si>
    <t>2014_04</t>
  </si>
  <si>
    <t>tabblad industrie: fout in formule C35</t>
  </si>
  <si>
    <t>industrie!C35</t>
  </si>
  <si>
    <t>tabblad SEAP template: switch M33 en N33</t>
  </si>
  <si>
    <t>SEAP template'!M33</t>
  </si>
  <si>
    <t>tabblad openbare verlichting: aanpassing formule cel B8 --&gt; = 0 indien na correctie &lt;0</t>
  </si>
  <si>
    <t>openbare verlichting'!B8</t>
  </si>
  <si>
    <t>tabblad EF ele_warmte: nationale emissiefactor elektriciteit cel B6: 0,208 ---&gt; 0,221 ton CO2 per MWh</t>
  </si>
  <si>
    <t>EF ele_warmte'!A1</t>
  </si>
  <si>
    <t>ton CO2 per MWh</t>
  </si>
  <si>
    <t>https://ec.europa.eu/jrc/en/publication/covenant-mayors-climate-and-energy-default-emission-factors-local-emission-inventories-version-2017</t>
  </si>
  <si>
    <t>JRC</t>
  </si>
  <si>
    <t>Covenant of Mayors for Climate and Energy: default emission factors for local emission inventories - version 2017</t>
  </si>
  <si>
    <t>Brigitte Koffi, Alessandro K. Cerutti, Marlene Duerr, Andreea Iancu, Albana Kona, Greet Janssens-Maenhout</t>
  </si>
  <si>
    <t>tabblad ECF transport: update cijfers obv doorrekening COPERT 4.11.3 door VMM (feb 2017)</t>
  </si>
  <si>
    <t>tabblad transport: update 'Verdeelsleutel voertuigkm over voertuigtechnologie' obv doorrekening COPERT 4.11.3 door VMM (feb 2017)</t>
  </si>
  <si>
    <t>tabblad transport: update '% Biobrandstoffen' obv doorrekening COPERT 4.11.3 door VMM (feb 2017)</t>
  </si>
  <si>
    <t>juni 2018</t>
  </si>
  <si>
    <t>maart 2018</t>
  </si>
  <si>
    <t>K. Jespers</t>
  </si>
  <si>
    <t>totale netto elektriciteitsproductie van PV en windturbines in Vlaanderen</t>
  </si>
  <si>
    <t>Vermogen PV, windturbines en waterkracht per jaar en per gemeente</t>
  </si>
  <si>
    <t>Aantal zonnecollectoren en warmtepompen per gemeente, per indienjaar en per functie uit EPB</t>
  </si>
  <si>
    <t>Ellen Moons</t>
  </si>
  <si>
    <t>02/553 27 52</t>
  </si>
  <si>
    <t>ellen.moons@vea.be</t>
  </si>
  <si>
    <t>Tine Jonckheere</t>
  </si>
  <si>
    <t>09/276 20 84</t>
  </si>
  <si>
    <t>tine.jonckheere@vea.be</t>
  </si>
  <si>
    <t>Lieven Van Lieshout</t>
  </si>
  <si>
    <t>02/553 46 22</t>
  </si>
  <si>
    <t>lieven.vanlieshout@vea.be</t>
  </si>
  <si>
    <t>Heleen Van Hoof</t>
  </si>
  <si>
    <t>02/553 70 95</t>
  </si>
  <si>
    <t>heleen.vanhoof@vea.be</t>
  </si>
  <si>
    <t>aanpassing formule landbouw cel N6 en L6 *(-1)</t>
  </si>
  <si>
    <t>2014_05</t>
  </si>
  <si>
    <t>toevoeging rekenblad betrouwbaarheid</t>
  </si>
  <si>
    <t>BETROUWBAARHEID</t>
  </si>
  <si>
    <t>Verbruik aangeleverd door netbeheerders, vermeerderd met de productie van PV &lt; =10 kWp; herschaling productie PV in Vlaanderen a rato van het geïnstalleerd vermogen</t>
  </si>
  <si>
    <t>warmte geleverd door warmtenet, indien door gemeente zelf ingegeven in de tool</t>
  </si>
  <si>
    <t>Verbruik aangeleverd door distributienetbeheerders; omgerekend van bovenste verbrandingswaarde naar onderste verbrandingswaarde met factor 0,902</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</si>
  <si>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</si>
  <si>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</si>
  <si>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niet van toepassing</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</si>
  <si>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</si>
  <si>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geen informatie beschikbaar</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</si>
  <si>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</si>
  <si>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</si>
  <si>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</si>
  <si>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Verbruik aangeleverd door netbeheerders, vermeerderd met lokaal geproduceerde elektriciteit WKK/motoren; lokale productie is ingeschat op basis van geïnstalleerd vermogen, gemiddeld rendement en gemiddeld aantal draaiuren</t>
  </si>
  <si>
    <t>Enkel warmte geleverd door WKK, ingeschat op basis van vermogen WKK en gemiddeld rendement en draaiuren; excl. warmte geleverd door warmtenet, tenzij door gemeente zelf in tool ingegeven</t>
  </si>
  <si>
    <t>Verbruik aangeleverd door distributienetbeheerders; omgerekend van bovenste verbrandingswaarde naar onderste verbrandingswaarde met factor 0,902; verminderd met verbruik aardgas voor lokale productie van elektriciteit en/of warmte</t>
  </si>
  <si>
    <t>Herschaling verbruik vloeibaar gas in Vlaanderen a rato van het elektriciteitsverbruik</t>
  </si>
  <si>
    <t>Herschaling verbruik stookolie in Vlaanderen a rato van het elektriciteitsverbruik; verminderd met verbruik stookolie voor lokale productie van elektriciteit en/of warmte</t>
  </si>
  <si>
    <t>Herschaling verbruik steenkool in Vlaanderen a rato van het elektriciteitsverbruik</t>
  </si>
  <si>
    <t>Inschatting verbruik op basis van vermogen en gemiddeld rendement en draaiuren</t>
  </si>
  <si>
    <t>Herschaling verbruik biomassa in Vlaanderen a rato van het elektriciteitsverbruik; verminderd met verbruik biomassa voor lokale productie van elektriciteit en/of warmte</t>
  </si>
  <si>
    <t>Verbruik aangeleverd door netbeheerders</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</si>
  <si>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</si>
  <si>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</si>
  <si>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</si>
  <si>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</si>
  <si>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</si>
  <si>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</si>
  <si>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</si>
  <si>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</si>
  <si>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door gemeente zelf in te geven in de tool</t>
  </si>
  <si>
    <t>Legende</t>
  </si>
  <si>
    <t>het cijfer is afgeleid uit lokale metingen/tellingen;
het cijfer is een nauwkeurige weerspiegeling van de lokale werkelijkheid;
de evolutie van het cijfer over de jaren heen laat toe om de impact van lokale inspanningen op te volgen.</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</si>
  <si>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</si>
  <si>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</si>
  <si>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</si>
  <si>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Gebouwen, installaties/voorzieningen niet toegekend</t>
  </si>
  <si>
    <t>Vervoer niet toegekend</t>
  </si>
  <si>
    <t>Overige niet toegekend</t>
  </si>
  <si>
    <t>Subtotaal overige</t>
  </si>
  <si>
    <t>waarvan niet-hernieuwbaar</t>
  </si>
  <si>
    <t>Geothermische energie</t>
  </si>
  <si>
    <t>niet toegekend</t>
  </si>
  <si>
    <t>JRC (2017)</t>
  </si>
  <si>
    <t>zonnethermische energie</t>
  </si>
  <si>
    <t>geothermische energie</t>
  </si>
  <si>
    <t>2014_06</t>
  </si>
  <si>
    <t>aanpassing SEAP template voor nieuwe layout --&gt; aanpassing gekoppelde rekenbladen</t>
  </si>
  <si>
    <t>Emissies CO2  [t]</t>
  </si>
  <si>
    <t>Plantaardige olie</t>
  </si>
  <si>
    <t>Zonnethermische energie</t>
  </si>
  <si>
    <t>Andere hernieuwbare energie</t>
  </si>
  <si>
    <t>Hernieuwbare elektriciteitsproductie</t>
  </si>
  <si>
    <t>Fossiele elektriciteitsproductie</t>
  </si>
  <si>
    <r>
      <t>Overige</t>
    </r>
    <r>
      <rPr>
        <b/>
        <i/>
        <sz val="11"/>
        <rFont val="Calibri"/>
        <family val="2"/>
        <scheme val="minor"/>
      </rPr>
      <t xml:space="preserve">  </t>
    </r>
    <r>
      <rPr>
        <b/>
        <sz val="11"/>
        <rFont val="Calibri"/>
        <family val="2"/>
        <scheme val="minor"/>
      </rPr>
      <t xml:space="preserve">                      </t>
    </r>
  </si>
  <si>
    <t xml:space="preserve">emissiefactor elektriciteit (lokaal) </t>
  </si>
  <si>
    <t>[t CO2/MWh]</t>
  </si>
  <si>
    <t>Emissies CO2 [t]</t>
  </si>
  <si>
    <t xml:space="preserve">Andere hernieuwbare energie </t>
  </si>
  <si>
    <t>Hernieuwbare warmteproductie</t>
  </si>
  <si>
    <t>Fossiele warmteproductie</t>
  </si>
  <si>
    <r>
      <t>Overige</t>
    </r>
    <r>
      <rPr>
        <b/>
        <sz val="11"/>
        <rFont val="Calibri"/>
        <family val="2"/>
        <scheme val="minor"/>
      </rPr>
      <t xml:space="preserve">                    </t>
    </r>
  </si>
  <si>
    <t xml:space="preserve">emissiefactor warmte (lokaal) </t>
  </si>
  <si>
    <t>herschaling Vlaamse productie op basis van het aandeel van het totaal gemeentespecifiek vermogen in totaal vermogen Vlaanderen; cijfers aangeleverd door het VEA</t>
  </si>
  <si>
    <t>emissies hernieuwbare energieprodcutie zijn altijd 0 ton aangezien aanname emissiefactor = 0 ton CO2 per MWh productie</t>
  </si>
  <si>
    <t>inschatting op basis van gemeentespecifiek vermogen installaties die WKC ontvangen en generieke productieparameters (draaiuren en rendement)</t>
  </si>
  <si>
    <t>inschatting op basis van gemeentespecifiek vermogen installaties die GSC ontvangen en generieke productieparameters (draaiuren en rendement) (afvalverbranding wordt door de gemeenten zelf in tool ingegeven)</t>
  </si>
  <si>
    <t>berekend op basis van nationale emissiefactor elektriciteit vastgelegd door JRC; gecorrigeerd voor elektriciteitsproductie op het grondgebied van de gemeenten en de aankoop van groene stroom door de gemeente</t>
  </si>
  <si>
    <t>berekend op basis van emissies warmteproductie op het grondgebied van de gemeente; gecorrigeerd voor import/export van warmte</t>
  </si>
  <si>
    <t>versie: 2014_07</t>
  </si>
  <si>
    <t>2014_07</t>
  </si>
  <si>
    <r>
      <t xml:space="preserve">aanpassing formule EF elektriciteit zodat som hernieuwbare </t>
    </r>
    <r>
      <rPr>
        <b/>
        <sz val="11"/>
        <color theme="1"/>
        <rFont val="Calibri"/>
        <family val="2"/>
        <scheme val="minor"/>
      </rPr>
      <t>en</t>
    </r>
    <r>
      <rPr>
        <sz val="11"/>
        <color theme="1"/>
        <rFont val="Calibri"/>
        <family val="2"/>
        <scheme val="minor"/>
      </rPr>
      <t xml:space="preserve"> niet-hernieuwbare elektriciteitsproductie wordt meegenomen</t>
    </r>
  </si>
  <si>
    <t>EF ele_warmte'!B4</t>
  </si>
  <si>
    <t>73098</t>
  </si>
  <si>
    <t>WELLEN</t>
  </si>
  <si>
    <t>Paarden&amp;pony's 200 - 600 kg</t>
  </si>
  <si>
    <t>Paarden&amp;pony's &lt; 200 kg</t>
  </si>
  <si>
    <t>referentietaak LNE (2017); Jaarverslag De Lijn (2014)</t>
  </si>
  <si>
    <t>op basis van VEA (maart 2018) en Inventaris Hernieuwbare Energiebronnen (juni 2018)</t>
  </si>
  <si>
    <t>VEA (maart 2016)</t>
  </si>
  <si>
    <t>VEA (juni 2018)</t>
  </si>
</sst>
</file>

<file path=xl/styles.xml><?xml version="1.0" encoding="utf-8"?>
<styleSheet xmlns="http://schemas.openxmlformats.org/spreadsheetml/2006/main">
  <numFmts count="17">
    <numFmt numFmtId="164" formatCode="_-* #,##0.00\ _€_-;\-* #,##0.00\ _€_-;_-* &quot;-&quot;??\ _€_-;_-@_-"/>
    <numFmt numFmtId="165" formatCode="_-&quot;£&quot;* #,##0_-;\-&quot;£&quot;* #,##0_-;_-&quot;£&quot;* &quot;-&quot;_-;_-@_-"/>
    <numFmt numFmtId="166" formatCode="_-* #,##0_-;\-* #,##0_-;_-* &quot;-&quot;_-;_-@_-"/>
    <numFmt numFmtId="167" formatCode="_-&quot;£&quot;* #,##0.00_-;\-&quot;£&quot;* #,##0.00_-;_-&quot;£&quot;* &quot;-&quot;??_-;_-@_-"/>
    <numFmt numFmtId="168" formatCode="_-* #,##0.00_-;\-* #,##0.00_-;_-* &quot;-&quot;??_-;_-@_-"/>
    <numFmt numFmtId="169" formatCode="_ * #,##0.00_ ;_ * \-#,##0.00_ ;_ * &quot;-&quot;??_ ;_ @_ "/>
    <numFmt numFmtId="170" formatCode="#,##0.0"/>
    <numFmt numFmtId="171" formatCode="0.000"/>
    <numFmt numFmtId="172" formatCode="_-* #,##0.00\ [$€]_-;\-* #,##0.00\ [$€]_-;_-* &quot;-&quot;??\ [$€]_-;_-@_-"/>
    <numFmt numFmtId="173" formatCode="0.0"/>
    <numFmt numFmtId="174" formatCode="#,##0.000"/>
    <numFmt numFmtId="175" formatCode="#,##0.000_ ;\-#,##0.000\ "/>
    <numFmt numFmtId="176" formatCode="0.0000"/>
    <numFmt numFmtId="177" formatCode="#,##0.0000"/>
    <numFmt numFmtId="178" formatCode="0.000000"/>
    <numFmt numFmtId="179" formatCode="_-* #,##0.0000\ [$€]_-;\-* #,##0.0000\ [$€]_-;_-* &quot;-&quot;??\ [$€]_-;_-@_-"/>
    <numFmt numFmtId="180" formatCode="#,##0.00_ ;\-#,##0.00\ "/>
  </numFmts>
  <fonts count="120">
    <font>
      <sz val="11"/>
      <color theme="1"/>
      <name val="Calibri"/>
      <family val="2"/>
      <scheme val="minor"/>
    </font>
    <font>
      <sz val="11"/>
      <name val="Calibri"/>
      <family val="2"/>
    </font>
    <font>
      <sz val="11"/>
      <name val="Calibri"/>
      <family val="2"/>
    </font>
    <font>
      <sz val="11"/>
      <name val="Calibri"/>
      <family val="2"/>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u/>
      <sz val="11"/>
      <name val="Calibri"/>
      <family val="2"/>
    </font>
    <font>
      <u/>
      <sz val="11"/>
      <color theme="0" tint="-0.249977111117893"/>
      <name val="Calibri"/>
      <family val="2"/>
    </font>
    <font>
      <sz val="10"/>
      <color theme="1"/>
      <name val="Arial"/>
      <family val="2"/>
    </font>
    <font>
      <b/>
      <sz val="13"/>
      <color theme="3"/>
      <name val="Arial"/>
      <family val="2"/>
    </font>
    <font>
      <sz val="10"/>
      <color rgb="FF9C6500"/>
      <name val="Arial"/>
      <family val="2"/>
    </font>
    <font>
      <b/>
      <sz val="16"/>
      <name val="Calibri"/>
      <family val="2"/>
    </font>
    <font>
      <sz val="16"/>
      <name val="Calibri"/>
      <family val="2"/>
      <scheme val="minor"/>
    </font>
    <font>
      <b/>
      <sz val="16"/>
      <color theme="1"/>
      <name val="Calibri"/>
      <family val="2"/>
      <scheme val="minor"/>
    </font>
    <font>
      <sz val="12"/>
      <color theme="1"/>
      <name val="Calibri"/>
      <family val="2"/>
      <scheme val="minor"/>
    </font>
    <font>
      <b/>
      <sz val="12"/>
      <name val="Calibri"/>
      <family val="2"/>
      <scheme val="minor"/>
    </font>
    <font>
      <b/>
      <sz val="11"/>
      <color indexed="8"/>
      <name val="Calibri"/>
      <family val="2"/>
      <scheme val="minor"/>
    </font>
    <font>
      <sz val="11"/>
      <color indexed="8"/>
      <name val="Calibri"/>
      <family val="2"/>
      <scheme val="minor"/>
    </font>
    <font>
      <b/>
      <i/>
      <sz val="11"/>
      <name val="Calibri"/>
      <family val="2"/>
      <scheme val="minor"/>
    </font>
    <font>
      <b/>
      <sz val="11"/>
      <color indexed="48"/>
      <name val="Calibri"/>
      <family val="2"/>
      <scheme val="minor"/>
    </font>
  </fonts>
  <fills count="31">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FFEB9C"/>
      </patternFill>
    </fill>
    <fill>
      <patternFill patternType="solid">
        <fgColor theme="4" tint="0.79998168889431442"/>
        <bgColor indexed="65"/>
      </patternFill>
    </fill>
    <fill>
      <patternFill patternType="solid">
        <fgColor theme="9"/>
        <bgColor indexed="64"/>
      </patternFill>
    </fill>
    <fill>
      <patternFill patternType="solid">
        <fgColor theme="6"/>
        <bgColor indexed="64"/>
      </patternFill>
    </fill>
    <fill>
      <patternFill patternType="solid">
        <fgColor theme="5"/>
        <bgColor indexed="64"/>
      </patternFill>
    </fill>
  </fills>
  <borders count="201">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style="thin">
        <color auto="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style="thin">
        <color auto="1"/>
      </left>
      <right style="thin">
        <color auto="1"/>
      </right>
      <top style="thin">
        <color auto="1"/>
      </top>
      <bottom style="thin">
        <color auto="1"/>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auto="1"/>
      </left>
      <right style="thin">
        <color theme="0" tint="-0.24994659260841701"/>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right style="thin">
        <color indexed="64"/>
      </right>
      <top/>
      <bottom style="thin">
        <color theme="0"/>
      </bottom>
      <diagonal/>
    </border>
    <border>
      <left/>
      <right style="thin">
        <color indexed="64"/>
      </right>
      <top style="thin">
        <color theme="0"/>
      </top>
      <bottom style="thin">
        <color theme="0"/>
      </bottom>
      <diagonal/>
    </border>
    <border>
      <left style="thin">
        <color indexed="64"/>
      </left>
      <right/>
      <top style="thin">
        <color indexed="64"/>
      </top>
      <bottom style="thin">
        <color indexed="64"/>
      </bottom>
      <diagonal/>
    </border>
    <border>
      <left/>
      <right style="thin">
        <color theme="0"/>
      </right>
      <top style="thin">
        <color indexed="64"/>
      </top>
      <bottom style="thin">
        <color indexed="64"/>
      </bottom>
      <diagonal/>
    </border>
    <border>
      <left/>
      <right style="thin">
        <color theme="0"/>
      </right>
      <top/>
      <bottom/>
      <diagonal/>
    </border>
    <border>
      <left style="thin">
        <color auto="1"/>
      </left>
      <right style="thin">
        <color indexed="64"/>
      </right>
      <top style="thin">
        <color theme="0"/>
      </top>
      <bottom/>
      <diagonal/>
    </border>
    <border>
      <left style="thin">
        <color theme="0" tint="-0.24994659260841701"/>
      </left>
      <right/>
      <top style="thin">
        <color theme="0" tint="-0.24994659260841701"/>
      </top>
      <bottom style="thin">
        <color theme="0" tint="-0.24994659260841701"/>
      </bottom>
      <diagonal/>
    </border>
    <border>
      <left/>
      <right style="thick">
        <color indexed="64"/>
      </right>
      <top/>
      <bottom style="medium">
        <color indexed="64"/>
      </bottom>
      <diagonal/>
    </border>
    <border>
      <left style="thick">
        <color indexed="64"/>
      </left>
      <right style="thin">
        <color indexed="64"/>
      </right>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thick">
        <color indexed="64"/>
      </bottom>
      <diagonal/>
    </border>
    <border>
      <left style="thin">
        <color theme="1"/>
      </left>
      <right style="thin">
        <color indexed="64"/>
      </right>
      <top style="thin">
        <color theme="0"/>
      </top>
      <bottom style="thin">
        <color indexed="64"/>
      </bottom>
      <diagonal/>
    </border>
    <border>
      <left/>
      <right style="thick">
        <color indexed="64"/>
      </right>
      <top style="thin">
        <color indexed="64"/>
      </top>
      <bottom/>
      <diagonal/>
    </border>
    <border>
      <left style="thin">
        <color auto="1"/>
      </left>
      <right style="thin">
        <color auto="1"/>
      </right>
      <top style="thin">
        <color auto="1"/>
      </top>
      <bottom style="thin">
        <color auto="1"/>
      </bottom>
      <diagonal/>
    </border>
    <border>
      <left/>
      <right/>
      <top/>
      <bottom style="thin">
        <color rgb="FF3FC6CD"/>
      </bottom>
      <diagonal/>
    </border>
  </borders>
  <cellStyleXfs count="189">
    <xf numFmtId="172" fontId="0" fillId="0" borderId="0"/>
    <xf numFmtId="172" fontId="5" fillId="0" borderId="1" applyNumberFormat="0" applyFill="0" applyAlignment="0" applyProtection="0"/>
    <xf numFmtId="172" fontId="6" fillId="0" borderId="2" applyNumberFormat="0" applyFill="0" applyAlignment="0" applyProtection="0"/>
    <xf numFmtId="172" fontId="6" fillId="0" borderId="0" applyNumberFormat="0" applyFill="0" applyBorder="0" applyAlignment="0" applyProtection="0"/>
    <xf numFmtId="172" fontId="7" fillId="0" borderId="0"/>
    <xf numFmtId="172" fontId="12" fillId="0" borderId="0"/>
    <xf numFmtId="172" fontId="12" fillId="0" borderId="0"/>
    <xf numFmtId="172" fontId="18" fillId="0" borderId="0"/>
    <xf numFmtId="4" fontId="29" fillId="5" borderId="20">
      <alignment horizontal="right" vertical="center"/>
    </xf>
    <xf numFmtId="172" fontId="19" fillId="6" borderId="21" applyFont="0" applyBorder="0">
      <alignment vertical="center"/>
    </xf>
    <xf numFmtId="172" fontId="30" fillId="7" borderId="0" applyNumberFormat="0" applyBorder="0" applyAlignment="0" applyProtection="0"/>
    <xf numFmtId="172" fontId="31" fillId="0" borderId="0" applyNumberFormat="0" applyAlignment="0" applyProtection="0"/>
    <xf numFmtId="170" fontId="19" fillId="0" borderId="15">
      <alignment vertical="center"/>
    </xf>
    <xf numFmtId="170" fontId="19" fillId="0" borderId="15">
      <alignment vertical="center"/>
    </xf>
    <xf numFmtId="170" fontId="19" fillId="0" borderId="15">
      <alignment vertical="center"/>
    </xf>
    <xf numFmtId="164" fontId="7" fillId="0" borderId="0" applyFont="0" applyFill="0" applyBorder="0" applyAlignment="0" applyProtection="0"/>
    <xf numFmtId="172" fontId="12" fillId="8" borderId="0" applyNumberFormat="0" applyBorder="0" applyAlignment="0">
      <protection hidden="1"/>
    </xf>
    <xf numFmtId="172" fontId="32" fillId="0" borderId="0" applyNumberFormat="0" applyFont="0" applyAlignment="0"/>
    <xf numFmtId="166" fontId="12" fillId="0" borderId="0" applyFont="0" applyFill="0" applyBorder="0" applyAlignment="0" applyProtection="0"/>
    <xf numFmtId="168" fontId="12" fillId="0" borderId="0" applyFont="0" applyFill="0" applyBorder="0" applyAlignment="0" applyProtection="0"/>
    <xf numFmtId="172" fontId="12" fillId="0" borderId="0" applyFont="0" applyFill="0" applyBorder="0" applyAlignment="0" applyProtection="0"/>
    <xf numFmtId="172" fontId="33" fillId="0" borderId="0" applyNumberFormat="0" applyFill="0" applyBorder="0" applyAlignment="0" applyProtection="0">
      <alignment vertical="top"/>
      <protection locked="0"/>
    </xf>
    <xf numFmtId="173" fontId="26" fillId="8" borderId="15">
      <alignment horizontal="right" vertical="center"/>
    </xf>
    <xf numFmtId="173" fontId="26" fillId="8" borderId="15">
      <alignment horizontal="right" vertical="center"/>
    </xf>
    <xf numFmtId="173" fontId="26" fillId="8" borderId="15">
      <alignment horizontal="right" vertical="center"/>
    </xf>
    <xf numFmtId="173" fontId="34" fillId="9" borderId="15">
      <alignment horizontal="right" vertical="center"/>
    </xf>
    <xf numFmtId="173" fontId="34" fillId="9" borderId="15">
      <alignment horizontal="right" vertical="center"/>
    </xf>
    <xf numFmtId="173" fontId="34" fillId="9" borderId="15">
      <alignment horizontal="right" vertical="center"/>
    </xf>
    <xf numFmtId="169" fontId="12" fillId="0" borderId="0" applyFont="0" applyFill="0" applyBorder="0" applyAlignment="0" applyProtection="0"/>
    <xf numFmtId="172" fontId="12" fillId="10" borderId="0" applyNumberFormat="0" applyFont="0" applyBorder="0" applyAlignment="0"/>
    <xf numFmtId="166" fontId="35" fillId="0" borderId="0" applyFont="0" applyFill="0" applyBorder="0" applyAlignment="0" applyProtection="0"/>
    <xf numFmtId="168" fontId="35" fillId="0" borderId="0" applyFont="0" applyFill="0" applyBorder="0" applyAlignment="0" applyProtection="0"/>
    <xf numFmtId="165" fontId="35" fillId="0" borderId="0" applyFont="0" applyFill="0" applyBorder="0" applyAlignment="0" applyProtection="0"/>
    <xf numFmtId="167" fontId="35" fillId="0" borderId="0" applyFont="0" applyFill="0" applyBorder="0" applyAlignment="0" applyProtection="0"/>
    <xf numFmtId="172" fontId="36" fillId="0" borderId="0"/>
    <xf numFmtId="172" fontId="12" fillId="0" borderId="0"/>
    <xf numFmtId="172" fontId="36" fillId="0" borderId="0"/>
    <xf numFmtId="172" fontId="18" fillId="0" borderId="0"/>
    <xf numFmtId="172" fontId="12" fillId="0" borderId="0"/>
    <xf numFmtId="4" fontId="29" fillId="0" borderId="15" applyFill="0" applyBorder="0" applyProtection="0">
      <alignment horizontal="right" vertical="center"/>
    </xf>
    <xf numFmtId="172" fontId="19" fillId="11" borderId="22" applyProtection="0">
      <alignment vertical="center"/>
    </xf>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172" fontId="12" fillId="0" borderId="0"/>
    <xf numFmtId="172" fontId="37" fillId="1" borderId="23" applyNumberFormat="0" applyProtection="0">
      <alignment horizontal="left" vertical="top"/>
    </xf>
    <xf numFmtId="172" fontId="38" fillId="0" borderId="0"/>
    <xf numFmtId="165" fontId="12" fillId="0" borderId="0" applyFont="0" applyFill="0" applyBorder="0" applyAlignment="0" applyProtection="0"/>
    <xf numFmtId="167" fontId="12" fillId="0" borderId="0" applyFont="0" applyFill="0" applyBorder="0" applyAlignment="0" applyProtection="0"/>
    <xf numFmtId="165" fontId="12" fillId="0" borderId="0" applyFont="0" applyFill="0" applyBorder="0" applyAlignment="0" applyProtection="0"/>
    <xf numFmtId="167" fontId="12" fillId="0" borderId="0" applyFont="0" applyFill="0" applyBorder="0" applyAlignment="0" applyProtection="0"/>
    <xf numFmtId="172" fontId="39" fillId="0" borderId="24">
      <alignment horizontal="left"/>
    </xf>
    <xf numFmtId="9" fontId="7" fillId="0" borderId="0" applyFont="0" applyFill="0" applyBorder="0" applyAlignment="0" applyProtection="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54" fillId="0" borderId="0"/>
    <xf numFmtId="172" fontId="54"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54" fillId="0" borderId="0"/>
    <xf numFmtId="172" fontId="54" fillId="0" borderId="0"/>
    <xf numFmtId="172" fontId="7"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7" fillId="0" borderId="0"/>
    <xf numFmtId="172" fontId="7" fillId="0" borderId="0"/>
    <xf numFmtId="172" fontId="12" fillId="0" borderId="0"/>
    <xf numFmtId="172" fontId="12" fillId="0" borderId="0"/>
    <xf numFmtId="172" fontId="54" fillId="0" borderId="0"/>
    <xf numFmtId="172" fontId="12" fillId="0" borderId="0"/>
    <xf numFmtId="172" fontId="12" fillId="0" borderId="0"/>
    <xf numFmtId="172" fontId="54" fillId="0" borderId="0"/>
    <xf numFmtId="172" fontId="54" fillId="0" borderId="0"/>
    <xf numFmtId="172" fontId="12" fillId="0" borderId="0"/>
    <xf numFmtId="172" fontId="12" fillId="0" borderId="0"/>
    <xf numFmtId="172" fontId="12" fillId="0" borderId="0"/>
    <xf numFmtId="172" fontId="12" fillId="0" borderId="0"/>
    <xf numFmtId="172" fontId="54" fillId="0" borderId="0"/>
    <xf numFmtId="172" fontId="74" fillId="0" borderId="0" applyNumberFormat="0" applyFill="0" applyBorder="0" applyAlignment="0" applyProtection="0">
      <alignment vertical="top"/>
      <protection locked="0"/>
    </xf>
    <xf numFmtId="0" fontId="7" fillId="0" borderId="0"/>
    <xf numFmtId="0" fontId="7" fillId="0" borderId="0"/>
    <xf numFmtId="172" fontId="7" fillId="0" borderId="0"/>
    <xf numFmtId="172" fontId="4" fillId="0" borderId="0" applyNumberFormat="0" applyFill="0" applyBorder="0" applyAlignment="0" applyProtection="0"/>
    <xf numFmtId="172" fontId="5" fillId="0" borderId="1" applyNumberFormat="0" applyFill="0" applyAlignment="0" applyProtection="0"/>
    <xf numFmtId="172" fontId="6" fillId="0" borderId="2" applyNumberFormat="0" applyFill="0" applyAlignment="0" applyProtection="0"/>
    <xf numFmtId="172" fontId="6" fillId="0" borderId="0" applyNumberFormat="0" applyFill="0" applyBorder="0" applyAlignment="0" applyProtection="0"/>
    <xf numFmtId="0" fontId="7" fillId="0" borderId="0"/>
    <xf numFmtId="169" fontId="7" fillId="0" borderId="0" applyFont="0" applyFill="0" applyBorder="0" applyAlignment="0" applyProtection="0"/>
    <xf numFmtId="0" fontId="54" fillId="0" borderId="0"/>
    <xf numFmtId="0" fontId="108" fillId="0" borderId="0"/>
    <xf numFmtId="0" fontId="4" fillId="0" borderId="0" applyNumberFormat="0" applyFill="0" applyBorder="0" applyAlignment="0" applyProtection="0"/>
    <xf numFmtId="0" fontId="109" fillId="0" borderId="176" applyNumberFormat="0" applyFill="0" applyAlignment="0" applyProtection="0"/>
    <xf numFmtId="0" fontId="110" fillId="26" borderId="0" applyNumberFormat="0" applyBorder="0" applyAlignment="0" applyProtection="0"/>
    <xf numFmtId="0" fontId="108" fillId="27" borderId="0" applyNumberFormat="0" applyBorder="0" applyAlignment="0" applyProtection="0"/>
    <xf numFmtId="9" fontId="108" fillId="0" borderId="0" applyFont="0" applyFill="0" applyBorder="0" applyAlignment="0" applyProtection="0"/>
    <xf numFmtId="0" fontId="54" fillId="0" borderId="0"/>
    <xf numFmtId="172" fontId="7" fillId="0" borderId="0"/>
    <xf numFmtId="173" fontId="3" fillId="9" borderId="15">
      <alignment horizontal="right" vertical="center"/>
    </xf>
    <xf numFmtId="173" fontId="3" fillId="9" borderId="15">
      <alignment horizontal="right" vertical="center"/>
    </xf>
    <xf numFmtId="173" fontId="3" fillId="9" borderId="15">
      <alignment horizontal="right" vertical="center"/>
    </xf>
    <xf numFmtId="9" fontId="7" fillId="0" borderId="0" applyFont="0" applyFill="0" applyBorder="0" applyAlignment="0" applyProtection="0"/>
    <xf numFmtId="172" fontId="74" fillId="0" borderId="0" applyNumberFormat="0" applyFill="0" applyBorder="0" applyAlignment="0" applyProtection="0">
      <alignment vertical="top"/>
      <protection locked="0"/>
    </xf>
    <xf numFmtId="9" fontId="54" fillId="0" borderId="0" applyFont="0" applyFill="0" applyBorder="0" applyAlignment="0" applyProtection="0"/>
    <xf numFmtId="0" fontId="7" fillId="0" borderId="0"/>
    <xf numFmtId="172" fontId="7" fillId="0" borderId="0"/>
    <xf numFmtId="172" fontId="4" fillId="0" borderId="0" applyNumberFormat="0" applyFill="0" applyBorder="0" applyAlignment="0" applyProtection="0"/>
    <xf numFmtId="172" fontId="5" fillId="0" borderId="1" applyNumberFormat="0" applyFill="0" applyAlignment="0" applyProtection="0"/>
    <xf numFmtId="172" fontId="6" fillId="0" borderId="2" applyNumberFormat="0" applyFill="0" applyAlignment="0" applyProtection="0"/>
    <xf numFmtId="172" fontId="6" fillId="0" borderId="0" applyNumberFormat="0" applyFill="0" applyBorder="0" applyAlignment="0" applyProtection="0"/>
    <xf numFmtId="173" fontId="2" fillId="9" borderId="15">
      <alignment horizontal="right" vertical="center"/>
    </xf>
    <xf numFmtId="173" fontId="2" fillId="9" borderId="15">
      <alignment horizontal="right" vertical="center"/>
    </xf>
    <xf numFmtId="173" fontId="2" fillId="9" borderId="15">
      <alignment horizontal="right" vertical="center"/>
    </xf>
    <xf numFmtId="0" fontId="7" fillId="0" borderId="0"/>
    <xf numFmtId="173" fontId="2" fillId="9" borderId="15">
      <alignment horizontal="right" vertical="center"/>
    </xf>
    <xf numFmtId="173" fontId="2" fillId="9" borderId="15">
      <alignment horizontal="right" vertical="center"/>
    </xf>
    <xf numFmtId="173" fontId="2" fillId="9" borderId="15">
      <alignment horizontal="right" vertical="center"/>
    </xf>
    <xf numFmtId="172" fontId="6" fillId="0" borderId="2" applyNumberFormat="0" applyFill="0" applyAlignment="0" applyProtection="0"/>
  </cellStyleXfs>
  <cellXfs count="1312">
    <xf numFmtId="172" fontId="0" fillId="0" borderId="0" xfId="0"/>
    <xf numFmtId="172" fontId="6" fillId="0" borderId="0" xfId="3"/>
    <xf numFmtId="170" fontId="15" fillId="0" borderId="0" xfId="5" applyNumberFormat="1" applyFont="1" applyFill="1"/>
    <xf numFmtId="172" fontId="0" fillId="0" borderId="7" xfId="0" applyBorder="1"/>
    <xf numFmtId="172" fontId="0" fillId="0" borderId="10" xfId="0" applyBorder="1"/>
    <xf numFmtId="172" fontId="9" fillId="0" borderId="7" xfId="0" applyFont="1" applyBorder="1"/>
    <xf numFmtId="172" fontId="19" fillId="0" borderId="0" xfId="7" applyFont="1" applyFill="1" applyBorder="1" applyAlignment="1">
      <alignment wrapText="1"/>
    </xf>
    <xf numFmtId="172" fontId="17" fillId="0" borderId="0" xfId="0" applyFont="1"/>
    <xf numFmtId="172" fontId="9" fillId="0" borderId="0" xfId="0" applyFont="1"/>
    <xf numFmtId="172" fontId="25" fillId="0" borderId="0" xfId="0" applyFont="1" applyBorder="1"/>
    <xf numFmtId="172" fontId="8" fillId="0" borderId="0" xfId="0" applyFont="1"/>
    <xf numFmtId="172" fontId="26" fillId="0" borderId="0" xfId="0" applyFont="1"/>
    <xf numFmtId="172" fontId="41" fillId="12" borderId="15" xfId="0" applyFont="1" applyFill="1" applyBorder="1" applyAlignment="1">
      <alignment horizontal="center" vertical="center" wrapText="1"/>
    </xf>
    <xf numFmtId="172" fontId="40" fillId="0" borderId="0" xfId="0" applyFont="1" applyFill="1" applyBorder="1" applyAlignment="1">
      <alignment horizontal="center" vertical="center" wrapText="1"/>
    </xf>
    <xf numFmtId="3" fontId="41" fillId="0" borderId="0" xfId="0" applyNumberFormat="1" applyFont="1" applyFill="1" applyBorder="1" applyAlignment="1">
      <alignment horizontal="center" vertical="center" wrapText="1"/>
    </xf>
    <xf numFmtId="172" fontId="0" fillId="0" borderId="0" xfId="0" applyFill="1"/>
    <xf numFmtId="172" fontId="9"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2" fontId="9" fillId="13" borderId="15" xfId="0" applyFont="1" applyFill="1" applyBorder="1"/>
    <xf numFmtId="3" fontId="9" fillId="13" borderId="15" xfId="0" applyNumberFormat="1" applyFont="1" applyFill="1" applyBorder="1" applyAlignment="1">
      <alignment horizontal="center"/>
    </xf>
    <xf numFmtId="174" fontId="0" fillId="0" borderId="0" xfId="0" applyNumberFormat="1" applyAlignment="1">
      <alignment horizontal="center"/>
    </xf>
    <xf numFmtId="3" fontId="0" fillId="13" borderId="15" xfId="0" applyNumberFormat="1" applyFill="1" applyBorder="1" applyAlignment="1">
      <alignment horizontal="center"/>
    </xf>
    <xf numFmtId="172" fontId="9" fillId="14" borderId="15" xfId="0" applyFont="1" applyFill="1" applyBorder="1"/>
    <xf numFmtId="174"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2" fontId="20"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4" fontId="0" fillId="17" borderId="15" xfId="0" applyNumberFormat="1" applyFill="1" applyBorder="1" applyAlignment="1">
      <alignment horizontal="center"/>
    </xf>
    <xf numFmtId="172"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172" fontId="0" fillId="0" borderId="0" xfId="0" applyFill="1" applyBorder="1" applyAlignment="1">
      <alignment horizontal="center"/>
    </xf>
    <xf numFmtId="3" fontId="0" fillId="2" borderId="0" xfId="0" applyNumberFormat="1" applyFill="1" applyBorder="1" applyAlignment="1">
      <alignment horizontal="center"/>
    </xf>
    <xf numFmtId="174"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2" fontId="0" fillId="0" borderId="15" xfId="0" applyFill="1" applyBorder="1"/>
    <xf numFmtId="172" fontId="9" fillId="0" borderId="0" xfId="0" applyFont="1" applyFill="1" applyBorder="1"/>
    <xf numFmtId="172" fontId="0" fillId="0" borderId="0" xfId="0" applyBorder="1"/>
    <xf numFmtId="172" fontId="0" fillId="0" borderId="21" xfId="0" applyBorder="1"/>
    <xf numFmtId="172" fontId="0" fillId="0" borderId="103" xfId="0" applyBorder="1"/>
    <xf numFmtId="172" fontId="9"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2" fontId="50" fillId="0" borderId="0" xfId="0" applyFont="1" applyFill="1"/>
    <xf numFmtId="172" fontId="49" fillId="0" borderId="0" xfId="0" applyFont="1"/>
    <xf numFmtId="3" fontId="0" fillId="0" borderId="0" xfId="0" applyNumberFormat="1" applyFill="1"/>
    <xf numFmtId="10" fontId="0" fillId="0" borderId="0" xfId="54" applyNumberFormat="1" applyFont="1" applyBorder="1" applyAlignment="1">
      <alignment horizontal="center" vertical="center"/>
    </xf>
    <xf numFmtId="3" fontId="9" fillId="0" borderId="0" xfId="0" applyNumberFormat="1" applyFont="1" applyFill="1" applyBorder="1" applyAlignment="1">
      <alignment horizontal="center"/>
    </xf>
    <xf numFmtId="172" fontId="26" fillId="0" borderId="0" xfId="3" applyFont="1"/>
    <xf numFmtId="174" fontId="26" fillId="14" borderId="15" xfId="0" applyNumberFormat="1" applyFont="1" applyFill="1" applyBorder="1" applyAlignment="1">
      <alignment horizontal="center"/>
    </xf>
    <xf numFmtId="174" fontId="8" fillId="14" borderId="15" xfId="0" applyNumberFormat="1" applyFont="1" applyFill="1" applyBorder="1" applyAlignment="1">
      <alignment horizontal="center"/>
    </xf>
    <xf numFmtId="172" fontId="0" fillId="0" borderId="0" xfId="0" applyFont="1" applyFill="1" applyBorder="1"/>
    <xf numFmtId="3" fontId="56" fillId="0" borderId="0" xfId="0" applyNumberFormat="1" applyFont="1" applyBorder="1" applyAlignment="1">
      <alignment horizontal="center"/>
    </xf>
    <xf numFmtId="3" fontId="12" fillId="0" borderId="0" xfId="0" applyNumberFormat="1" applyFont="1" applyBorder="1" applyAlignment="1">
      <alignment horizontal="center"/>
    </xf>
    <xf numFmtId="3" fontId="57" fillId="0" borderId="0" xfId="0" applyNumberFormat="1" applyFont="1" applyBorder="1" applyAlignment="1">
      <alignment horizontal="center"/>
    </xf>
    <xf numFmtId="3" fontId="58" fillId="0" borderId="0" xfId="0" applyNumberFormat="1" applyFont="1" applyAlignment="1">
      <alignment horizontal="center"/>
    </xf>
    <xf numFmtId="3" fontId="60" fillId="0" borderId="0" xfId="0" applyNumberFormat="1" applyFont="1" applyAlignment="1">
      <alignment horizontal="center"/>
    </xf>
    <xf numFmtId="3" fontId="60" fillId="12" borderId="6" xfId="0" applyNumberFormat="1" applyFont="1" applyFill="1" applyBorder="1" applyAlignment="1">
      <alignment horizontal="center" vertical="center" wrapText="1"/>
    </xf>
    <xf numFmtId="3" fontId="60" fillId="12" borderId="39" xfId="0" applyNumberFormat="1" applyFont="1" applyFill="1" applyBorder="1" applyAlignment="1">
      <alignment horizontal="center" vertical="center" wrapText="1"/>
    </xf>
    <xf numFmtId="3" fontId="60" fillId="12" borderId="58" xfId="0" applyNumberFormat="1" applyFont="1" applyFill="1" applyBorder="1" applyAlignment="1">
      <alignment horizontal="center" vertical="center" wrapText="1"/>
    </xf>
    <xf numFmtId="3" fontId="58" fillId="0" borderId="0" xfId="0" applyNumberFormat="1" applyFont="1" applyAlignment="1">
      <alignment horizontal="center" vertical="center"/>
    </xf>
    <xf numFmtId="172" fontId="76" fillId="0" borderId="0" xfId="0" applyFont="1"/>
    <xf numFmtId="172" fontId="80" fillId="0" borderId="0" xfId="0" applyFont="1" applyFill="1" applyBorder="1" applyAlignment="1">
      <alignment horizontal="left" vertical="center" wrapText="1"/>
    </xf>
    <xf numFmtId="172" fontId="77" fillId="0" borderId="0" xfId="0" applyFont="1" applyFill="1" applyBorder="1" applyAlignment="1">
      <alignment horizontal="left" vertical="center" wrapText="1"/>
    </xf>
    <xf numFmtId="172" fontId="79" fillId="0" borderId="0" xfId="0" applyFont="1" applyFill="1" applyBorder="1" applyAlignment="1">
      <alignment horizontal="left" vertical="center" wrapText="1"/>
    </xf>
    <xf numFmtId="172" fontId="82" fillId="0" borderId="0" xfId="0" applyFont="1" applyFill="1"/>
    <xf numFmtId="172" fontId="80" fillId="0" borderId="111" xfId="0" applyFont="1" applyFill="1" applyBorder="1" applyAlignment="1">
      <alignment horizontal="left" vertical="center" wrapText="1"/>
    </xf>
    <xf numFmtId="172" fontId="55" fillId="12" borderId="0" xfId="0" applyFont="1" applyFill="1" applyBorder="1" applyAlignment="1">
      <alignment horizontal="left" vertical="center" wrapText="1"/>
    </xf>
    <xf numFmtId="172" fontId="0" fillId="0" borderId="110" xfId="0" applyBorder="1" applyAlignment="1">
      <alignment vertical="top" wrapText="1"/>
    </xf>
    <xf numFmtId="170" fontId="13" fillId="23" borderId="5" xfId="5" applyNumberFormat="1" applyFont="1" applyFill="1" applyBorder="1" applyAlignment="1">
      <alignment horizontal="center"/>
    </xf>
    <xf numFmtId="170" fontId="13" fillId="23" borderId="5" xfId="5" quotePrefix="1" applyNumberFormat="1" applyFont="1" applyFill="1" applyBorder="1" applyAlignment="1">
      <alignment horizontal="center"/>
    </xf>
    <xf numFmtId="170" fontId="13" fillId="23" borderId="6" xfId="5" applyNumberFormat="1" applyFont="1" applyFill="1" applyBorder="1" applyAlignment="1">
      <alignment horizontal="center"/>
    </xf>
    <xf numFmtId="170" fontId="13" fillId="23" borderId="6" xfId="5" quotePrefix="1" applyNumberFormat="1" applyFont="1" applyFill="1" applyBorder="1" applyAlignment="1">
      <alignment horizontal="center"/>
    </xf>
    <xf numFmtId="170" fontId="14" fillId="23" borderId="5" xfId="5" applyNumberFormat="1" applyFont="1" applyFill="1" applyBorder="1" applyAlignment="1">
      <alignment horizontal="center"/>
    </xf>
    <xf numFmtId="170" fontId="14" fillId="23" borderId="5" xfId="5" quotePrefix="1" applyNumberFormat="1" applyFont="1" applyFill="1" applyBorder="1" applyAlignment="1">
      <alignment horizontal="center"/>
    </xf>
    <xf numFmtId="170" fontId="15" fillId="23" borderId="0" xfId="5" applyNumberFormat="1" applyFont="1" applyFill="1" applyBorder="1" applyAlignment="1">
      <alignment horizontal="center"/>
    </xf>
    <xf numFmtId="170" fontId="13" fillId="23" borderId="9" xfId="5" applyNumberFormat="1" applyFont="1" applyFill="1" applyBorder="1" applyAlignment="1">
      <alignment horizontal="center"/>
    </xf>
    <xf numFmtId="170" fontId="13" fillId="23" borderId="0" xfId="5" quotePrefix="1" applyNumberFormat="1" applyFont="1" applyFill="1" applyBorder="1" applyAlignment="1">
      <alignment horizontal="center"/>
    </xf>
    <xf numFmtId="170" fontId="13" fillId="23" borderId="0" xfId="5" applyNumberFormat="1" applyFont="1" applyFill="1" applyBorder="1" applyAlignment="1">
      <alignment horizontal="center"/>
    </xf>
    <xf numFmtId="170" fontId="13" fillId="23" borderId="9" xfId="5" quotePrefix="1" applyNumberFormat="1" applyFont="1" applyFill="1" applyBorder="1" applyAlignment="1">
      <alignment horizontal="center"/>
    </xf>
    <xf numFmtId="170" fontId="14" fillId="23" borderId="0" xfId="5" applyNumberFormat="1" applyFont="1" applyFill="1" applyBorder="1" applyAlignment="1">
      <alignment horizontal="center"/>
    </xf>
    <xf numFmtId="170" fontId="13" fillId="23" borderId="12" xfId="5" applyNumberFormat="1" applyFont="1" applyFill="1" applyBorder="1" applyAlignment="1">
      <alignment horizontal="center"/>
    </xf>
    <xf numFmtId="170" fontId="13" fillId="23" borderId="13" xfId="5" applyNumberFormat="1" applyFont="1" applyFill="1" applyBorder="1" applyAlignment="1">
      <alignment horizontal="center"/>
    </xf>
    <xf numFmtId="170" fontId="13" fillId="23" borderId="12" xfId="5" quotePrefix="1" applyNumberFormat="1" applyFont="1" applyFill="1" applyBorder="1" applyAlignment="1">
      <alignment horizontal="center"/>
    </xf>
    <xf numFmtId="170" fontId="13" fillId="23" borderId="13" xfId="5" quotePrefix="1" applyNumberFormat="1" applyFont="1" applyFill="1" applyBorder="1" applyAlignment="1">
      <alignment horizontal="center"/>
    </xf>
    <xf numFmtId="170" fontId="14" fillId="23" borderId="12" xfId="5" applyNumberFormat="1" applyFont="1" applyFill="1" applyBorder="1" applyAlignment="1">
      <alignment horizontal="center"/>
    </xf>
    <xf numFmtId="172" fontId="55" fillId="12" borderId="21" xfId="0" applyFont="1" applyFill="1" applyBorder="1" applyAlignment="1">
      <alignment horizontal="left" vertical="center" wrapText="1"/>
    </xf>
    <xf numFmtId="172" fontId="55" fillId="12" borderId="80" xfId="0" applyFont="1" applyFill="1" applyBorder="1" applyAlignment="1">
      <alignment horizontal="left" vertical="center" wrapText="1"/>
    </xf>
    <xf numFmtId="172" fontId="80" fillId="0" borderId="21" xfId="0" applyFont="1" applyFill="1" applyBorder="1" applyAlignment="1">
      <alignment horizontal="left" vertical="center" wrapText="1"/>
    </xf>
    <xf numFmtId="172" fontId="0" fillId="0" borderId="80" xfId="0" applyBorder="1"/>
    <xf numFmtId="172" fontId="0" fillId="0" borderId="21" xfId="0" applyBorder="1" applyAlignment="1">
      <alignment horizontal="justify" wrapText="1"/>
    </xf>
    <xf numFmtId="172" fontId="77" fillId="0" borderId="21" xfId="0" applyFont="1" applyFill="1" applyBorder="1" applyAlignment="1">
      <alignment horizontal="left" vertical="center" wrapText="1"/>
    </xf>
    <xf numFmtId="172" fontId="77" fillId="0" borderId="80" xfId="0" applyFont="1" applyFill="1" applyBorder="1" applyAlignment="1">
      <alignment horizontal="left" vertical="center" wrapText="1"/>
    </xf>
    <xf numFmtId="172" fontId="80" fillId="0" borderId="80" xfId="0" applyFont="1" applyFill="1" applyBorder="1" applyAlignment="1">
      <alignment horizontal="left" vertical="center" wrapText="1"/>
    </xf>
    <xf numFmtId="172" fontId="0" fillId="0" borderId="114" xfId="0" applyBorder="1"/>
    <xf numFmtId="172" fontId="49" fillId="0" borderId="80" xfId="0" applyFont="1" applyFill="1" applyBorder="1" applyAlignment="1">
      <alignment horizontal="justify" wrapText="1"/>
    </xf>
    <xf numFmtId="172" fontId="80" fillId="0" borderId="114" xfId="0" applyFont="1" applyFill="1" applyBorder="1" applyAlignment="1">
      <alignment horizontal="left" vertical="center" wrapText="1"/>
    </xf>
    <xf numFmtId="172" fontId="80" fillId="0" borderId="115" xfId="0" applyFont="1" applyFill="1" applyBorder="1" applyAlignment="1">
      <alignment horizontal="left" vertical="center" wrapText="1"/>
    </xf>
    <xf numFmtId="172" fontId="55" fillId="12" borderId="103" xfId="0" applyFont="1" applyFill="1" applyBorder="1" applyAlignment="1">
      <alignment horizontal="left" vertical="center" wrapText="1"/>
    </xf>
    <xf numFmtId="172" fontId="55" fillId="12" borderId="61" xfId="0" applyFont="1" applyFill="1" applyBorder="1" applyAlignment="1">
      <alignment horizontal="left" vertical="center" wrapText="1"/>
    </xf>
    <xf numFmtId="172" fontId="55" fillId="12" borderId="18" xfId="0" applyFont="1" applyFill="1" applyBorder="1" applyAlignment="1">
      <alignment horizontal="left" vertical="center" wrapText="1"/>
    </xf>
    <xf numFmtId="172" fontId="0" fillId="0" borderId="61" xfId="0" applyBorder="1"/>
    <xf numFmtId="172" fontId="0" fillId="0" borderId="18" xfId="0" applyBorder="1"/>
    <xf numFmtId="172" fontId="78" fillId="12" borderId="86" xfId="0" applyFont="1" applyFill="1" applyBorder="1" applyAlignment="1">
      <alignment horizontal="left" vertical="center" wrapText="1"/>
    </xf>
    <xf numFmtId="172" fontId="78" fillId="12" borderId="16" xfId="0" applyFont="1" applyFill="1" applyBorder="1" applyAlignment="1">
      <alignment horizontal="left" vertical="center" wrapText="1"/>
    </xf>
    <xf numFmtId="172" fontId="75" fillId="0" borderId="21" xfId="0" applyFont="1" applyFill="1" applyBorder="1" applyAlignment="1">
      <alignment vertical="top" wrapText="1"/>
    </xf>
    <xf numFmtId="172" fontId="74" fillId="0" borderId="112" xfId="150" applyBorder="1" applyAlignment="1" applyProtection="1">
      <alignment vertical="top"/>
    </xf>
    <xf numFmtId="172" fontId="0" fillId="0" borderId="113" xfId="0" applyBorder="1" applyAlignment="1">
      <alignment vertical="top"/>
    </xf>
    <xf numFmtId="172" fontId="0" fillId="0" borderId="103" xfId="0" applyFill="1" applyBorder="1"/>
    <xf numFmtId="172" fontId="0" fillId="0" borderId="112" xfId="0" applyBorder="1" applyAlignment="1">
      <alignment horizontal="justify" vertical="top"/>
    </xf>
    <xf numFmtId="172" fontId="0" fillId="0" borderId="21" xfId="0" applyBorder="1" applyAlignment="1">
      <alignment horizontal="left" vertical="top" indent="2"/>
    </xf>
    <xf numFmtId="172" fontId="0" fillId="0" borderId="21" xfId="0" applyBorder="1" applyAlignment="1">
      <alignment horizontal="justify" vertical="top"/>
    </xf>
    <xf numFmtId="172" fontId="0" fillId="0" borderId="103" xfId="0" applyBorder="1" applyAlignment="1">
      <alignment horizontal="justify" vertical="top"/>
    </xf>
    <xf numFmtId="172" fontId="0" fillId="0" borderId="112" xfId="0" applyFill="1" applyBorder="1"/>
    <xf numFmtId="172" fontId="9" fillId="23" borderId="19" xfId="0" applyFont="1" applyFill="1" applyBorder="1"/>
    <xf numFmtId="172" fontId="0" fillId="0" borderId="118" xfId="0" applyBorder="1"/>
    <xf numFmtId="172" fontId="74" fillId="0" borderId="21" xfId="150" applyBorder="1" applyAlignment="1" applyProtection="1">
      <alignment vertical="top"/>
    </xf>
    <xf numFmtId="172" fontId="0" fillId="0" borderId="0" xfId="0" applyBorder="1" applyAlignment="1">
      <alignment vertical="top" wrapText="1"/>
    </xf>
    <xf numFmtId="172" fontId="0" fillId="0" borderId="119" xfId="0" applyBorder="1"/>
    <xf numFmtId="172" fontId="88" fillId="0" borderId="118" xfId="0" applyFont="1" applyBorder="1"/>
    <xf numFmtId="172" fontId="19" fillId="0" borderId="12" xfId="7" applyFont="1" applyFill="1" applyBorder="1" applyAlignment="1">
      <alignment wrapText="1"/>
    </xf>
    <xf numFmtId="172" fontId="0" fillId="0" borderId="0" xfId="0" applyBorder="1" applyAlignment="1">
      <alignment horizontal="left"/>
    </xf>
    <xf numFmtId="172" fontId="0" fillId="0" borderId="121" xfId="0" applyBorder="1"/>
    <xf numFmtId="172" fontId="26" fillId="0" borderId="110" xfId="0" applyFont="1" applyBorder="1" applyAlignment="1">
      <alignment vertical="top" wrapText="1"/>
    </xf>
    <xf numFmtId="172" fontId="26" fillId="0" borderId="113" xfId="0" applyFont="1" applyBorder="1" applyAlignment="1">
      <alignment vertical="top"/>
    </xf>
    <xf numFmtId="172" fontId="26" fillId="0" borderId="119" xfId="0" applyFont="1" applyBorder="1"/>
    <xf numFmtId="172" fontId="26" fillId="0" borderId="121" xfId="0" applyFont="1" applyBorder="1"/>
    <xf numFmtId="172" fontId="26" fillId="0" borderId="118" xfId="0" applyFont="1" applyBorder="1"/>
    <xf numFmtId="172" fontId="55" fillId="12" borderId="19" xfId="0" applyFont="1" applyFill="1" applyBorder="1" applyAlignment="1">
      <alignment horizontal="left" vertical="center" wrapText="1"/>
    </xf>
    <xf numFmtId="49" fontId="91" fillId="23" borderId="19" xfId="0" applyNumberFormat="1" applyFont="1" applyFill="1" applyBorder="1"/>
    <xf numFmtId="172" fontId="47" fillId="0" borderId="21" xfId="0" applyFont="1" applyFill="1" applyBorder="1" applyAlignment="1">
      <alignment horizontal="justify" vertical="top"/>
    </xf>
    <xf numFmtId="172" fontId="47" fillId="0" borderId="114" xfId="0" applyFont="1" applyFill="1" applyBorder="1" applyAlignment="1">
      <alignment horizontal="justify" vertical="top"/>
    </xf>
    <xf numFmtId="172" fontId="0" fillId="0" borderId="113" xfId="0" applyFill="1" applyBorder="1" applyAlignment="1">
      <alignment horizontal="left"/>
    </xf>
    <xf numFmtId="172" fontId="74" fillId="0" borderId="0" xfId="150" applyBorder="1" applyAlignment="1" applyProtection="1">
      <alignment vertical="top"/>
    </xf>
    <xf numFmtId="172" fontId="9" fillId="0" borderId="111" xfId="0" applyFont="1" applyBorder="1"/>
    <xf numFmtId="172" fontId="74" fillId="0" borderId="80" xfId="150" applyBorder="1" applyAlignment="1" applyProtection="1"/>
    <xf numFmtId="172" fontId="74" fillId="0" borderId="80" xfId="150" quotePrefix="1" applyBorder="1" applyAlignment="1" applyProtection="1"/>
    <xf numFmtId="172" fontId="9" fillId="0" borderId="115" xfId="0" applyFont="1" applyBorder="1"/>
    <xf numFmtId="170" fontId="13" fillId="0" borderId="5" xfId="5" applyNumberFormat="1" applyFont="1" applyFill="1" applyBorder="1" applyAlignment="1">
      <alignment horizontal="center"/>
    </xf>
    <xf numFmtId="170" fontId="13" fillId="0" borderId="5" xfId="5" quotePrefix="1" applyNumberFormat="1" applyFont="1" applyFill="1" applyBorder="1" applyAlignment="1">
      <alignment horizontal="center"/>
    </xf>
    <xf numFmtId="170" fontId="14" fillId="0" borderId="5" xfId="5" applyNumberFormat="1" applyFont="1" applyFill="1" applyBorder="1" applyAlignment="1">
      <alignment horizontal="center"/>
    </xf>
    <xf numFmtId="170" fontId="13" fillId="0" borderId="4" xfId="5" applyNumberFormat="1" applyFont="1" applyFill="1" applyBorder="1" applyAlignment="1">
      <alignment horizontal="center"/>
    </xf>
    <xf numFmtId="170" fontId="13" fillId="0" borderId="0" xfId="5" quotePrefix="1" applyNumberFormat="1" applyFont="1" applyFill="1" applyBorder="1" applyAlignment="1">
      <alignment horizontal="center"/>
    </xf>
    <xf numFmtId="170" fontId="13" fillId="0" borderId="0" xfId="5" applyNumberFormat="1" applyFont="1" applyFill="1" applyBorder="1" applyAlignment="1">
      <alignment horizontal="center"/>
    </xf>
    <xf numFmtId="170" fontId="14" fillId="0" borderId="0" xfId="5" applyNumberFormat="1" applyFont="1" applyFill="1" applyBorder="1" applyAlignment="1">
      <alignment horizontal="center"/>
    </xf>
    <xf numFmtId="172" fontId="26" fillId="0" borderId="3" xfId="0" applyFont="1" applyFill="1" applyBorder="1" applyAlignment="1">
      <alignment horizontal="left" vertical="top" wrapText="1"/>
    </xf>
    <xf numFmtId="172" fontId="0" fillId="0" borderId="61" xfId="0" applyFill="1" applyBorder="1"/>
    <xf numFmtId="172" fontId="8" fillId="0" borderId="0" xfId="0" applyFont="1" applyBorder="1"/>
    <xf numFmtId="172" fontId="8" fillId="0" borderId="0" xfId="0" applyFont="1" applyFill="1" applyBorder="1"/>
    <xf numFmtId="172" fontId="0" fillId="0" borderId="132" xfId="0" applyBorder="1"/>
    <xf numFmtId="172" fontId="0" fillId="0" borderId="133" xfId="0" applyBorder="1"/>
    <xf numFmtId="172" fontId="26" fillId="0" borderId="0" xfId="0" applyFont="1" applyBorder="1" applyAlignment="1">
      <alignment vertical="top" wrapText="1"/>
    </xf>
    <xf numFmtId="172" fontId="26" fillId="0" borderId="80" xfId="0" applyFont="1" applyBorder="1" applyAlignment="1">
      <alignment vertical="top"/>
    </xf>
    <xf numFmtId="3" fontId="0" fillId="13" borderId="15" xfId="0" quotePrefix="1" applyNumberFormat="1" applyFill="1" applyBorder="1" applyAlignment="1">
      <alignment horizontal="center"/>
    </xf>
    <xf numFmtId="172" fontId="26" fillId="0" borderId="113" xfId="0" applyFont="1" applyBorder="1" applyAlignment="1">
      <alignment vertical="top" wrapText="1"/>
    </xf>
    <xf numFmtId="172" fontId="20" fillId="0" borderId="0" xfId="0" applyFont="1" applyFill="1" applyAlignment="1">
      <alignment horizontal="center"/>
    </xf>
    <xf numFmtId="170" fontId="0" fillId="0" borderId="0" xfId="0" applyNumberFormat="1" applyFill="1" applyBorder="1" applyAlignment="1">
      <alignment horizontal="center"/>
    </xf>
    <xf numFmtId="172" fontId="8" fillId="0" borderId="0" xfId="0" applyFont="1" applyBorder="1" applyAlignment="1">
      <alignment horizontal="left"/>
    </xf>
    <xf numFmtId="172" fontId="20" fillId="0" borderId="0" xfId="0" applyFont="1" applyBorder="1" applyAlignment="1">
      <alignment horizontal="center"/>
    </xf>
    <xf numFmtId="173" fontId="0" fillId="3" borderId="0" xfId="0" quotePrefix="1" applyNumberFormat="1" applyFill="1" applyBorder="1" applyAlignment="1">
      <alignment horizontal="center"/>
    </xf>
    <xf numFmtId="173" fontId="0" fillId="3" borderId="0" xfId="0" applyNumberFormat="1" applyFill="1" applyBorder="1" applyAlignment="1">
      <alignment horizontal="center"/>
    </xf>
    <xf numFmtId="3" fontId="20" fillId="0" borderId="0" xfId="0" applyNumberFormat="1" applyFont="1" applyBorder="1" applyAlignment="1">
      <alignment horizontal="center"/>
    </xf>
    <xf numFmtId="172" fontId="20" fillId="0" borderId="0" xfId="0" applyFont="1" applyFill="1" applyBorder="1" applyAlignment="1">
      <alignment horizontal="center"/>
    </xf>
    <xf numFmtId="170" fontId="0" fillId="0" borderId="0" xfId="0" quotePrefix="1" applyNumberFormat="1" applyFill="1" applyBorder="1" applyAlignment="1">
      <alignment horizontal="center"/>
    </xf>
    <xf numFmtId="172" fontId="19" fillId="0" borderId="7" xfId="7" applyFont="1" applyFill="1" applyBorder="1" applyAlignment="1">
      <alignment wrapText="1"/>
    </xf>
    <xf numFmtId="172" fontId="44" fillId="0" borderId="7" xfId="7" applyFont="1" applyFill="1" applyBorder="1" applyAlignment="1">
      <alignment wrapText="1"/>
    </xf>
    <xf numFmtId="172" fontId="8" fillId="0" borderId="8" xfId="0" applyFont="1" applyBorder="1"/>
    <xf numFmtId="172" fontId="0" fillId="0" borderId="8" xfId="0" applyBorder="1"/>
    <xf numFmtId="172" fontId="19" fillId="0" borderId="10" xfId="7" applyFont="1" applyFill="1" applyBorder="1" applyAlignment="1">
      <alignment wrapText="1"/>
    </xf>
    <xf numFmtId="172" fontId="0" fillId="0" borderId="11" xfId="0" applyBorder="1"/>
    <xf numFmtId="172" fontId="8" fillId="0" borderId="8" xfId="0" applyFont="1" applyBorder="1" applyAlignment="1">
      <alignment horizontal="left"/>
    </xf>
    <xf numFmtId="172" fontId="0" fillId="0" borderId="12" xfId="0" applyBorder="1"/>
    <xf numFmtId="172" fontId="8" fillId="0" borderId="11" xfId="0" applyFont="1" applyBorder="1" applyAlignment="1">
      <alignment horizontal="left"/>
    </xf>
    <xf numFmtId="172" fontId="0" fillId="0" borderId="12" xfId="0" applyFill="1" applyBorder="1"/>
    <xf numFmtId="172" fontId="0" fillId="0" borderId="0" xfId="0" applyFill="1" applyBorder="1" applyAlignment="1">
      <alignment horizontal="left"/>
    </xf>
    <xf numFmtId="172" fontId="0" fillId="0" borderId="111" xfId="0" applyFont="1" applyFill="1" applyBorder="1"/>
    <xf numFmtId="172" fontId="43" fillId="0" borderId="134" xfId="7" applyFont="1" applyFill="1" applyBorder="1" applyAlignment="1">
      <alignment wrapText="1"/>
    </xf>
    <xf numFmtId="172" fontId="9" fillId="23" borderId="102" xfId="0" applyFont="1" applyFill="1" applyBorder="1"/>
    <xf numFmtId="172" fontId="9" fillId="23" borderId="52" xfId="0" applyFont="1" applyFill="1" applyBorder="1"/>
    <xf numFmtId="172" fontId="9" fillId="23" borderId="101" xfId="0" applyFont="1" applyFill="1" applyBorder="1"/>
    <xf numFmtId="3" fontId="0" fillId="0" borderId="61" xfId="0" applyNumberFormat="1" applyFill="1" applyBorder="1"/>
    <xf numFmtId="172" fontId="74" fillId="0" borderId="18" xfId="150" applyBorder="1" applyAlignment="1" applyProtection="1"/>
    <xf numFmtId="172" fontId="88" fillId="0" borderId="136" xfId="0" applyFont="1" applyBorder="1"/>
    <xf numFmtId="172" fontId="8" fillId="0" borderId="61" xfId="0" applyFont="1" applyBorder="1"/>
    <xf numFmtId="172" fontId="8" fillId="0" borderId="18" xfId="0" applyFont="1" applyBorder="1"/>
    <xf numFmtId="172" fontId="74" fillId="0" borderId="18" xfId="150" quotePrefix="1" applyBorder="1" applyAlignment="1" applyProtection="1"/>
    <xf numFmtId="172" fontId="9" fillId="23" borderId="3" xfId="0" applyFont="1" applyFill="1" applyBorder="1"/>
    <xf numFmtId="172" fontId="43" fillId="23" borderId="3" xfId="7" applyFont="1" applyFill="1" applyBorder="1" applyAlignment="1">
      <alignment wrapText="1"/>
    </xf>
    <xf numFmtId="172" fontId="27" fillId="0" borderId="0" xfId="0" applyFont="1" applyBorder="1" applyAlignment="1">
      <alignment horizontal="justify"/>
    </xf>
    <xf numFmtId="172" fontId="0" fillId="0" borderId="0" xfId="0" applyFill="1" applyBorder="1" applyAlignment="1">
      <alignment horizontal="left" vertical="top" indent="2"/>
    </xf>
    <xf numFmtId="172" fontId="28" fillId="0" borderId="0" xfId="0" applyFont="1" applyBorder="1"/>
    <xf numFmtId="172" fontId="0" fillId="23" borderId="138" xfId="0" applyFont="1" applyFill="1" applyBorder="1"/>
    <xf numFmtId="172" fontId="0" fillId="23" borderId="139" xfId="0" applyFont="1" applyFill="1" applyBorder="1"/>
    <xf numFmtId="172" fontId="0" fillId="23" borderId="52" xfId="0" applyFont="1" applyFill="1" applyBorder="1"/>
    <xf numFmtId="172" fontId="0" fillId="23" borderId="101" xfId="0" applyFont="1" applyFill="1" applyBorder="1"/>
    <xf numFmtId="172" fontId="9" fillId="0" borderId="111" xfId="0" applyFont="1" applyBorder="1" applyAlignment="1">
      <alignment horizontal="center"/>
    </xf>
    <xf numFmtId="172" fontId="0" fillId="23" borderId="5" xfId="0" applyFill="1" applyBorder="1"/>
    <xf numFmtId="172" fontId="96" fillId="23" borderId="4" xfId="0" applyFont="1" applyFill="1" applyBorder="1"/>
    <xf numFmtId="172" fontId="96" fillId="0" borderId="8" xfId="0" applyFont="1" applyFill="1" applyBorder="1"/>
    <xf numFmtId="172" fontId="44" fillId="0" borderId="134" xfId="7" applyFont="1" applyFill="1" applyBorder="1" applyAlignment="1">
      <alignment wrapText="1"/>
    </xf>
    <xf numFmtId="172" fontId="0" fillId="0" borderId="111" xfId="0" applyFill="1" applyBorder="1"/>
    <xf numFmtId="172" fontId="9" fillId="0" borderId="111" xfId="0" applyFont="1" applyFill="1" applyBorder="1"/>
    <xf numFmtId="172" fontId="96" fillId="0" borderId="8" xfId="0" applyFont="1" applyBorder="1"/>
    <xf numFmtId="172" fontId="0" fillId="0" borderId="140" xfId="0" applyBorder="1"/>
    <xf numFmtId="172" fontId="47" fillId="0" borderId="7" xfId="0" applyFont="1" applyFill="1" applyBorder="1" applyAlignment="1">
      <alignment horizontal="left" vertical="top" wrapText="1"/>
    </xf>
    <xf numFmtId="172" fontId="47" fillId="0" borderId="0" xfId="0" applyFont="1" applyFill="1" applyBorder="1" applyAlignment="1">
      <alignment horizontal="left" vertical="top" wrapText="1"/>
    </xf>
    <xf numFmtId="170" fontId="13" fillId="0" borderId="8" xfId="5" applyNumberFormat="1" applyFont="1" applyFill="1" applyBorder="1" applyAlignment="1">
      <alignment horizontal="center"/>
    </xf>
    <xf numFmtId="172" fontId="9" fillId="0" borderId="144" xfId="0" applyFont="1" applyBorder="1"/>
    <xf numFmtId="172" fontId="0" fillId="0" borderId="145" xfId="0" applyBorder="1" applyAlignment="1">
      <alignment horizontal="center"/>
    </xf>
    <xf numFmtId="172" fontId="9" fillId="0" borderId="147" xfId="0" applyFont="1" applyBorder="1"/>
    <xf numFmtId="172" fontId="0" fillId="0" borderId="143" xfId="0" applyBorder="1" applyAlignment="1">
      <alignment horizontal="center"/>
    </xf>
    <xf numFmtId="172" fontId="0" fillId="0" borderId="149" xfId="0" applyBorder="1"/>
    <xf numFmtId="172" fontId="19" fillId="0" borderId="121" xfId="7" applyFont="1" applyFill="1" applyBorder="1" applyAlignment="1">
      <alignment wrapText="1"/>
    </xf>
    <xf numFmtId="172" fontId="0" fillId="0" borderId="143" xfId="0" applyBorder="1" applyAlignment="1">
      <alignment horizontal="left"/>
    </xf>
    <xf numFmtId="172" fontId="9" fillId="0" borderId="149" xfId="0" applyFont="1" applyBorder="1"/>
    <xf numFmtId="172" fontId="47" fillId="0" borderId="135" xfId="0" applyFont="1" applyFill="1" applyBorder="1"/>
    <xf numFmtId="172" fontId="47" fillId="0" borderId="135" xfId="0" applyFont="1" applyBorder="1"/>
    <xf numFmtId="172" fontId="9" fillId="0" borderId="121" xfId="0" applyFont="1" applyFill="1" applyBorder="1"/>
    <xf numFmtId="172" fontId="0" fillId="23" borderId="4" xfId="0" applyFill="1" applyBorder="1"/>
    <xf numFmtId="172" fontId="9" fillId="0" borderId="134" xfId="0" applyFont="1" applyBorder="1"/>
    <xf numFmtId="172" fontId="47" fillId="0" borderId="135" xfId="0" applyFont="1" applyBorder="1" applyAlignment="1">
      <alignment horizontal="center"/>
    </xf>
    <xf numFmtId="172" fontId="0" fillId="0" borderId="8" xfId="0" applyFill="1" applyBorder="1" applyAlignment="1">
      <alignment horizontal="center"/>
    </xf>
    <xf numFmtId="173" fontId="0" fillId="0" borderId="8" xfId="0" applyNumberFormat="1" applyFill="1" applyBorder="1" applyAlignment="1">
      <alignment horizontal="center"/>
    </xf>
    <xf numFmtId="172" fontId="43" fillId="0" borderId="7" xfId="7" applyFont="1" applyFill="1" applyBorder="1" applyAlignment="1">
      <alignment wrapText="1"/>
    </xf>
    <xf numFmtId="172" fontId="0" fillId="0" borderId="7" xfId="0" applyFill="1" applyBorder="1"/>
    <xf numFmtId="172" fontId="0" fillId="0" borderId="8" xfId="0" applyFill="1" applyBorder="1"/>
    <xf numFmtId="172" fontId="0" fillId="0" borderId="8" xfId="0" applyBorder="1" applyAlignment="1">
      <alignment horizontal="center"/>
    </xf>
    <xf numFmtId="172" fontId="8" fillId="0" borderId="8" xfId="0" applyFont="1" applyBorder="1" applyAlignment="1">
      <alignment horizontal="center"/>
    </xf>
    <xf numFmtId="170" fontId="0" fillId="0" borderId="12" xfId="0" quotePrefix="1" applyNumberFormat="1" applyFill="1" applyBorder="1" applyAlignment="1">
      <alignment horizontal="center"/>
    </xf>
    <xf numFmtId="172" fontId="9" fillId="0" borderId="7" xfId="0" applyFont="1" applyFill="1" applyBorder="1"/>
    <xf numFmtId="172" fontId="19" fillId="0" borderId="8" xfId="7" applyFont="1" applyFill="1" applyBorder="1" applyAlignment="1">
      <alignment wrapText="1"/>
    </xf>
    <xf numFmtId="172" fontId="20" fillId="0" borderId="149" xfId="0" applyFont="1" applyFill="1" applyBorder="1"/>
    <xf numFmtId="172" fontId="43" fillId="0" borderId="151" xfId="7" applyFont="1" applyFill="1" applyBorder="1" applyAlignment="1">
      <alignment wrapText="1"/>
    </xf>
    <xf numFmtId="172" fontId="0" fillId="0" borderId="10" xfId="0" applyFill="1" applyBorder="1"/>
    <xf numFmtId="172" fontId="0" fillId="0" borderId="11" xfId="0" applyFill="1" applyBorder="1"/>
    <xf numFmtId="172" fontId="9" fillId="0" borderId="149" xfId="0" applyFont="1" applyFill="1" applyBorder="1"/>
    <xf numFmtId="172" fontId="0" fillId="0" borderId="121" xfId="0" applyFill="1" applyBorder="1"/>
    <xf numFmtId="172" fontId="9" fillId="0" borderId="151" xfId="0" applyFont="1" applyFill="1" applyBorder="1"/>
    <xf numFmtId="172" fontId="19" fillId="0" borderId="152" xfId="7" applyFont="1" applyFill="1" applyBorder="1" applyAlignment="1">
      <alignment wrapText="1"/>
    </xf>
    <xf numFmtId="171" fontId="0" fillId="0" borderId="12" xfId="0" applyNumberFormat="1" applyFill="1" applyBorder="1"/>
    <xf numFmtId="3" fontId="0" fillId="3" borderId="15" xfId="0" applyNumberFormat="1" applyFill="1" applyBorder="1"/>
    <xf numFmtId="3" fontId="8" fillId="3" borderId="15" xfId="0" applyNumberFormat="1" applyFont="1" applyFill="1" applyBorder="1" applyAlignment="1">
      <alignment horizontal="center"/>
    </xf>
    <xf numFmtId="3" fontId="8" fillId="3" borderId="15" xfId="0" quotePrefix="1" applyNumberFormat="1" applyFont="1" applyFill="1" applyBorder="1" applyAlignment="1">
      <alignment horizontal="center"/>
    </xf>
    <xf numFmtId="172" fontId="8" fillId="0" borderId="0" xfId="0" applyFont="1" applyFill="1"/>
    <xf numFmtId="3" fontId="97" fillId="0" borderId="0" xfId="0" applyNumberFormat="1" applyFont="1" applyFill="1" applyBorder="1" applyAlignment="1">
      <alignment horizontal="center" vertical="center" wrapText="1"/>
    </xf>
    <xf numFmtId="171" fontId="0" fillId="0" borderId="0" xfId="0" applyNumberFormat="1" applyFill="1" applyAlignment="1">
      <alignment horizontal="center"/>
    </xf>
    <xf numFmtId="3" fontId="0" fillId="0" borderId="12" xfId="0" applyNumberFormat="1" applyFill="1" applyBorder="1"/>
    <xf numFmtId="2" fontId="0" fillId="3" borderId="143" xfId="0" applyNumberFormat="1" applyFill="1" applyBorder="1" applyAlignment="1">
      <alignment horizontal="center"/>
    </xf>
    <xf numFmtId="172" fontId="20" fillId="0" borderId="7" xfId="0" applyFont="1" applyFill="1" applyBorder="1"/>
    <xf numFmtId="172" fontId="0" fillId="0" borderId="147" xfId="0" applyFill="1" applyBorder="1"/>
    <xf numFmtId="172" fontId="0" fillId="0" borderId="7" xfId="0" applyFont="1" applyFill="1" applyBorder="1"/>
    <xf numFmtId="3" fontId="8" fillId="0" borderId="0" xfId="0" applyNumberFormat="1" applyFont="1" applyAlignment="1">
      <alignment horizontal="center"/>
    </xf>
    <xf numFmtId="172" fontId="6" fillId="0" borderId="152" xfId="3" applyBorder="1"/>
    <xf numFmtId="172" fontId="6" fillId="0" borderId="0" xfId="3" applyBorder="1"/>
    <xf numFmtId="172" fontId="0" fillId="0" borderId="152" xfId="0" applyBorder="1"/>
    <xf numFmtId="172" fontId="47" fillId="23" borderId="3" xfId="3" applyFont="1" applyFill="1" applyBorder="1"/>
    <xf numFmtId="172" fontId="47" fillId="23" borderId="5" xfId="3" applyFont="1" applyFill="1" applyBorder="1"/>
    <xf numFmtId="172" fontId="26" fillId="23" borderId="5" xfId="0" applyFont="1" applyFill="1" applyBorder="1"/>
    <xf numFmtId="172" fontId="26" fillId="23" borderId="4" xfId="0" applyFont="1" applyFill="1" applyBorder="1"/>
    <xf numFmtId="172" fontId="0" fillId="0" borderId="0" xfId="0" applyFont="1" applyBorder="1"/>
    <xf numFmtId="172" fontId="0" fillId="0" borderId="121" xfId="0" applyFont="1" applyFill="1" applyBorder="1"/>
    <xf numFmtId="172" fontId="0" fillId="0" borderId="151" xfId="0" applyFont="1" applyFill="1" applyBorder="1"/>
    <xf numFmtId="9" fontId="26" fillId="0" borderId="0" xfId="0" applyNumberFormat="1" applyFont="1" applyFill="1" applyBorder="1"/>
    <xf numFmtId="9" fontId="0" fillId="0" borderId="8" xfId="0" applyNumberFormat="1" applyFont="1" applyFill="1" applyBorder="1"/>
    <xf numFmtId="10" fontId="0" fillId="0" borderId="121" xfId="54" applyNumberFormat="1" applyFont="1" applyFill="1" applyBorder="1" applyAlignment="1">
      <alignment horizontal="center" vertical="center"/>
    </xf>
    <xf numFmtId="172" fontId="0" fillId="0" borderId="151" xfId="0" applyFill="1" applyBorder="1"/>
    <xf numFmtId="172" fontId="52" fillId="0" borderId="149" xfId="0" applyFont="1" applyFill="1" applyBorder="1" applyAlignment="1">
      <alignment vertical="center"/>
    </xf>
    <xf numFmtId="172" fontId="0" fillId="0" borderId="121" xfId="0" applyFont="1" applyFill="1" applyBorder="1" applyAlignment="1">
      <alignment horizontal="center" vertical="center"/>
    </xf>
    <xf numFmtId="172" fontId="0" fillId="0" borderId="147" xfId="0" applyFont="1" applyFill="1" applyBorder="1" applyAlignment="1">
      <alignment vertical="center"/>
    </xf>
    <xf numFmtId="171" fontId="0" fillId="0" borderId="143" xfId="0" applyNumberFormat="1" applyFont="1" applyFill="1" applyBorder="1" applyAlignment="1">
      <alignment horizontal="center" vertical="center"/>
    </xf>
    <xf numFmtId="1" fontId="0" fillId="0" borderId="143" xfId="0" applyNumberFormat="1" applyFont="1" applyFill="1" applyBorder="1" applyAlignment="1">
      <alignment horizontal="center" vertical="center"/>
    </xf>
    <xf numFmtId="172" fontId="0" fillId="0" borderId="152" xfId="0" applyFont="1" applyFill="1" applyBorder="1" applyAlignment="1">
      <alignment vertical="center"/>
    </xf>
    <xf numFmtId="171" fontId="0" fillId="0" borderId="0" xfId="0" applyNumberFormat="1" applyFont="1" applyFill="1" applyBorder="1" applyAlignment="1">
      <alignment horizontal="center" vertical="center"/>
    </xf>
    <xf numFmtId="1" fontId="0" fillId="0" borderId="0" xfId="0" applyNumberFormat="1" applyFont="1" applyFill="1" applyBorder="1" applyAlignment="1">
      <alignment horizontal="center" vertical="center"/>
    </xf>
    <xf numFmtId="172" fontId="0" fillId="0" borderId="0" xfId="0" applyFont="1" applyFill="1" applyBorder="1" applyAlignment="1">
      <alignment horizontal="center" vertical="center"/>
    </xf>
    <xf numFmtId="10" fontId="7" fillId="0" borderId="0" xfId="54" applyNumberFormat="1" applyFont="1" applyFill="1" applyBorder="1" applyAlignment="1">
      <alignment horizontal="center" vertical="center"/>
    </xf>
    <xf numFmtId="10" fontId="7" fillId="3" borderId="0" xfId="54" applyNumberFormat="1" applyFont="1" applyFill="1" applyBorder="1" applyAlignment="1">
      <alignment horizontal="center" vertical="center"/>
    </xf>
    <xf numFmtId="172" fontId="0" fillId="0" borderId="8" xfId="0" applyFont="1" applyFill="1" applyBorder="1"/>
    <xf numFmtId="172" fontId="53" fillId="0" borderId="0" xfId="0" applyFont="1" applyFill="1" applyBorder="1"/>
    <xf numFmtId="10" fontId="7" fillId="0" borderId="121" xfId="54" applyNumberFormat="1" applyFont="1" applyFill="1" applyBorder="1" applyAlignment="1">
      <alignment horizontal="center" vertical="center"/>
    </xf>
    <xf numFmtId="172" fontId="9" fillId="0" borderId="3" xfId="0" applyFont="1" applyBorder="1"/>
    <xf numFmtId="172" fontId="26" fillId="0" borderId="152" xfId="0" applyFont="1" applyBorder="1"/>
    <xf numFmtId="172" fontId="26" fillId="0" borderId="152" xfId="0" applyFont="1" applyFill="1" applyBorder="1"/>
    <xf numFmtId="172" fontId="26" fillId="0" borderId="0" xfId="0" applyFont="1" applyFill="1" applyBorder="1"/>
    <xf numFmtId="9" fontId="26" fillId="0" borderId="0" xfId="0" applyNumberFormat="1" applyFont="1" applyBorder="1"/>
    <xf numFmtId="172" fontId="50" fillId="0" borderId="10" xfId="0" applyFont="1" applyBorder="1"/>
    <xf numFmtId="9" fontId="50" fillId="0" borderId="12" xfId="0" applyNumberFormat="1" applyFont="1" applyBorder="1"/>
    <xf numFmtId="172" fontId="26" fillId="0" borderId="152" xfId="3" applyFont="1" applyFill="1" applyBorder="1"/>
    <xf numFmtId="172" fontId="26" fillId="0" borderId="8" xfId="0" applyFont="1" applyFill="1" applyBorder="1"/>
    <xf numFmtId="172" fontId="26" fillId="0" borderId="149" xfId="3" applyFont="1" applyBorder="1"/>
    <xf numFmtId="172" fontId="26" fillId="0" borderId="151" xfId="0" applyFont="1" applyBorder="1"/>
    <xf numFmtId="172" fontId="9" fillId="0" borderId="3" xfId="0" applyFont="1" applyFill="1" applyBorder="1"/>
    <xf numFmtId="172" fontId="9" fillId="0" borderId="0" xfId="0" applyFont="1" applyFill="1"/>
    <xf numFmtId="9" fontId="26" fillId="3" borderId="0" xfId="0" applyNumberFormat="1" applyFont="1" applyFill="1" applyBorder="1"/>
    <xf numFmtId="172" fontId="26" fillId="0" borderId="8" xfId="0" applyFont="1" applyBorder="1"/>
    <xf numFmtId="172" fontId="0" fillId="0" borderId="80" xfId="0" applyBorder="1" applyAlignment="1">
      <alignment vertical="top" wrapText="1"/>
    </xf>
    <xf numFmtId="172" fontId="9" fillId="0" borderId="80" xfId="0" applyFont="1" applyFill="1" applyBorder="1"/>
    <xf numFmtId="172" fontId="9" fillId="0" borderId="114" xfId="0" applyFont="1" applyBorder="1"/>
    <xf numFmtId="3" fontId="63" fillId="0" borderId="0" xfId="0" applyNumberFormat="1" applyFont="1" applyFill="1" applyBorder="1" applyAlignment="1">
      <alignment horizontal="center" vertical="center" wrapText="1"/>
    </xf>
    <xf numFmtId="3" fontId="101" fillId="0" borderId="0" xfId="0" applyNumberFormat="1" applyFont="1" applyFill="1" applyBorder="1" applyAlignment="1">
      <alignment horizontal="center" vertical="center" wrapText="1"/>
    </xf>
    <xf numFmtId="172" fontId="0" fillId="0" borderId="18" xfId="0" applyFill="1" applyBorder="1"/>
    <xf numFmtId="3" fontId="62" fillId="18" borderId="156" xfId="0" applyNumberFormat="1" applyFont="1" applyFill="1" applyBorder="1" applyAlignment="1">
      <alignment horizontal="center" vertical="center"/>
    </xf>
    <xf numFmtId="172" fontId="26" fillId="0" borderId="8" xfId="0" applyFont="1" applyBorder="1" applyAlignment="1">
      <alignment horizontal="left"/>
    </xf>
    <xf numFmtId="3" fontId="26" fillId="3" borderId="15" xfId="0" applyNumberFormat="1" applyFont="1" applyFill="1" applyBorder="1" applyAlignment="1">
      <alignment horizontal="right"/>
    </xf>
    <xf numFmtId="3" fontId="98" fillId="0" borderId="0" xfId="0" applyNumberFormat="1" applyFont="1" applyFill="1" applyBorder="1" applyAlignment="1">
      <alignment horizontal="center"/>
    </xf>
    <xf numFmtId="172" fontId="0" fillId="0" borderId="0" xfId="0" applyAlignment="1">
      <alignment horizontal="left" vertical="top" wrapText="1"/>
    </xf>
    <xf numFmtId="0" fontId="26" fillId="0" borderId="113" xfId="0" applyNumberFormat="1" applyFont="1" applyBorder="1" applyAlignment="1">
      <alignment vertical="top" wrapText="1"/>
    </xf>
    <xf numFmtId="0" fontId="0" fillId="0" borderId="113"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1" xfId="0" applyNumberFormat="1" applyFill="1" applyBorder="1"/>
    <xf numFmtId="2" fontId="0" fillId="0" borderId="142" xfId="0" applyNumberFormat="1" applyFill="1" applyBorder="1"/>
    <xf numFmtId="2" fontId="0" fillId="2" borderId="0" xfId="0" applyNumberFormat="1" applyFill="1" applyBorder="1"/>
    <xf numFmtId="2" fontId="0" fillId="3" borderId="0" xfId="0" applyNumberFormat="1" applyFill="1" applyBorder="1"/>
    <xf numFmtId="2" fontId="47" fillId="0" borderId="5" xfId="0" applyNumberFormat="1" applyFont="1" applyFill="1" applyBorder="1"/>
    <xf numFmtId="2" fontId="47" fillId="0" borderId="4" xfId="0" applyNumberFormat="1" applyFont="1" applyFill="1" applyBorder="1"/>
    <xf numFmtId="2" fontId="26" fillId="3" borderId="0" xfId="0" applyNumberFormat="1" applyFont="1" applyFill="1" applyBorder="1"/>
    <xf numFmtId="2" fontId="26" fillId="3" borderId="0" xfId="3" applyNumberFormat="1" applyFont="1" applyFill="1" applyBorder="1"/>
    <xf numFmtId="2" fontId="8" fillId="3" borderId="0" xfId="0" applyNumberFormat="1" applyFont="1" applyFill="1" applyBorder="1"/>
    <xf numFmtId="2" fontId="26" fillId="3" borderId="8" xfId="0" applyNumberFormat="1" applyFont="1" applyFill="1" applyBorder="1"/>
    <xf numFmtId="2" fontId="26" fillId="3" borderId="12" xfId="0" applyNumberFormat="1" applyFont="1" applyFill="1" applyBorder="1"/>
    <xf numFmtId="2" fontId="26" fillId="3" borderId="12" xfId="3" applyNumberFormat="1" applyFont="1" applyFill="1" applyBorder="1"/>
    <xf numFmtId="2" fontId="8" fillId="3" borderId="12" xfId="0" applyNumberFormat="1" applyFont="1" applyFill="1" applyBorder="1"/>
    <xf numFmtId="2" fontId="26" fillId="3" borderId="11" xfId="0" applyNumberFormat="1" applyFont="1" applyFill="1" applyBorder="1"/>
    <xf numFmtId="172" fontId="9" fillId="0" borderId="27" xfId="0" applyFont="1" applyBorder="1"/>
    <xf numFmtId="0" fontId="47" fillId="23" borderId="123" xfId="2" applyNumberFormat="1" applyFont="1" applyFill="1" applyBorder="1"/>
    <xf numFmtId="0" fontId="47" fillId="23" borderId="131" xfId="2" applyNumberFormat="1" applyFont="1" applyFill="1" applyBorder="1"/>
    <xf numFmtId="0" fontId="0" fillId="0" borderId="0" xfId="0" applyNumberFormat="1"/>
    <xf numFmtId="0" fontId="86" fillId="0" borderId="0" xfId="1" applyNumberFormat="1" applyFont="1" applyBorder="1"/>
    <xf numFmtId="0" fontId="92" fillId="23" borderId="102" xfId="1" applyNumberFormat="1" applyFont="1" applyFill="1" applyBorder="1"/>
    <xf numFmtId="0" fontId="26" fillId="23" borderId="52" xfId="0" applyNumberFormat="1" applyFont="1" applyFill="1" applyBorder="1"/>
    <xf numFmtId="0" fontId="26" fillId="23" borderId="162" xfId="0" applyNumberFormat="1" applyFont="1" applyFill="1" applyBorder="1"/>
    <xf numFmtId="0" fontId="47" fillId="23" borderId="122" xfId="2" applyNumberFormat="1" applyFont="1" applyFill="1" applyBorder="1"/>
    <xf numFmtId="0" fontId="47" fillId="23" borderId="123" xfId="2" applyNumberFormat="1" applyFont="1" applyFill="1" applyBorder="1" applyAlignment="1">
      <alignment horizontal="left"/>
    </xf>
    <xf numFmtId="0" fontId="26" fillId="0" borderId="111" xfId="3" applyNumberFormat="1" applyFont="1" applyBorder="1"/>
    <xf numFmtId="0" fontId="0" fillId="0" borderId="111" xfId="0" applyNumberFormat="1" applyBorder="1"/>
    <xf numFmtId="0" fontId="82" fillId="0" borderId="0" xfId="0" applyNumberFormat="1" applyFont="1"/>
    <xf numFmtId="0" fontId="26" fillId="23" borderId="101" xfId="0" applyNumberFormat="1" applyFont="1" applyFill="1" applyBorder="1"/>
    <xf numFmtId="0" fontId="47" fillId="23" borderId="124" xfId="2" applyNumberFormat="1" applyFont="1" applyFill="1" applyBorder="1"/>
    <xf numFmtId="0" fontId="47" fillId="23" borderId="125" xfId="2" applyNumberFormat="1" applyFont="1" applyFill="1" applyBorder="1"/>
    <xf numFmtId="0" fontId="47" fillId="23" borderId="126" xfId="2" applyNumberFormat="1" applyFont="1" applyFill="1" applyBorder="1"/>
    <xf numFmtId="0" fontId="26" fillId="0" borderId="0" xfId="3" applyNumberFormat="1" applyFont="1"/>
    <xf numFmtId="0" fontId="47" fillId="23" borderId="127" xfId="3" applyNumberFormat="1" applyFont="1" applyFill="1" applyBorder="1"/>
    <xf numFmtId="0" fontId="47" fillId="23" borderId="117" xfId="3" applyNumberFormat="1" applyFont="1" applyFill="1" applyBorder="1"/>
    <xf numFmtId="0" fontId="47" fillId="23" borderId="128" xfId="3" applyNumberFormat="1" applyFont="1" applyFill="1" applyBorder="1"/>
    <xf numFmtId="0" fontId="47" fillId="23" borderId="124" xfId="3" applyNumberFormat="1" applyFont="1" applyFill="1" applyBorder="1"/>
    <xf numFmtId="0" fontId="47" fillId="23" borderId="125" xfId="3" applyNumberFormat="1" applyFont="1" applyFill="1" applyBorder="1"/>
    <xf numFmtId="0" fontId="47" fillId="23" borderId="126" xfId="3" applyNumberFormat="1" applyFont="1" applyFill="1" applyBorder="1"/>
    <xf numFmtId="0" fontId="26" fillId="0" borderId="0" xfId="3" applyNumberFormat="1" applyFont="1" applyBorder="1"/>
    <xf numFmtId="0" fontId="0" fillId="0" borderId="0" xfId="0" applyNumberFormat="1" applyBorder="1"/>
    <xf numFmtId="0" fontId="92" fillId="23" borderId="21" xfId="1" applyNumberFormat="1" applyFont="1" applyFill="1" applyBorder="1"/>
    <xf numFmtId="0" fontId="26" fillId="23" borderId="0" xfId="0" applyNumberFormat="1" applyFont="1" applyFill="1" applyBorder="1"/>
    <xf numFmtId="0" fontId="47" fillId="23" borderId="0" xfId="0" applyNumberFormat="1" applyFont="1" applyFill="1" applyBorder="1"/>
    <xf numFmtId="0" fontId="26" fillId="23" borderId="80" xfId="0" applyNumberFormat="1" applyFont="1" applyFill="1" applyBorder="1"/>
    <xf numFmtId="0" fontId="47" fillId="23" borderId="125" xfId="2" applyNumberFormat="1" applyFont="1" applyFill="1" applyBorder="1" applyAlignment="1">
      <alignment horizontal="left"/>
    </xf>
    <xf numFmtId="0" fontId="83" fillId="0" borderId="0" xfId="3" applyNumberFormat="1" applyFont="1"/>
    <xf numFmtId="0" fontId="26" fillId="23" borderId="52" xfId="3" applyNumberFormat="1" applyFont="1" applyFill="1" applyBorder="1"/>
    <xf numFmtId="0" fontId="6" fillId="0" borderId="0" xfId="3" applyNumberFormat="1"/>
    <xf numFmtId="0" fontId="26" fillId="23" borderId="129" xfId="0" applyNumberFormat="1" applyFont="1" applyFill="1" applyBorder="1"/>
    <xf numFmtId="0" fontId="47" fillId="23" borderId="116" xfId="0" applyNumberFormat="1" applyFont="1" applyFill="1" applyBorder="1"/>
    <xf numFmtId="0" fontId="47" fillId="23" borderId="130" xfId="0" applyNumberFormat="1" applyFont="1" applyFill="1" applyBorder="1"/>
    <xf numFmtId="0" fontId="8" fillId="25" borderId="0" xfId="0" applyNumberFormat="1" applyFont="1" applyFill="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4" fillId="4" borderId="0" xfId="150" applyNumberFormat="1" applyFill="1" applyAlignment="1" applyProtection="1"/>
    <xf numFmtId="0" fontId="26" fillId="24" borderId="0" xfId="0" applyNumberFormat="1" applyFont="1" applyFill="1"/>
    <xf numFmtId="0" fontId="26" fillId="25" borderId="0" xfId="0" applyNumberFormat="1" applyFont="1" applyFill="1"/>
    <xf numFmtId="0" fontId="74" fillId="25" borderId="0" xfId="150" applyNumberFormat="1" applyFill="1" applyAlignment="1" applyProtection="1"/>
    <xf numFmtId="0" fontId="26" fillId="24" borderId="0" xfId="0" quotePrefix="1" applyNumberFormat="1" applyFont="1" applyFill="1"/>
    <xf numFmtId="0" fontId="0" fillId="24" borderId="0" xfId="0" applyNumberFormat="1" applyFill="1" applyAlignment="1"/>
    <xf numFmtId="0" fontId="9" fillId="24" borderId="0" xfId="0" applyNumberFormat="1" applyFont="1" applyFill="1"/>
    <xf numFmtId="0" fontId="9" fillId="25" borderId="0" xfId="0" applyNumberFormat="1" applyFont="1" applyFill="1"/>
    <xf numFmtId="0" fontId="9" fillId="4" borderId="0" xfId="0" applyNumberFormat="1" applyFont="1" applyFill="1"/>
    <xf numFmtId="0" fontId="41" fillId="12" borderId="15" xfId="0" applyNumberFormat="1" applyFont="1" applyFill="1" applyBorder="1" applyAlignment="1">
      <alignment horizontal="center" vertical="center" wrapText="1"/>
    </xf>
    <xf numFmtId="0" fontId="9" fillId="23" borderId="137" xfId="0" applyNumberFormat="1" applyFont="1" applyFill="1" applyBorder="1"/>
    <xf numFmtId="0" fontId="0" fillId="0" borderId="21" xfId="0" applyNumberFormat="1" applyBorder="1"/>
    <xf numFmtId="0" fontId="9" fillId="13" borderId="21" xfId="0" applyNumberFormat="1" applyFont="1" applyFill="1" applyBorder="1"/>
    <xf numFmtId="0" fontId="0" fillId="0" borderId="103" xfId="0" applyNumberFormat="1" applyBorder="1"/>
    <xf numFmtId="0" fontId="9" fillId="23" borderId="102" xfId="0" applyNumberFormat="1" applyFont="1" applyFill="1" applyBorder="1"/>
    <xf numFmtId="0" fontId="47" fillId="23" borderId="19" xfId="0" applyNumberFormat="1" applyFont="1" applyFill="1" applyBorder="1"/>
    <xf numFmtId="0" fontId="41" fillId="23" borderId="86" xfId="0" applyNumberFormat="1" applyFont="1" applyFill="1" applyBorder="1" applyAlignment="1">
      <alignment horizontal="center" vertical="center" wrapText="1"/>
    </xf>
    <xf numFmtId="0" fontId="41" fillId="23" borderId="16" xfId="0" applyNumberFormat="1" applyFont="1" applyFill="1" applyBorder="1" applyAlignment="1">
      <alignment horizontal="center" vertical="center" wrapText="1"/>
    </xf>
    <xf numFmtId="0" fontId="0" fillId="0" borderId="80" xfId="0" applyNumberFormat="1" applyBorder="1"/>
    <xf numFmtId="0" fontId="9" fillId="23" borderId="19" xfId="0" applyNumberFormat="1" applyFont="1" applyFill="1" applyBorder="1" applyAlignment="1">
      <alignment horizontal="justify" vertical="top"/>
    </xf>
    <xf numFmtId="0" fontId="9" fillId="23" borderId="16" xfId="0" applyNumberFormat="1" applyFont="1" applyFill="1" applyBorder="1"/>
    <xf numFmtId="0" fontId="47" fillId="0" borderId="21" xfId="0" applyNumberFormat="1" applyFont="1" applyFill="1" applyBorder="1" applyAlignment="1">
      <alignment horizontal="justify" vertical="top"/>
    </xf>
    <xf numFmtId="0" fontId="47" fillId="0" borderId="80" xfId="0" applyNumberFormat="1" applyFont="1" applyFill="1" applyBorder="1" applyAlignment="1">
      <alignment horizontal="left" vertical="top"/>
    </xf>
    <xf numFmtId="0" fontId="9" fillId="0" borderId="21" xfId="0" applyNumberFormat="1" applyFont="1" applyFill="1" applyBorder="1" applyAlignment="1">
      <alignment horizontal="justify" vertical="top"/>
    </xf>
    <xf numFmtId="0" fontId="47" fillId="0" borderId="80" xfId="0" applyNumberFormat="1" applyFont="1" applyFill="1" applyBorder="1" applyAlignment="1">
      <alignment horizontal="left" vertical="top" wrapText="1"/>
    </xf>
    <xf numFmtId="0" fontId="74" fillId="0" borderId="112" xfId="150" applyNumberFormat="1" applyBorder="1" applyAlignment="1" applyProtection="1"/>
    <xf numFmtId="0" fontId="0" fillId="0" borderId="110" xfId="0" applyNumberFormat="1" applyBorder="1"/>
    <xf numFmtId="0" fontId="0" fillId="0" borderId="113" xfId="0" applyNumberFormat="1" applyBorder="1"/>
    <xf numFmtId="0" fontId="74" fillId="0" borderId="114" xfId="150" applyNumberFormat="1" applyBorder="1" applyAlignment="1" applyProtection="1"/>
    <xf numFmtId="0" fontId="0" fillId="0" borderId="115" xfId="0" applyNumberFormat="1" applyBorder="1"/>
    <xf numFmtId="0" fontId="74" fillId="0" borderId="112" xfId="150" quotePrefix="1" applyNumberFormat="1" applyBorder="1" applyAlignment="1" applyProtection="1"/>
    <xf numFmtId="0" fontId="0" fillId="0" borderId="114" xfId="0" applyNumberFormat="1" applyBorder="1"/>
    <xf numFmtId="0" fontId="26" fillId="0" borderId="0" xfId="0" applyNumberFormat="1" applyFont="1" applyBorder="1"/>
    <xf numFmtId="0" fontId="26" fillId="0" borderId="80" xfId="0" applyNumberFormat="1" applyFont="1" applyBorder="1"/>
    <xf numFmtId="0" fontId="26" fillId="0" borderId="0" xfId="0" applyNumberFormat="1" applyFont="1"/>
    <xf numFmtId="0" fontId="26" fillId="0" borderId="0" xfId="0" applyNumberFormat="1" applyFont="1" applyFill="1"/>
    <xf numFmtId="0" fontId="31" fillId="0" borderId="0" xfId="0" applyNumberFormat="1" applyFont="1"/>
    <xf numFmtId="0" fontId="26" fillId="0" borderId="21" xfId="0" applyNumberFormat="1" applyFont="1" applyBorder="1" applyAlignment="1">
      <alignment horizontal="justify" wrapText="1"/>
    </xf>
    <xf numFmtId="0" fontId="80" fillId="0" borderId="102" xfId="0" applyNumberFormat="1" applyFont="1" applyFill="1" applyBorder="1" applyAlignment="1">
      <alignment horizontal="left" vertical="center" wrapText="1"/>
    </xf>
    <xf numFmtId="0" fontId="81" fillId="0" borderId="52" xfId="0" applyNumberFormat="1" applyFont="1" applyFill="1" applyBorder="1" applyAlignment="1">
      <alignment horizontal="left" vertical="center" wrapText="1"/>
    </xf>
    <xf numFmtId="0" fontId="81" fillId="0" borderId="101" xfId="0" applyNumberFormat="1" applyFont="1" applyFill="1" applyBorder="1" applyAlignment="1">
      <alignment horizontal="left" vertical="center" wrapText="1"/>
    </xf>
    <xf numFmtId="0" fontId="82" fillId="0" borderId="0" xfId="0" applyNumberFormat="1" applyFont="1" applyFill="1"/>
    <xf numFmtId="0" fontId="80" fillId="0" borderId="21" xfId="0" applyNumberFormat="1" applyFont="1" applyFill="1" applyBorder="1" applyAlignment="1">
      <alignment horizontal="left" vertical="center" wrapText="1"/>
    </xf>
    <xf numFmtId="0" fontId="81" fillId="0" borderId="0" xfId="0" applyNumberFormat="1" applyFont="1" applyFill="1" applyBorder="1" applyAlignment="1">
      <alignment horizontal="left" vertical="center" wrapText="1"/>
    </xf>
    <xf numFmtId="0" fontId="81" fillId="0" borderId="80" xfId="0" applyNumberFormat="1" applyFont="1" applyFill="1" applyBorder="1" applyAlignment="1">
      <alignment horizontal="left" vertical="center" wrapText="1"/>
    </xf>
    <xf numFmtId="0" fontId="85" fillId="0" borderId="21" xfId="0" applyNumberFormat="1" applyFont="1" applyFill="1" applyBorder="1" applyAlignment="1">
      <alignment horizontal="left" vertical="center" wrapText="1"/>
    </xf>
    <xf numFmtId="0" fontId="84" fillId="12" borderId="102" xfId="0" applyNumberFormat="1" applyFont="1" applyFill="1" applyBorder="1" applyAlignment="1">
      <alignment horizontal="left" vertical="center"/>
    </xf>
    <xf numFmtId="0" fontId="84" fillId="12" borderId="52" xfId="0" applyNumberFormat="1" applyFont="1" applyFill="1" applyBorder="1" applyAlignment="1">
      <alignment horizontal="left" vertical="center"/>
    </xf>
    <xf numFmtId="0" fontId="84" fillId="12" borderId="101" xfId="0" applyNumberFormat="1" applyFont="1" applyFill="1" applyBorder="1" applyAlignment="1">
      <alignment horizontal="left" vertical="center" wrapText="1"/>
    </xf>
    <xf numFmtId="0" fontId="26" fillId="15" borderId="112" xfId="0" applyNumberFormat="1" applyFont="1" applyFill="1" applyBorder="1" applyAlignment="1">
      <alignment horizontal="justify" vertical="top" wrapText="1"/>
    </xf>
    <xf numFmtId="0" fontId="26" fillId="0" borderId="110" xfId="0" applyNumberFormat="1" applyFont="1" applyFill="1" applyBorder="1" applyAlignment="1">
      <alignment horizontal="justify" vertical="top" wrapText="1"/>
    </xf>
    <xf numFmtId="0" fontId="26" fillId="0" borderId="113"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6" fillId="0" borderId="0" xfId="0" applyNumberFormat="1" applyFont="1" applyFill="1" applyBorder="1" applyAlignment="1">
      <alignment horizontal="justify" vertical="top" wrapText="1"/>
    </xf>
    <xf numFmtId="0" fontId="26" fillId="0" borderId="80"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8" fillId="12" borderId="19" xfId="0" applyNumberFormat="1" applyFont="1" applyFill="1" applyBorder="1" applyAlignment="1">
      <alignment horizontal="left" vertical="center" wrapText="1"/>
    </xf>
    <xf numFmtId="0" fontId="12" fillId="23" borderId="86" xfId="0" applyNumberFormat="1" applyFont="1" applyFill="1" applyBorder="1" applyAlignment="1">
      <alignment horizontal="left" vertical="center" wrapText="1"/>
    </xf>
    <xf numFmtId="0" fontId="26" fillId="23" borderId="16" xfId="0" applyNumberFormat="1" applyFont="1" applyFill="1" applyBorder="1" applyAlignment="1">
      <alignment horizontal="justify" wrapText="1"/>
    </xf>
    <xf numFmtId="0" fontId="78" fillId="12" borderId="86" xfId="0" applyNumberFormat="1" applyFont="1" applyFill="1" applyBorder="1" applyAlignment="1">
      <alignment horizontal="left" vertical="center" wrapText="1"/>
    </xf>
    <xf numFmtId="0" fontId="78" fillId="12" borderId="16" xfId="0" applyNumberFormat="1" applyFont="1" applyFill="1" applyBorder="1" applyAlignment="1">
      <alignment horizontal="left" vertical="center" wrapText="1"/>
    </xf>
    <xf numFmtId="0" fontId="55" fillId="12" borderId="19" xfId="0" applyNumberFormat="1" applyFont="1" applyFill="1" applyBorder="1" applyAlignment="1">
      <alignment horizontal="left" vertical="center" wrapText="1"/>
    </xf>
    <xf numFmtId="0" fontId="80" fillId="0" borderId="0" xfId="0" applyNumberFormat="1" applyFont="1" applyFill="1" applyBorder="1" applyAlignment="1">
      <alignment horizontal="left" vertical="center" wrapText="1"/>
    </xf>
    <xf numFmtId="0" fontId="80" fillId="0" borderId="80" xfId="0" applyNumberFormat="1" applyFont="1" applyFill="1" applyBorder="1" applyAlignment="1">
      <alignment horizontal="left" vertical="center" wrapText="1"/>
    </xf>
    <xf numFmtId="0" fontId="75" fillId="0" borderId="21" xfId="0" applyNumberFormat="1" applyFont="1" applyFill="1" applyBorder="1" applyAlignment="1">
      <alignment vertical="top" wrapText="1"/>
    </xf>
    <xf numFmtId="0" fontId="0" fillId="0" borderId="110" xfId="0" applyNumberFormat="1" applyBorder="1" applyAlignment="1">
      <alignment vertical="top" wrapText="1"/>
    </xf>
    <xf numFmtId="0" fontId="0" fillId="0" borderId="113" xfId="0" applyNumberFormat="1" applyBorder="1" applyAlignment="1">
      <alignment vertical="top"/>
    </xf>
    <xf numFmtId="0" fontId="0" fillId="0" borderId="0" xfId="0" applyNumberFormat="1" applyBorder="1" applyAlignment="1">
      <alignment vertical="top" wrapText="1"/>
    </xf>
    <xf numFmtId="0" fontId="0" fillId="0" borderId="80" xfId="0" applyNumberFormat="1" applyBorder="1" applyAlignment="1">
      <alignment vertical="top"/>
    </xf>
    <xf numFmtId="175" fontId="0" fillId="0" borderId="0" xfId="0" applyNumberFormat="1"/>
    <xf numFmtId="10" fontId="0" fillId="0" borderId="0" xfId="54" applyNumberFormat="1" applyFont="1"/>
    <xf numFmtId="172" fontId="51" fillId="0" borderId="0" xfId="0" applyFont="1"/>
    <xf numFmtId="10" fontId="0" fillId="3" borderId="0" xfId="54" applyNumberFormat="1" applyFont="1" applyFill="1"/>
    <xf numFmtId="172" fontId="12" fillId="4" borderId="149" xfId="0" applyFont="1" applyFill="1" applyBorder="1" applyAlignment="1">
      <alignment vertical="center"/>
    </xf>
    <xf numFmtId="176" fontId="9" fillId="0" borderId="5" xfId="0" applyNumberFormat="1" applyFont="1" applyBorder="1"/>
    <xf numFmtId="176" fontId="26" fillId="3" borderId="0" xfId="0" applyNumberFormat="1" applyFont="1" applyFill="1" applyBorder="1"/>
    <xf numFmtId="176" fontId="26" fillId="3" borderId="8" xfId="0" applyNumberFormat="1" applyFont="1" applyFill="1" applyBorder="1"/>
    <xf numFmtId="176" fontId="26" fillId="3" borderId="0" xfId="3" applyNumberFormat="1" applyFont="1" applyFill="1" applyBorder="1"/>
    <xf numFmtId="176" fontId="26" fillId="3" borderId="12" xfId="0" applyNumberFormat="1" applyFont="1" applyFill="1" applyBorder="1"/>
    <xf numFmtId="176" fontId="26" fillId="3" borderId="12" xfId="3" applyNumberFormat="1" applyFont="1" applyFill="1" applyBorder="1"/>
    <xf numFmtId="176" fontId="26" fillId="3" borderId="11" xfId="0" applyNumberFormat="1" applyFont="1" applyFill="1" applyBorder="1"/>
    <xf numFmtId="176"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2" fontId="0" fillId="0" borderId="164" xfId="0" applyBorder="1"/>
    <xf numFmtId="172" fontId="0" fillId="0" borderId="164" xfId="0" applyBorder="1" applyAlignment="1">
      <alignment horizontal="justify" wrapText="1"/>
    </xf>
    <xf numFmtId="172" fontId="0" fillId="0" borderId="163" xfId="0" applyBorder="1"/>
    <xf numFmtId="172" fontId="0" fillId="0" borderId="113" xfId="0" applyBorder="1" applyAlignment="1">
      <alignment horizontal="left" vertical="top" wrapText="1"/>
    </xf>
    <xf numFmtId="171" fontId="9" fillId="0" borderId="5" xfId="0" applyNumberFormat="1" applyFont="1" applyBorder="1" applyAlignment="1">
      <alignment horizontal="right"/>
    </xf>
    <xf numFmtId="176" fontId="0" fillId="3" borderId="14" xfId="0" quotePrefix="1" applyNumberFormat="1" applyFill="1" applyBorder="1" applyAlignment="1">
      <alignment horizontal="right"/>
    </xf>
    <xf numFmtId="176" fontId="9" fillId="0" borderId="5" xfId="0" applyNumberFormat="1" applyFont="1" applyFill="1" applyBorder="1" applyAlignment="1">
      <alignment horizontal="right"/>
    </xf>
    <xf numFmtId="176" fontId="9" fillId="0" borderId="4" xfId="0" applyNumberFormat="1" applyFont="1" applyFill="1" applyBorder="1" applyAlignment="1">
      <alignment horizontal="right"/>
    </xf>
    <xf numFmtId="176" fontId="0" fillId="3" borderId="28" xfId="0" quotePrefix="1" applyNumberFormat="1" applyFill="1" applyBorder="1" applyAlignment="1">
      <alignment horizontal="right"/>
    </xf>
    <xf numFmtId="172" fontId="0" fillId="0" borderId="21" xfId="0" applyBorder="1" applyAlignment="1">
      <alignment horizontal="left"/>
    </xf>
    <xf numFmtId="172" fontId="0" fillId="0" borderId="21" xfId="0" applyBorder="1" applyAlignment="1"/>
    <xf numFmtId="0" fontId="0" fillId="0" borderId="110" xfId="0" applyNumberFormat="1" applyBorder="1" applyAlignment="1">
      <alignment wrapText="1"/>
    </xf>
    <xf numFmtId="3" fontId="60" fillId="12" borderId="38" xfId="0" applyNumberFormat="1" applyFont="1" applyFill="1" applyBorder="1" applyAlignment="1">
      <alignment horizontal="center" vertical="center" wrapText="1"/>
    </xf>
    <xf numFmtId="0" fontId="74" fillId="0" borderId="0" xfId="150" applyNumberFormat="1" applyBorder="1" applyAlignment="1" applyProtection="1">
      <alignment vertical="top"/>
    </xf>
    <xf numFmtId="3" fontId="58" fillId="0" borderId="0" xfId="0" applyNumberFormat="1" applyFont="1"/>
    <xf numFmtId="3" fontId="60" fillId="0" borderId="0" xfId="0" applyNumberFormat="1" applyFont="1" applyAlignment="1">
      <alignment horizontal="left"/>
    </xf>
    <xf numFmtId="3" fontId="58" fillId="0" borderId="0" xfId="0" applyNumberFormat="1" applyFont="1" applyAlignment="1">
      <alignment vertical="center"/>
    </xf>
    <xf numFmtId="3" fontId="41"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6" fillId="0" borderId="9" xfId="0" applyNumberFormat="1" applyFont="1" applyBorder="1"/>
    <xf numFmtId="3" fontId="26" fillId="0" borderId="0" xfId="0" applyNumberFormat="1" applyFont="1" applyBorder="1"/>
    <xf numFmtId="3" fontId="26"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9" fillId="0" borderId="0" xfId="0" applyNumberFormat="1" applyFont="1"/>
    <xf numFmtId="3" fontId="9" fillId="14" borderId="0" xfId="0" applyNumberFormat="1" applyFont="1" applyFill="1"/>
    <xf numFmtId="3" fontId="0" fillId="0" borderId="4" xfId="0" applyNumberFormat="1" applyBorder="1"/>
    <xf numFmtId="3" fontId="26"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51" fillId="0" borderId="120" xfId="0" applyNumberFormat="1" applyFont="1" applyBorder="1"/>
    <xf numFmtId="3" fontId="89" fillId="0" borderId="0" xfId="0" applyNumberFormat="1" applyFont="1" applyBorder="1" applyAlignment="1">
      <alignment vertical="center"/>
    </xf>
    <xf numFmtId="3" fontId="9" fillId="13" borderId="15" xfId="0" applyNumberFormat="1" applyFont="1" applyFill="1" applyBorder="1"/>
    <xf numFmtId="3" fontId="9" fillId="13" borderId="15" xfId="0" applyNumberFormat="1" applyFont="1" applyFill="1" applyBorder="1" applyAlignment="1">
      <alignment horizontal="right"/>
    </xf>
    <xf numFmtId="3" fontId="9" fillId="13" borderId="15" xfId="0" quotePrefix="1" applyNumberFormat="1" applyFont="1" applyFill="1" applyBorder="1" applyAlignment="1">
      <alignment horizontal="right"/>
    </xf>
    <xf numFmtId="3" fontId="9" fillId="3" borderId="15" xfId="0" quotePrefix="1" applyNumberFormat="1" applyFont="1" applyFill="1" applyBorder="1" applyAlignment="1">
      <alignment horizontal="right"/>
    </xf>
    <xf numFmtId="3" fontId="0" fillId="0" borderId="0" xfId="0" applyNumberFormat="1" applyAlignment="1">
      <alignment horizontal="right"/>
    </xf>
    <xf numFmtId="3" fontId="9" fillId="17" borderId="15" xfId="0" applyNumberFormat="1" applyFont="1" applyFill="1" applyBorder="1"/>
    <xf numFmtId="3" fontId="0" fillId="13" borderId="15" xfId="0" applyNumberFormat="1" applyFill="1" applyBorder="1" applyAlignment="1">
      <alignment horizontal="right"/>
    </xf>
    <xf numFmtId="3" fontId="9"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9" fillId="23" borderId="5" xfId="0" applyNumberFormat="1" applyFont="1" applyFill="1" applyBorder="1" applyAlignment="1">
      <alignment horizontal="left"/>
    </xf>
    <xf numFmtId="3" fontId="0" fillId="23" borderId="4" xfId="0" applyNumberFormat="1" applyFont="1" applyFill="1" applyBorder="1"/>
    <xf numFmtId="3" fontId="9" fillId="0" borderId="134" xfId="0" applyNumberFormat="1" applyFont="1" applyFill="1" applyBorder="1"/>
    <xf numFmtId="3" fontId="0" fillId="0" borderId="111" xfId="0" applyNumberFormat="1" applyFont="1" applyFill="1" applyBorder="1"/>
    <xf numFmtId="3" fontId="9" fillId="0" borderId="111" xfId="0" applyNumberFormat="1" applyFont="1" applyFill="1" applyBorder="1" applyAlignment="1">
      <alignment horizontal="left"/>
    </xf>
    <xf numFmtId="3" fontId="0" fillId="0" borderId="135" xfId="0" applyNumberFormat="1" applyFont="1" applyFill="1" applyBorder="1"/>
    <xf numFmtId="3" fontId="19" fillId="0" borderId="7" xfId="7" applyNumberFormat="1" applyFont="1" applyFill="1" applyBorder="1" applyAlignment="1">
      <alignment wrapText="1"/>
    </xf>
    <xf numFmtId="3" fontId="0" fillId="0" borderId="0" xfId="0" applyNumberFormat="1" applyBorder="1" applyAlignment="1">
      <alignment horizontal="left"/>
    </xf>
    <xf numFmtId="3" fontId="26" fillId="0" borderId="0" xfId="0" applyNumberFormat="1" applyFont="1" applyBorder="1" applyAlignment="1">
      <alignment horizontal="left"/>
    </xf>
    <xf numFmtId="3" fontId="19" fillId="0" borderId="10" xfId="7" applyNumberFormat="1" applyFont="1" applyFill="1" applyBorder="1" applyAlignment="1">
      <alignment wrapText="1"/>
    </xf>
    <xf numFmtId="3" fontId="0" fillId="0" borderId="12" xfId="0" applyNumberFormat="1" applyBorder="1" applyAlignment="1">
      <alignment horizontal="left"/>
    </xf>
    <xf numFmtId="3" fontId="26" fillId="0" borderId="12" xfId="0" applyNumberFormat="1" applyFont="1" applyBorder="1" applyAlignment="1">
      <alignment horizontal="left"/>
    </xf>
    <xf numFmtId="3" fontId="26" fillId="0" borderId="11" xfId="0" applyNumberFormat="1" applyFont="1" applyBorder="1"/>
    <xf numFmtId="3" fontId="0" fillId="0" borderId="0" xfId="0" applyNumberFormat="1" applyFill="1" applyBorder="1" applyAlignment="1">
      <alignment horizontal="left"/>
    </xf>
    <xf numFmtId="3" fontId="43" fillId="23" borderId="3" xfId="7" applyNumberFormat="1" applyFont="1" applyFill="1" applyBorder="1" applyAlignment="1">
      <alignment wrapText="1"/>
    </xf>
    <xf numFmtId="3" fontId="43" fillId="0" borderId="134" xfId="7"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9" fillId="23" borderId="52" xfId="0" applyNumberFormat="1" applyFont="1" applyFill="1" applyBorder="1"/>
    <xf numFmtId="3" fontId="9" fillId="0" borderId="111" xfId="0" applyNumberFormat="1" applyFont="1" applyBorder="1"/>
    <xf numFmtId="3" fontId="8" fillId="0" borderId="61" xfId="0" applyNumberFormat="1" applyFont="1" applyBorder="1"/>
    <xf numFmtId="3" fontId="9" fillId="0" borderId="0" xfId="0" applyNumberFormat="1" applyFont="1" applyFill="1" applyBorder="1"/>
    <xf numFmtId="3" fontId="0" fillId="0" borderId="61" xfId="0" applyNumberFormat="1" applyBorder="1"/>
    <xf numFmtId="4" fontId="9" fillId="23" borderId="16" xfId="0" applyNumberFormat="1" applyFont="1" applyFill="1" applyBorder="1"/>
    <xf numFmtId="4" fontId="0" fillId="0" borderId="80" xfId="0" applyNumberFormat="1" applyBorder="1"/>
    <xf numFmtId="4" fontId="47" fillId="0" borderId="80" xfId="0" applyNumberFormat="1" applyFont="1" applyFill="1" applyBorder="1" applyAlignment="1">
      <alignment horizontal="center" vertical="top" wrapText="1"/>
    </xf>
    <xf numFmtId="4" fontId="0" fillId="0" borderId="113" xfId="0" applyNumberFormat="1" applyBorder="1" applyAlignment="1">
      <alignment horizontal="center" vertical="top" wrapText="1"/>
    </xf>
    <xf numFmtId="4" fontId="0" fillId="0" borderId="80" xfId="0" applyNumberFormat="1" applyBorder="1" applyAlignment="1">
      <alignment horizontal="right" vertical="top" wrapText="1"/>
    </xf>
    <xf numFmtId="4" fontId="0" fillId="0" borderId="80"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7" fillId="0" borderId="115"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113" xfId="0" applyNumberFormat="1" applyBorder="1" applyAlignment="1">
      <alignment horizontal="right" vertical="top" wrapText="1"/>
    </xf>
    <xf numFmtId="4" fontId="0" fillId="0" borderId="18" xfId="0" applyNumberFormat="1" applyBorder="1" applyAlignment="1">
      <alignment horizontal="right" vertical="top" wrapText="1"/>
    </xf>
    <xf numFmtId="4" fontId="0" fillId="0" borderId="0" xfId="0" applyNumberFormat="1" applyBorder="1" applyAlignment="1">
      <alignment horizontal="center" vertical="top" wrapText="1"/>
    </xf>
    <xf numFmtId="4" fontId="0" fillId="0" borderId="0" xfId="0" applyNumberFormat="1"/>
    <xf numFmtId="3" fontId="9" fillId="23" borderId="86" xfId="0" applyNumberFormat="1" applyFont="1" applyFill="1" applyBorder="1"/>
    <xf numFmtId="0" fontId="9" fillId="23" borderId="16" xfId="0" applyNumberFormat="1" applyFont="1" applyFill="1" applyBorder="1" applyAlignment="1">
      <alignment horizontal="right"/>
    </xf>
    <xf numFmtId="172" fontId="0" fillId="0" borderId="0" xfId="0" applyAlignment="1">
      <alignment horizontal="right"/>
    </xf>
    <xf numFmtId="0" fontId="0" fillId="0" borderId="80" xfId="0" applyNumberFormat="1" applyBorder="1" applyAlignment="1">
      <alignment horizontal="left"/>
    </xf>
    <xf numFmtId="0" fontId="47" fillId="0" borderId="0" xfId="0" applyNumberFormat="1" applyFont="1" applyFill="1" applyBorder="1" applyAlignment="1">
      <alignment horizontal="left" vertical="top"/>
    </xf>
    <xf numFmtId="3" fontId="0" fillId="0" borderId="110" xfId="0" applyNumberFormat="1" applyFill="1" applyBorder="1" applyAlignment="1">
      <alignment horizontal="left"/>
    </xf>
    <xf numFmtId="3" fontId="0" fillId="0" borderId="113" xfId="0" applyNumberFormat="1" applyFill="1" applyBorder="1" applyAlignment="1">
      <alignment horizontal="right"/>
    </xf>
    <xf numFmtId="3" fontId="0" fillId="0" borderId="18" xfId="0" applyNumberFormat="1" applyFill="1" applyBorder="1" applyAlignment="1">
      <alignment horizontal="right"/>
    </xf>
    <xf numFmtId="177" fontId="9" fillId="13" borderId="0" xfId="0" applyNumberFormat="1" applyFont="1" applyFill="1" applyBorder="1"/>
    <xf numFmtId="177" fontId="0" fillId="3" borderId="0" xfId="0" applyNumberFormat="1" applyFill="1" applyBorder="1"/>
    <xf numFmtId="176" fontId="9" fillId="13" borderId="0" xfId="0" applyNumberFormat="1" applyFont="1" applyFill="1" applyBorder="1"/>
    <xf numFmtId="4" fontId="0" fillId="2" borderId="0" xfId="0" applyNumberFormat="1" applyFill="1" applyBorder="1"/>
    <xf numFmtId="4" fontId="0" fillId="0" borderId="0" xfId="0" applyNumberFormat="1" applyFill="1" applyBorder="1"/>
    <xf numFmtId="172" fontId="0" fillId="0" borderId="0" xfId="0" applyFill="1" applyBorder="1" applyProtection="1"/>
    <xf numFmtId="0" fontId="41" fillId="12" borderId="73" xfId="0" applyNumberFormat="1" applyFont="1" applyFill="1" applyBorder="1" applyAlignment="1" applyProtection="1">
      <alignment horizontal="center" vertical="center" wrapText="1"/>
    </xf>
    <xf numFmtId="0" fontId="41" fillId="12" borderId="154" xfId="0" applyNumberFormat="1" applyFont="1" applyFill="1" applyBorder="1" applyAlignment="1" applyProtection="1">
      <alignment horizontal="center" vertical="center" wrapText="1"/>
    </xf>
    <xf numFmtId="0" fontId="41" fillId="12" borderId="74" xfId="0" applyNumberFormat="1" applyFont="1" applyFill="1" applyBorder="1" applyAlignment="1" applyProtection="1">
      <alignment horizontal="center" vertical="center" wrapText="1"/>
    </xf>
    <xf numFmtId="0" fontId="41" fillId="12" borderId="75" xfId="0" applyNumberFormat="1" applyFont="1" applyFill="1" applyBorder="1" applyAlignment="1" applyProtection="1">
      <alignment horizontal="center" vertical="center" wrapText="1"/>
    </xf>
    <xf numFmtId="172" fontId="43" fillId="0" borderId="77" xfId="0" applyFont="1" applyFill="1" applyBorder="1" applyAlignment="1" applyProtection="1">
      <alignment horizontal="center"/>
    </xf>
    <xf numFmtId="3" fontId="41" fillId="2" borderId="12" xfId="0" applyNumberFormat="1" applyFont="1" applyFill="1" applyBorder="1" applyAlignment="1" applyProtection="1">
      <alignment horizontal="right" vertical="center"/>
    </xf>
    <xf numFmtId="172" fontId="41" fillId="19" borderId="77" xfId="0" applyFont="1" applyFill="1" applyBorder="1" applyAlignment="1" applyProtection="1">
      <alignment horizontal="right" vertical="center"/>
    </xf>
    <xf numFmtId="172" fontId="41" fillId="0" borderId="47" xfId="0" applyFont="1" applyFill="1" applyBorder="1" applyAlignment="1" applyProtection="1">
      <alignment horizontal="center"/>
    </xf>
    <xf numFmtId="172" fontId="41" fillId="19" borderId="47" xfId="0" applyFont="1" applyFill="1" applyBorder="1" applyAlignment="1" applyProtection="1">
      <alignment horizontal="right" vertical="center"/>
    </xf>
    <xf numFmtId="172" fontId="43" fillId="0" borderId="47" xfId="0" applyFont="1" applyFill="1" applyBorder="1" applyAlignment="1" applyProtection="1">
      <alignment horizontal="center"/>
    </xf>
    <xf numFmtId="3" fontId="45" fillId="0" borderId="84" xfId="0" applyNumberFormat="1" applyFont="1" applyFill="1" applyBorder="1" applyAlignment="1" applyProtection="1">
      <alignment horizontal="right" vertical="center"/>
    </xf>
    <xf numFmtId="3" fontId="45" fillId="0" borderId="94" xfId="0" applyNumberFormat="1" applyFont="1" applyFill="1" applyBorder="1" applyAlignment="1" applyProtection="1">
      <alignment horizontal="right" vertical="center"/>
    </xf>
    <xf numFmtId="3" fontId="45" fillId="0" borderId="46" xfId="0" applyNumberFormat="1" applyFont="1" applyFill="1" applyBorder="1" applyAlignment="1" applyProtection="1">
      <alignment horizontal="right" vertical="center"/>
    </xf>
    <xf numFmtId="3" fontId="41" fillId="19" borderId="47" xfId="0" applyNumberFormat="1" applyFont="1" applyFill="1" applyBorder="1" applyAlignment="1" applyProtection="1">
      <alignment horizontal="right" vertical="center"/>
    </xf>
    <xf numFmtId="172" fontId="41" fillId="0" borderId="47" xfId="0" applyFont="1" applyFill="1" applyBorder="1" applyAlignment="1" applyProtection="1">
      <alignment horizontal="center" wrapText="1"/>
    </xf>
    <xf numFmtId="3" fontId="41" fillId="3" borderId="5" xfId="0" applyNumberFormat="1" applyFont="1" applyFill="1" applyBorder="1" applyAlignment="1" applyProtection="1">
      <alignment horizontal="right" vertical="center"/>
    </xf>
    <xf numFmtId="3" fontId="45" fillId="0" borderId="85" xfId="0" applyNumberFormat="1" applyFont="1" applyFill="1" applyBorder="1" applyAlignment="1" applyProtection="1">
      <alignment horizontal="right" vertical="center"/>
    </xf>
    <xf numFmtId="3" fontId="45" fillId="0" borderId="6" xfId="0" applyNumberFormat="1" applyFont="1" applyFill="1" applyBorder="1" applyAlignment="1" applyProtection="1">
      <alignment horizontal="right" vertical="center"/>
    </xf>
    <xf numFmtId="3" fontId="45" fillId="0" borderId="95" xfId="0" applyNumberFormat="1" applyFont="1" applyFill="1" applyBorder="1" applyAlignment="1" applyProtection="1">
      <alignment horizontal="right" vertical="center"/>
    </xf>
    <xf numFmtId="3" fontId="45" fillId="0" borderId="39" xfId="0" applyNumberFormat="1" applyFont="1" applyFill="1" applyBorder="1" applyAlignment="1" applyProtection="1">
      <alignment horizontal="right" vertical="center"/>
    </xf>
    <xf numFmtId="172" fontId="0" fillId="0" borderId="66" xfId="0" applyFill="1" applyBorder="1" applyProtection="1"/>
    <xf numFmtId="172" fontId="41" fillId="12" borderId="35" xfId="0" applyFont="1" applyFill="1" applyBorder="1" applyAlignment="1" applyProtection="1">
      <alignment horizontal="center"/>
    </xf>
    <xf numFmtId="3" fontId="41" fillId="19" borderId="25" xfId="0" applyNumberFormat="1" applyFont="1" applyFill="1" applyBorder="1" applyAlignment="1" applyProtection="1">
      <alignment horizontal="right" vertical="center"/>
    </xf>
    <xf numFmtId="3" fontId="41" fillId="19" borderId="55" xfId="0" applyNumberFormat="1" applyFont="1" applyFill="1" applyBorder="1" applyAlignment="1" applyProtection="1">
      <alignment horizontal="right" vertical="center"/>
    </xf>
    <xf numFmtId="3" fontId="41" fillId="19" borderId="30" xfId="0" applyNumberFormat="1" applyFont="1" applyFill="1" applyBorder="1" applyAlignment="1" applyProtection="1">
      <alignment horizontal="right" vertical="center"/>
    </xf>
    <xf numFmtId="172" fontId="45" fillId="0" borderId="29" xfId="0" applyFont="1" applyFill="1" applyBorder="1" applyAlignment="1" applyProtection="1">
      <alignment horizontal="right" vertical="center"/>
    </xf>
    <xf numFmtId="172" fontId="9" fillId="0" borderId="0" xfId="0" applyFont="1" applyProtection="1"/>
    <xf numFmtId="174" fontId="0" fillId="0" borderId="0" xfId="0" applyNumberFormat="1" applyAlignment="1" applyProtection="1">
      <alignment horizontal="center"/>
    </xf>
    <xf numFmtId="172" fontId="0" fillId="0" borderId="0" xfId="0" applyFill="1" applyProtection="1"/>
    <xf numFmtId="174" fontId="0" fillId="0" borderId="0" xfId="0" applyNumberFormat="1" applyFill="1" applyBorder="1" applyAlignment="1" applyProtection="1">
      <alignment horizontal="center"/>
    </xf>
    <xf numFmtId="172" fontId="9" fillId="0" borderId="0" xfId="0" applyFont="1" applyFill="1" applyBorder="1" applyProtection="1"/>
    <xf numFmtId="0" fontId="41" fillId="12" borderId="36" xfId="0" applyNumberFormat="1" applyFont="1" applyFill="1" applyBorder="1" applyAlignment="1" applyProtection="1">
      <alignment horizontal="center" vertical="center" wrapText="1"/>
    </xf>
    <xf numFmtId="0" fontId="41" fillId="12" borderId="87" xfId="0" applyNumberFormat="1" applyFont="1" applyFill="1" applyBorder="1" applyAlignment="1" applyProtection="1">
      <alignment horizontal="center" vertical="center" wrapText="1"/>
    </xf>
    <xf numFmtId="172" fontId="43" fillId="0" borderId="77" xfId="0" applyFont="1" applyBorder="1" applyAlignment="1" applyProtection="1">
      <alignment horizontal="center" vertical="center"/>
    </xf>
    <xf numFmtId="3" fontId="41" fillId="3" borderId="77" xfId="0" applyNumberFormat="1" applyFont="1" applyFill="1" applyBorder="1" applyAlignment="1" applyProtection="1">
      <alignment horizontal="right" vertical="center"/>
    </xf>
    <xf numFmtId="3" fontId="45" fillId="0" borderId="11" xfId="0" applyNumberFormat="1" applyFont="1" applyFill="1" applyBorder="1" applyAlignment="1" applyProtection="1">
      <alignment horizontal="right" vertical="center"/>
    </xf>
    <xf numFmtId="3" fontId="45" fillId="0" borderId="13" xfId="0" applyNumberFormat="1" applyFont="1" applyFill="1" applyBorder="1" applyAlignment="1" applyProtection="1">
      <alignment horizontal="right" vertical="center"/>
    </xf>
    <xf numFmtId="3" fontId="45" fillId="0" borderId="98" xfId="0" applyNumberFormat="1" applyFont="1" applyFill="1" applyBorder="1" applyAlignment="1" applyProtection="1">
      <alignment horizontal="right" vertical="center"/>
    </xf>
    <xf numFmtId="3" fontId="41" fillId="19" borderId="77" xfId="0" applyNumberFormat="1" applyFont="1" applyFill="1" applyBorder="1" applyAlignment="1" applyProtection="1">
      <alignment horizontal="right" vertical="center"/>
    </xf>
    <xf numFmtId="172" fontId="41" fillId="0" borderId="47" xfId="0" applyFont="1" applyBorder="1" applyAlignment="1" applyProtection="1">
      <alignment horizontal="center" vertical="center"/>
    </xf>
    <xf numFmtId="3" fontId="41" fillId="3" borderId="47" xfId="0" applyNumberFormat="1" applyFont="1" applyFill="1" applyBorder="1" applyAlignment="1" applyProtection="1">
      <alignment horizontal="right" vertical="center"/>
    </xf>
    <xf numFmtId="3" fontId="41" fillId="19" borderId="57" xfId="0" applyNumberFormat="1" applyFont="1" applyFill="1" applyBorder="1" applyAlignment="1" applyProtection="1">
      <alignment horizontal="right" vertical="center"/>
    </xf>
    <xf numFmtId="172" fontId="0" fillId="0" borderId="0" xfId="0" applyFill="1" applyBorder="1" applyAlignment="1" applyProtection="1">
      <alignment horizontal="center" wrapText="1"/>
    </xf>
    <xf numFmtId="172" fontId="0" fillId="0" borderId="0" xfId="0" applyFill="1" applyBorder="1" applyAlignment="1" applyProtection="1">
      <alignment horizontal="center"/>
    </xf>
    <xf numFmtId="172" fontId="9" fillId="0" borderId="102" xfId="0" applyFont="1" applyFill="1" applyBorder="1" applyProtection="1"/>
    <xf numFmtId="172" fontId="48" fillId="0" borderId="21" xfId="0" applyFont="1" applyFill="1" applyBorder="1" applyProtection="1"/>
    <xf numFmtId="172" fontId="48" fillId="0" borderId="0" xfId="0" applyFont="1" applyFill="1" applyBorder="1" applyProtection="1"/>
    <xf numFmtId="172" fontId="48" fillId="0" borderId="21" xfId="0" applyFont="1" applyBorder="1" applyProtection="1"/>
    <xf numFmtId="172" fontId="9" fillId="3" borderId="21" xfId="0" applyFont="1" applyFill="1" applyBorder="1" applyProtection="1"/>
    <xf numFmtId="3" fontId="9" fillId="3" borderId="0" xfId="0" applyNumberFormat="1" applyFont="1" applyFill="1" applyBorder="1" applyAlignment="1" applyProtection="1">
      <alignment wrapText="1"/>
    </xf>
    <xf numFmtId="3" fontId="9" fillId="3" borderId="0" xfId="0" applyNumberFormat="1" applyFont="1" applyFill="1" applyBorder="1" applyAlignment="1" applyProtection="1">
      <alignment horizontal="center" wrapText="1"/>
    </xf>
    <xf numFmtId="3" fontId="9" fillId="3" borderId="0" xfId="0" applyNumberFormat="1" applyFont="1" applyFill="1" applyBorder="1" applyProtection="1"/>
    <xf numFmtId="3" fontId="9" fillId="3" borderId="80" xfId="0" applyNumberFormat="1" applyFont="1" applyFill="1" applyBorder="1" applyProtection="1"/>
    <xf numFmtId="172" fontId="9" fillId="3" borderId="103" xfId="0" applyFont="1" applyFill="1" applyBorder="1" applyProtection="1"/>
    <xf numFmtId="3" fontId="9" fillId="3" borderId="61" xfId="0" applyNumberFormat="1" applyFont="1" applyFill="1" applyBorder="1" applyAlignment="1" applyProtection="1">
      <alignment wrapText="1"/>
    </xf>
    <xf numFmtId="3" fontId="9" fillId="3" borderId="61" xfId="0" applyNumberFormat="1" applyFont="1" applyFill="1" applyBorder="1" applyAlignment="1" applyProtection="1">
      <alignment horizontal="center" wrapText="1"/>
    </xf>
    <xf numFmtId="3" fontId="9" fillId="3" borderId="61" xfId="0" applyNumberFormat="1" applyFont="1" applyFill="1" applyBorder="1" applyProtection="1"/>
    <xf numFmtId="3" fontId="9" fillId="3" borderId="18" xfId="0" applyNumberFormat="1" applyFont="1" applyFill="1" applyBorder="1" applyProtection="1"/>
    <xf numFmtId="172" fontId="9" fillId="0" borderId="0" xfId="0" applyFont="1" applyBorder="1" applyProtection="1"/>
    <xf numFmtId="172" fontId="9" fillId="0" borderId="0" xfId="0" applyFont="1" applyBorder="1" applyAlignment="1" applyProtection="1">
      <alignment wrapText="1"/>
    </xf>
    <xf numFmtId="172" fontId="9" fillId="0" borderId="102" xfId="0" applyFont="1" applyBorder="1" applyProtection="1"/>
    <xf numFmtId="172" fontId="48" fillId="0" borderId="0" xfId="0" applyFont="1" applyBorder="1" applyProtection="1"/>
    <xf numFmtId="172" fontId="0" fillId="0" borderId="0" xfId="0" applyBorder="1" applyProtection="1"/>
    <xf numFmtId="172" fontId="47" fillId="0" borderId="102" xfId="0" applyFont="1" applyBorder="1" applyProtection="1"/>
    <xf numFmtId="172" fontId="0" fillId="0" borderId="52" xfId="0" applyBorder="1" applyAlignment="1" applyProtection="1">
      <alignment wrapText="1"/>
    </xf>
    <xf numFmtId="172" fontId="0" fillId="0" borderId="101" xfId="0" applyBorder="1" applyAlignment="1" applyProtection="1">
      <alignment wrapText="1"/>
    </xf>
    <xf numFmtId="172" fontId="0" fillId="0" borderId="0" xfId="0" applyBorder="1" applyAlignment="1" applyProtection="1">
      <alignment wrapText="1"/>
    </xf>
    <xf numFmtId="172" fontId="0" fillId="0" borderId="0" xfId="0" applyAlignment="1" applyProtection="1">
      <alignment wrapText="1"/>
    </xf>
    <xf numFmtId="172" fontId="0" fillId="0" borderId="0" xfId="0" applyProtection="1"/>
    <xf numFmtId="172" fontId="9" fillId="0" borderId="21" xfId="0" applyFont="1" applyBorder="1" applyProtection="1"/>
    <xf numFmtId="172" fontId="9" fillId="0" borderId="80" xfId="0" applyFont="1" applyBorder="1" applyAlignment="1" applyProtection="1">
      <alignment wrapText="1"/>
    </xf>
    <xf numFmtId="172" fontId="9" fillId="0" borderId="21" xfId="0" applyFont="1" applyFill="1" applyBorder="1" applyProtection="1"/>
    <xf numFmtId="172" fontId="9" fillId="0" borderId="0" xfId="0" applyFont="1" applyFill="1" applyBorder="1" applyAlignment="1" applyProtection="1">
      <alignment horizontal="center" wrapText="1"/>
    </xf>
    <xf numFmtId="172" fontId="9" fillId="0" borderId="80"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2" fontId="0" fillId="0" borderId="80" xfId="0" applyFill="1" applyBorder="1" applyAlignment="1" applyProtection="1">
      <alignment horizontal="center" wrapText="1"/>
    </xf>
    <xf numFmtId="171" fontId="0" fillId="0" borderId="0" xfId="0" applyNumberFormat="1" applyFill="1" applyAlignment="1" applyProtection="1">
      <alignment horizontal="center" wrapText="1"/>
    </xf>
    <xf numFmtId="172" fontId="9" fillId="0" borderId="0" xfId="0" applyFont="1" applyFill="1" applyBorder="1" applyAlignment="1" applyProtection="1">
      <alignment wrapText="1"/>
    </xf>
    <xf numFmtId="172" fontId="9" fillId="0" borderId="80" xfId="0" applyFont="1" applyFill="1" applyBorder="1" applyAlignment="1" applyProtection="1">
      <alignment wrapText="1"/>
    </xf>
    <xf numFmtId="172" fontId="0" fillId="0" borderId="0" xfId="0" applyFill="1" applyAlignment="1" applyProtection="1">
      <alignment wrapText="1"/>
    </xf>
    <xf numFmtId="172" fontId="0" fillId="0" borderId="21" xfId="0" applyBorder="1" applyProtection="1"/>
    <xf numFmtId="3" fontId="42" fillId="22" borderId="0" xfId="0" applyNumberFormat="1" applyFont="1" applyFill="1" applyBorder="1" applyAlignment="1" applyProtection="1">
      <alignment vertical="top" wrapText="1"/>
    </xf>
    <xf numFmtId="3" fontId="42" fillId="22" borderId="80"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0" xfId="0" applyNumberFormat="1" applyFill="1" applyBorder="1" applyAlignment="1" applyProtection="1">
      <alignment horizontal="center" wrapText="1"/>
    </xf>
    <xf numFmtId="172" fontId="9" fillId="0" borderId="103" xfId="0" applyFont="1" applyFill="1" applyBorder="1" applyProtection="1"/>
    <xf numFmtId="3" fontId="0" fillId="16" borderId="61"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2" fontId="42" fillId="22" borderId="52" xfId="0" applyFont="1" applyFill="1" applyBorder="1" applyAlignment="1" applyProtection="1">
      <alignment vertical="top" wrapText="1"/>
      <protection locked="0"/>
    </xf>
    <xf numFmtId="3" fontId="42" fillId="22" borderId="52" xfId="0" applyNumberFormat="1" applyFont="1" applyFill="1" applyBorder="1" applyAlignment="1" applyProtection="1">
      <alignment vertical="top" wrapText="1"/>
      <protection locked="0"/>
    </xf>
    <xf numFmtId="172" fontId="42" fillId="22" borderId="101" xfId="0" applyFont="1" applyFill="1" applyBorder="1" applyAlignment="1" applyProtection="1">
      <alignment vertical="top" wrapText="1"/>
      <protection locked="0"/>
    </xf>
    <xf numFmtId="2" fontId="48" fillId="4" borderId="0" xfId="0" applyNumberFormat="1" applyFont="1" applyFill="1" applyBorder="1" applyAlignment="1" applyProtection="1">
      <alignment horizontal="center" wrapText="1"/>
      <protection locked="0"/>
    </xf>
    <xf numFmtId="2" fontId="48" fillId="4" borderId="0" xfId="0" applyNumberFormat="1" applyFont="1" applyFill="1" applyBorder="1" applyAlignment="1" applyProtection="1">
      <alignment horizontal="left" wrapText="1"/>
      <protection locked="0"/>
    </xf>
    <xf numFmtId="2" fontId="48" fillId="4" borderId="80" xfId="0" applyNumberFormat="1" applyFont="1" applyFill="1" applyBorder="1" applyAlignment="1" applyProtection="1">
      <alignment horizontal="center" wrapText="1"/>
      <protection locked="0"/>
    </xf>
    <xf numFmtId="3" fontId="48" fillId="4" borderId="0" xfId="0" applyNumberFormat="1" applyFont="1" applyFill="1" applyBorder="1" applyAlignment="1" applyProtection="1">
      <alignment horizontal="center" wrapText="1"/>
      <protection locked="0"/>
    </xf>
    <xf numFmtId="3" fontId="48" fillId="4" borderId="80" xfId="0" applyNumberFormat="1" applyFont="1" applyFill="1" applyBorder="1" applyAlignment="1" applyProtection="1">
      <alignment horizontal="center" wrapText="1"/>
      <protection locked="0"/>
    </xf>
    <xf numFmtId="2" fontId="19" fillId="0" borderId="0" xfId="7" applyNumberFormat="1" applyFont="1" applyFill="1" applyBorder="1" applyAlignment="1">
      <alignment wrapText="1"/>
    </xf>
    <xf numFmtId="2" fontId="9" fillId="23" borderId="19" xfId="0" applyNumberFormat="1" applyFont="1" applyFill="1" applyBorder="1"/>
    <xf numFmtId="2" fontId="9" fillId="23" borderId="86" xfId="0" applyNumberFormat="1" applyFont="1" applyFill="1" applyBorder="1"/>
    <xf numFmtId="2" fontId="9" fillId="23" borderId="16" xfId="0" applyNumberFormat="1" applyFont="1" applyFill="1" applyBorder="1"/>
    <xf numFmtId="2" fontId="0" fillId="0" borderId="0" xfId="0" applyNumberFormat="1"/>
    <xf numFmtId="0" fontId="26" fillId="0" borderId="114" xfId="0" applyNumberFormat="1" applyFont="1" applyFill="1" applyBorder="1" applyAlignment="1">
      <alignment horizontal="justify" vertical="top"/>
    </xf>
    <xf numFmtId="2" fontId="0" fillId="0" borderId="0" xfId="0" applyNumberFormat="1" applyBorder="1"/>
    <xf numFmtId="2" fontId="0" fillId="0" borderId="80" xfId="0" applyNumberFormat="1" applyBorder="1"/>
    <xf numFmtId="2" fontId="19" fillId="0" borderId="21" xfId="7" applyNumberFormat="1" applyFont="1" applyFill="1" applyBorder="1" applyAlignment="1">
      <alignment wrapText="1"/>
    </xf>
    <xf numFmtId="2" fontId="19" fillId="0" borderId="103" xfId="7" applyNumberFormat="1" applyFont="1" applyFill="1" applyBorder="1" applyAlignment="1">
      <alignment wrapText="1"/>
    </xf>
    <xf numFmtId="2" fontId="19" fillId="0" borderId="61" xfId="7" applyNumberFormat="1" applyFont="1" applyFill="1" applyBorder="1" applyAlignment="1">
      <alignment wrapText="1"/>
    </xf>
    <xf numFmtId="2" fontId="0" fillId="0" borderId="61" xfId="0" applyNumberFormat="1" applyBorder="1"/>
    <xf numFmtId="2" fontId="0" fillId="0" borderId="18" xfId="0" applyNumberFormat="1" applyBorder="1"/>
    <xf numFmtId="0" fontId="26" fillId="0" borderId="111" xfId="0" applyNumberFormat="1" applyFont="1" applyFill="1" applyBorder="1" applyAlignment="1">
      <alignment horizontal="left" vertical="top" wrapText="1"/>
    </xf>
    <xf numFmtId="2" fontId="26" fillId="0" borderId="102" xfId="0" applyNumberFormat="1" applyFont="1" applyFill="1" applyBorder="1" applyAlignment="1">
      <alignment horizontal="left" vertical="top" wrapText="1"/>
    </xf>
    <xf numFmtId="2" fontId="0" fillId="0" borderId="52" xfId="0" applyNumberFormat="1" applyBorder="1"/>
    <xf numFmtId="2" fontId="0" fillId="0" borderId="101" xfId="0" applyNumberFormat="1" applyBorder="1"/>
    <xf numFmtId="2" fontId="26" fillId="0" borderId="21" xfId="0" applyNumberFormat="1" applyFont="1" applyFill="1" applyBorder="1" applyAlignment="1">
      <alignment horizontal="left" vertical="top" wrapText="1"/>
    </xf>
    <xf numFmtId="2" fontId="26" fillId="0" borderId="0" xfId="0" applyNumberFormat="1" applyFont="1" applyFill="1" applyBorder="1" applyAlignment="1">
      <alignment horizontal="left" vertical="top" wrapText="1"/>
    </xf>
    <xf numFmtId="2" fontId="26" fillId="0" borderId="52" xfId="0" applyNumberFormat="1" applyFont="1" applyFill="1" applyBorder="1" applyAlignment="1">
      <alignment horizontal="left" vertical="top"/>
    </xf>
    <xf numFmtId="0" fontId="0" fillId="0" borderId="111" xfId="0" applyNumberFormat="1" applyFont="1" applyBorder="1" applyAlignment="1">
      <alignment vertical="top" wrapText="1"/>
    </xf>
    <xf numFmtId="0" fontId="26" fillId="0" borderId="111" xfId="0" applyNumberFormat="1" applyFont="1" applyFill="1" applyBorder="1" applyAlignment="1">
      <alignment vertical="top" wrapText="1"/>
    </xf>
    <xf numFmtId="176" fontId="19" fillId="0" borderId="0" xfId="7" applyNumberFormat="1" applyFont="1" applyFill="1" applyBorder="1" applyAlignment="1">
      <alignment horizontal="right" wrapText="1"/>
    </xf>
    <xf numFmtId="176" fontId="0" fillId="0" borderId="0" xfId="0" applyNumberFormat="1" applyBorder="1"/>
    <xf numFmtId="176" fontId="0" fillId="0" borderId="80" xfId="0" applyNumberFormat="1" applyBorder="1"/>
    <xf numFmtId="176" fontId="19" fillId="0" borderId="61" xfId="7" applyNumberFormat="1" applyFont="1" applyFill="1" applyBorder="1" applyAlignment="1">
      <alignment horizontal="right" wrapText="1"/>
    </xf>
    <xf numFmtId="176" fontId="0" fillId="0" borderId="61" xfId="0" applyNumberFormat="1" applyBorder="1"/>
    <xf numFmtId="176" fontId="0" fillId="0" borderId="18" xfId="0" applyNumberFormat="1" applyBorder="1"/>
    <xf numFmtId="2" fontId="0" fillId="0" borderId="21" xfId="0" applyNumberFormat="1" applyBorder="1"/>
    <xf numFmtId="2" fontId="0" fillId="0" borderId="103" xfId="0" applyNumberFormat="1" applyBorder="1"/>
    <xf numFmtId="178" fontId="0" fillId="0" borderId="80" xfId="0" applyNumberFormat="1" applyBorder="1"/>
    <xf numFmtId="176" fontId="103" fillId="0" borderId="0" xfId="7" applyNumberFormat="1" applyFont="1" applyFill="1" applyBorder="1" applyAlignment="1">
      <alignment horizontal="right" wrapText="1"/>
    </xf>
    <xf numFmtId="176" fontId="104" fillId="0" borderId="0" xfId="0" applyNumberFormat="1" applyFont="1" applyBorder="1"/>
    <xf numFmtId="2" fontId="104" fillId="0" borderId="61" xfId="0" applyNumberFormat="1" applyFont="1" applyBorder="1"/>
    <xf numFmtId="0" fontId="104" fillId="0" borderId="111" xfId="0" applyNumberFormat="1" applyFont="1" applyFill="1" applyBorder="1" applyAlignment="1">
      <alignment horizontal="right" vertical="top" wrapText="1"/>
    </xf>
    <xf numFmtId="0" fontId="104" fillId="0" borderId="111" xfId="0" applyNumberFormat="1" applyFont="1" applyBorder="1" applyAlignment="1">
      <alignment horizontal="right" vertical="top" wrapText="1"/>
    </xf>
    <xf numFmtId="0" fontId="0" fillId="0" borderId="115" xfId="0" applyNumberFormat="1" applyFont="1" applyBorder="1" applyAlignment="1">
      <alignment horizontal="right" vertical="top" wrapText="1"/>
    </xf>
    <xf numFmtId="3" fontId="0" fillId="0" borderId="0" xfId="0" applyNumberFormat="1" applyAlignment="1">
      <alignment horizontal="left" vertical="top" indent="3"/>
    </xf>
    <xf numFmtId="3" fontId="9" fillId="0" borderId="0" xfId="0" applyNumberFormat="1" applyFont="1" applyAlignment="1">
      <alignment horizontal="left" indent="3"/>
    </xf>
    <xf numFmtId="170" fontId="9" fillId="13" borderId="15" xfId="0" applyNumberFormat="1" applyFont="1" applyFill="1" applyBorder="1"/>
    <xf numFmtId="170" fontId="0" fillId="13" borderId="15" xfId="0" applyNumberFormat="1" applyFill="1" applyBorder="1"/>
    <xf numFmtId="172" fontId="74" fillId="25" borderId="0" xfId="150" applyFill="1" applyAlignment="1" applyProtection="1">
      <alignment vertical="center"/>
    </xf>
    <xf numFmtId="1" fontId="63" fillId="0" borderId="158" xfId="0" applyNumberFormat="1" applyFont="1" applyFill="1" applyBorder="1" applyAlignment="1" applyProtection="1">
      <alignment horizontal="center" vertical="center"/>
      <protection locked="0"/>
    </xf>
    <xf numFmtId="1" fontId="63" fillId="0" borderId="106" xfId="0" applyNumberFormat="1" applyFont="1" applyFill="1" applyBorder="1" applyAlignment="1" applyProtection="1">
      <alignment horizontal="center" vertical="center"/>
      <protection locked="0"/>
    </xf>
    <xf numFmtId="1" fontId="60" fillId="12" borderId="19" xfId="0" applyNumberFormat="1" applyFont="1" applyFill="1" applyBorder="1" applyAlignment="1">
      <alignment vertical="center"/>
    </xf>
    <xf numFmtId="1" fontId="63" fillId="18" borderId="107" xfId="0" applyNumberFormat="1" applyFont="1" applyFill="1" applyBorder="1" applyAlignment="1">
      <alignment horizontal="center" vertical="center"/>
    </xf>
    <xf numFmtId="1" fontId="63" fillId="0" borderId="4" xfId="0" applyNumberFormat="1" applyFont="1" applyFill="1" applyBorder="1" applyAlignment="1" applyProtection="1">
      <alignment horizontal="center" vertical="center"/>
      <protection locked="0"/>
    </xf>
    <xf numFmtId="1" fontId="63" fillId="0" borderId="5" xfId="0" applyNumberFormat="1" applyFont="1" applyFill="1" applyBorder="1" applyAlignment="1" applyProtection="1">
      <alignment horizontal="center" vertical="center"/>
      <protection locked="0"/>
    </xf>
    <xf numFmtId="1" fontId="60" fillId="12" borderId="103" xfId="0" applyNumberFormat="1" applyFont="1" applyFill="1" applyBorder="1" applyAlignment="1">
      <alignment vertical="center"/>
    </xf>
    <xf numFmtId="1" fontId="55" fillId="12" borderId="108" xfId="0" applyNumberFormat="1" applyFont="1" applyFill="1" applyBorder="1" applyAlignment="1">
      <alignment vertical="center"/>
    </xf>
    <xf numFmtId="1" fontId="60" fillId="19" borderId="109" xfId="0" applyNumberFormat="1" applyFont="1" applyFill="1" applyBorder="1" applyAlignment="1" applyProtection="1">
      <alignment horizontal="center" vertical="center"/>
      <protection locked="0"/>
    </xf>
    <xf numFmtId="1" fontId="55" fillId="0" borderId="0" xfId="0" applyNumberFormat="1" applyFont="1" applyFill="1" applyBorder="1" applyAlignment="1"/>
    <xf numFmtId="1" fontId="60" fillId="0" borderId="0" xfId="0" applyNumberFormat="1" applyFont="1" applyFill="1" applyBorder="1" applyAlignment="1">
      <alignment horizontal="center" vertical="center"/>
    </xf>
    <xf numFmtId="1" fontId="60" fillId="0" borderId="25" xfId="0" applyNumberFormat="1" applyFont="1" applyBorder="1" applyAlignment="1">
      <alignment horizontal="justify" vertical="center"/>
    </xf>
    <xf numFmtId="1" fontId="63" fillId="0" borderId="57" xfId="0" applyNumberFormat="1" applyFont="1" applyFill="1" applyBorder="1" applyAlignment="1" applyProtection="1">
      <alignment horizontal="center" vertical="center"/>
      <protection locked="0"/>
    </xf>
    <xf numFmtId="1" fontId="60" fillId="0" borderId="0" xfId="0" applyNumberFormat="1" applyFont="1" applyFill="1" applyBorder="1" applyAlignment="1">
      <alignment horizontal="center"/>
    </xf>
    <xf numFmtId="1" fontId="102" fillId="0" borderId="0" xfId="0" applyNumberFormat="1" applyFont="1" applyFill="1" applyBorder="1" applyAlignment="1">
      <alignment horizontal="center" vertical="center"/>
    </xf>
    <xf numFmtId="1" fontId="60" fillId="0" borderId="25" xfId="0" applyNumberFormat="1" applyFont="1" applyBorder="1" applyAlignment="1">
      <alignment horizontal="justify" vertical="center" wrapText="1"/>
    </xf>
    <xf numFmtId="1" fontId="63" fillId="0" borderId="57" xfId="0" quotePrefix="1" applyNumberFormat="1" applyFont="1" applyFill="1" applyBorder="1" applyAlignment="1" applyProtection="1">
      <alignment horizontal="center" vertical="center"/>
      <protection locked="0"/>
    </xf>
    <xf numFmtId="1" fontId="64" fillId="0" borderId="0" xfId="0" applyNumberFormat="1" applyFont="1" applyBorder="1" applyAlignment="1">
      <alignment horizontal="center"/>
    </xf>
    <xf numFmtId="1" fontId="65" fillId="0" borderId="0" xfId="0" applyNumberFormat="1" applyFont="1" applyBorder="1" applyAlignment="1">
      <alignment horizontal="center"/>
    </xf>
    <xf numFmtId="1" fontId="12" fillId="0" borderId="0" xfId="0" applyNumberFormat="1" applyFont="1" applyBorder="1" applyAlignment="1">
      <alignment horizontal="center"/>
    </xf>
    <xf numFmtId="1" fontId="31" fillId="0" borderId="0" xfId="0" applyNumberFormat="1" applyFont="1" applyBorder="1" applyAlignment="1">
      <alignment horizontal="center"/>
    </xf>
    <xf numFmtId="1" fontId="55" fillId="0" borderId="0" xfId="0" applyNumberFormat="1" applyFont="1" applyBorder="1" applyAlignment="1">
      <alignment horizontal="justify"/>
    </xf>
    <xf numFmtId="1" fontId="60" fillId="0" borderId="0" xfId="0" applyNumberFormat="1" applyFont="1" applyAlignment="1">
      <alignment horizontal="left"/>
    </xf>
    <xf numFmtId="1" fontId="60" fillId="0" borderId="0" xfId="0" applyNumberFormat="1" applyFont="1" applyAlignment="1">
      <alignment horizontal="center"/>
    </xf>
    <xf numFmtId="1" fontId="60" fillId="12" borderId="39" xfId="0" applyNumberFormat="1" applyFont="1" applyFill="1" applyBorder="1" applyAlignment="1">
      <alignment horizontal="center" vertical="center" wrapText="1"/>
    </xf>
    <xf numFmtId="1" fontId="60" fillId="12" borderId="58" xfId="0" applyNumberFormat="1" applyFont="1" applyFill="1" applyBorder="1" applyAlignment="1">
      <alignment horizontal="center" vertical="center" wrapText="1"/>
    </xf>
    <xf numFmtId="1" fontId="60" fillId="18" borderId="59" xfId="0" applyNumberFormat="1" applyFont="1" applyFill="1" applyBorder="1" applyAlignment="1">
      <alignment horizontal="center" vertical="center"/>
    </xf>
    <xf numFmtId="1" fontId="60" fillId="18" borderId="60" xfId="0" applyNumberFormat="1" applyFont="1" applyFill="1" applyBorder="1" applyAlignment="1">
      <alignment horizontal="center" vertical="center"/>
    </xf>
    <xf numFmtId="1" fontId="60" fillId="18" borderId="9" xfId="0" applyNumberFormat="1" applyFont="1" applyFill="1" applyBorder="1" applyAlignment="1">
      <alignment horizontal="center" vertical="center"/>
    </xf>
    <xf numFmtId="1" fontId="60" fillId="18" borderId="159" xfId="0" applyNumberFormat="1" applyFont="1" applyFill="1" applyBorder="1" applyAlignment="1">
      <alignment horizontal="center" vertical="center"/>
    </xf>
    <xf numFmtId="1" fontId="60" fillId="18" borderId="50" xfId="0" applyNumberFormat="1" applyFont="1" applyFill="1" applyBorder="1" applyAlignment="1">
      <alignment horizontal="center" vertical="center"/>
    </xf>
    <xf numFmtId="1" fontId="63" fillId="0" borderId="47" xfId="0" applyNumberFormat="1" applyFont="1" applyFill="1" applyBorder="1" applyAlignment="1" applyProtection="1">
      <alignment horizontal="center" vertical="center"/>
      <protection locked="0"/>
    </xf>
    <xf numFmtId="1" fontId="63" fillId="0" borderId="99" xfId="0" applyNumberFormat="1" applyFont="1" applyFill="1" applyBorder="1" applyAlignment="1" applyProtection="1">
      <alignment horizontal="center" vertical="center"/>
      <protection locked="0"/>
    </xf>
    <xf numFmtId="1" fontId="63" fillId="19" borderId="160" xfId="0" applyNumberFormat="1" applyFont="1" applyFill="1" applyBorder="1" applyAlignment="1" applyProtection="1">
      <alignment horizontal="center" vertical="center"/>
      <protection locked="0"/>
    </xf>
    <xf numFmtId="1" fontId="63" fillId="19" borderId="86" xfId="0" applyNumberFormat="1" applyFont="1" applyFill="1" applyBorder="1" applyAlignment="1" applyProtection="1">
      <alignment horizontal="center" vertical="center"/>
      <protection locked="0"/>
    </xf>
    <xf numFmtId="1" fontId="63" fillId="19" borderId="161" xfId="0" applyNumberFormat="1" applyFont="1" applyFill="1" applyBorder="1" applyAlignment="1" applyProtection="1">
      <alignment horizontal="center" vertical="center"/>
      <protection locked="0"/>
    </xf>
    <xf numFmtId="1" fontId="60" fillId="18" borderId="62" xfId="0" applyNumberFormat="1" applyFont="1" applyFill="1" applyBorder="1" applyAlignment="1">
      <alignment horizontal="center" vertical="center"/>
    </xf>
    <xf numFmtId="1" fontId="61" fillId="18" borderId="53" xfId="0" applyNumberFormat="1" applyFont="1" applyFill="1" applyBorder="1" applyAlignment="1">
      <alignment vertical="center"/>
    </xf>
    <xf numFmtId="1" fontId="60" fillId="18" borderId="64" xfId="0" applyNumberFormat="1" applyFont="1" applyFill="1" applyBorder="1" applyAlignment="1">
      <alignment horizontal="center" vertical="center"/>
    </xf>
    <xf numFmtId="1" fontId="60" fillId="20" borderId="47" xfId="0" applyNumberFormat="1" applyFont="1" applyFill="1" applyBorder="1" applyAlignment="1" applyProtection="1">
      <alignment horizontal="center" vertical="center"/>
      <protection locked="0"/>
    </xf>
    <xf numFmtId="1" fontId="60" fillId="0" borderId="47" xfId="0" applyNumberFormat="1" applyFont="1" applyFill="1" applyBorder="1" applyAlignment="1" applyProtection="1">
      <alignment horizontal="center" vertical="center"/>
      <protection locked="0"/>
    </xf>
    <xf numFmtId="1" fontId="60" fillId="19" borderId="73" xfId="0" applyNumberFormat="1" applyFont="1" applyFill="1" applyBorder="1" applyAlignment="1" applyProtection="1">
      <alignment horizontal="center" vertical="center"/>
      <protection locked="0"/>
    </xf>
    <xf numFmtId="1" fontId="31" fillId="0" borderId="0" xfId="0" applyNumberFormat="1" applyFont="1" applyBorder="1" applyAlignment="1">
      <alignment horizontal="center" vertical="center"/>
    </xf>
    <xf numFmtId="1" fontId="12" fillId="0" borderId="0" xfId="0" applyNumberFormat="1" applyFont="1" applyBorder="1" applyAlignment="1">
      <alignment horizontal="center" vertical="center"/>
    </xf>
    <xf numFmtId="1" fontId="55" fillId="0" borderId="25" xfId="0" applyNumberFormat="1" applyFont="1" applyBorder="1" applyAlignment="1">
      <alignment horizontal="justify"/>
    </xf>
    <xf numFmtId="1" fontId="69" fillId="0" borderId="0" xfId="0" applyNumberFormat="1" applyFont="1" applyBorder="1" applyAlignment="1"/>
    <xf numFmtId="1" fontId="55" fillId="0" borderId="0" xfId="0" applyNumberFormat="1" applyFont="1" applyBorder="1" applyAlignment="1"/>
    <xf numFmtId="1" fontId="69" fillId="0" borderId="0" xfId="0" applyNumberFormat="1" applyFont="1" applyBorder="1" applyAlignment="1">
      <alignment horizontal="center"/>
    </xf>
    <xf numFmtId="1" fontId="12" fillId="0" borderId="0" xfId="0" applyNumberFormat="1" applyFont="1" applyFill="1" applyBorder="1" applyAlignment="1">
      <alignment horizontal="center"/>
    </xf>
    <xf numFmtId="1" fontId="59" fillId="0" borderId="0" xfId="0" applyNumberFormat="1" applyFont="1" applyFill="1" applyBorder="1" applyAlignment="1">
      <alignment horizontal="center" vertical="center" wrapText="1"/>
    </xf>
    <xf numFmtId="1" fontId="60" fillId="12" borderId="8" xfId="0" applyNumberFormat="1" applyFont="1" applyFill="1" applyBorder="1" applyAlignment="1">
      <alignment horizontal="center" vertical="center" wrapText="1"/>
    </xf>
    <xf numFmtId="1" fontId="70" fillId="0" borderId="77" xfId="0" applyNumberFormat="1" applyFont="1" applyFill="1" applyBorder="1" applyAlignment="1">
      <alignment horizontal="center"/>
    </xf>
    <xf numFmtId="1" fontId="60" fillId="0" borderId="47" xfId="0" applyNumberFormat="1" applyFont="1" applyFill="1" applyBorder="1" applyAlignment="1">
      <alignment horizontal="center"/>
    </xf>
    <xf numFmtId="1" fontId="70" fillId="0" borderId="47" xfId="0" applyNumberFormat="1" applyFont="1" applyFill="1" applyBorder="1" applyAlignment="1">
      <alignment horizontal="center"/>
    </xf>
    <xf numFmtId="1" fontId="60" fillId="0" borderId="47" xfId="0" applyNumberFormat="1" applyFont="1" applyFill="1" applyBorder="1" applyAlignment="1" applyProtection="1">
      <alignment horizontal="center" wrapText="1"/>
      <protection locked="0"/>
    </xf>
    <xf numFmtId="1" fontId="60" fillId="12" borderId="35" xfId="0" applyNumberFormat="1" applyFont="1" applyFill="1" applyBorder="1" applyAlignment="1">
      <alignment horizontal="center"/>
    </xf>
    <xf numFmtId="1" fontId="60" fillId="19" borderId="25" xfId="0" applyNumberFormat="1" applyFont="1" applyFill="1" applyBorder="1" applyAlignment="1" applyProtection="1">
      <alignment horizontal="center" vertical="center"/>
      <protection locked="0"/>
    </xf>
    <xf numFmtId="1" fontId="60" fillId="19" borderId="55" xfId="0" applyNumberFormat="1" applyFont="1" applyFill="1" applyBorder="1" applyAlignment="1" applyProtection="1">
      <alignment horizontal="center" vertical="center"/>
      <protection locked="0"/>
    </xf>
    <xf numFmtId="1" fontId="60" fillId="19" borderId="30" xfId="0" applyNumberFormat="1" applyFont="1" applyFill="1" applyBorder="1" applyAlignment="1" applyProtection="1">
      <alignment horizontal="center" vertical="center"/>
      <protection locked="0"/>
    </xf>
    <xf numFmtId="1" fontId="60" fillId="0" borderId="56" xfId="0" applyNumberFormat="1" applyFont="1" applyBorder="1" applyAlignment="1">
      <alignment horizontal="justify"/>
    </xf>
    <xf numFmtId="1" fontId="60" fillId="0" borderId="0" xfId="0" applyNumberFormat="1" applyFont="1" applyBorder="1" applyAlignment="1">
      <alignment horizontal="center"/>
    </xf>
    <xf numFmtId="1" fontId="12" fillId="0" borderId="56" xfId="0" applyNumberFormat="1" applyFont="1" applyBorder="1" applyAlignment="1">
      <alignment horizontal="center"/>
    </xf>
    <xf numFmtId="1" fontId="12" fillId="0" borderId="56" xfId="0" applyNumberFormat="1" applyFont="1" applyFill="1" applyBorder="1" applyAlignment="1">
      <alignment horizontal="center"/>
    </xf>
    <xf numFmtId="1" fontId="55" fillId="0" borderId="0" xfId="0" applyNumberFormat="1" applyFont="1" applyFill="1" applyBorder="1" applyAlignment="1">
      <alignment horizontal="left"/>
    </xf>
    <xf numFmtId="1" fontId="55" fillId="0" borderId="0" xfId="0" applyNumberFormat="1" applyFont="1" applyFill="1" applyBorder="1" applyAlignment="1">
      <alignment horizontal="center"/>
    </xf>
    <xf numFmtId="1" fontId="60" fillId="12" borderId="87" xfId="0" applyNumberFormat="1" applyFont="1" applyFill="1" applyBorder="1" applyAlignment="1">
      <alignment horizontal="center" vertical="center" wrapText="1"/>
    </xf>
    <xf numFmtId="1" fontId="70" fillId="0" borderId="77" xfId="0" applyNumberFormat="1" applyFont="1" applyBorder="1" applyAlignment="1">
      <alignment horizontal="center" vertical="center"/>
    </xf>
    <xf numFmtId="1" fontId="60" fillId="0" borderId="77" xfId="0" applyNumberFormat="1" applyFont="1" applyBorder="1" applyAlignment="1" applyProtection="1">
      <alignment horizontal="center" vertical="center"/>
      <protection locked="0"/>
    </xf>
    <xf numFmtId="1" fontId="60" fillId="0" borderId="47" xfId="0" applyNumberFormat="1" applyFont="1" applyBorder="1" applyAlignment="1">
      <alignment horizontal="center" vertical="center"/>
    </xf>
    <xf numFmtId="1" fontId="60" fillId="0" borderId="35" xfId="0" applyNumberFormat="1" applyFont="1" applyFill="1" applyBorder="1" applyAlignment="1">
      <alignment horizontal="center" vertical="center"/>
    </xf>
    <xf numFmtId="1" fontId="73" fillId="0" borderId="56" xfId="0" applyNumberFormat="1" applyFont="1" applyBorder="1" applyAlignment="1">
      <alignment horizontal="justify"/>
    </xf>
    <xf numFmtId="1" fontId="73" fillId="0" borderId="56" xfId="0" applyNumberFormat="1" applyFont="1" applyBorder="1" applyAlignment="1">
      <alignment horizontal="center"/>
    </xf>
    <xf numFmtId="1" fontId="60" fillId="0" borderId="56" xfId="0" applyNumberFormat="1" applyFont="1" applyBorder="1" applyAlignment="1">
      <alignment horizontal="center"/>
    </xf>
    <xf numFmtId="1" fontId="31" fillId="0" borderId="56" xfId="0" applyNumberFormat="1" applyFont="1" applyBorder="1" applyAlignment="1">
      <alignment horizontal="center"/>
    </xf>
    <xf numFmtId="0" fontId="0" fillId="0" borderId="0" xfId="0" applyNumberFormat="1" applyFill="1" applyBorder="1"/>
    <xf numFmtId="1" fontId="63" fillId="0" borderId="54" xfId="0" applyNumberFormat="1" applyFont="1" applyFill="1" applyBorder="1" applyAlignment="1" applyProtection="1">
      <alignment horizontal="center" vertical="center"/>
      <protection locked="0"/>
    </xf>
    <xf numFmtId="1" fontId="63" fillId="0" borderId="100" xfId="0" applyNumberFormat="1" applyFont="1" applyFill="1" applyBorder="1" applyAlignment="1" applyProtection="1">
      <alignment horizontal="center" vertical="center"/>
      <protection locked="0"/>
    </xf>
    <xf numFmtId="1" fontId="63" fillId="0" borderId="39" xfId="0" applyNumberFormat="1" applyFont="1" applyFill="1" applyBorder="1" applyAlignment="1" applyProtection="1">
      <alignment horizontal="center" vertical="center"/>
      <protection locked="0"/>
    </xf>
    <xf numFmtId="1" fontId="63" fillId="0" borderId="11" xfId="0" applyNumberFormat="1" applyFont="1" applyFill="1" applyBorder="1" applyAlignment="1" applyProtection="1">
      <alignment horizontal="center" vertical="center"/>
      <protection locked="0"/>
    </xf>
    <xf numFmtId="172" fontId="74" fillId="0" borderId="0" xfId="150" applyAlignment="1" applyProtection="1">
      <alignment vertical="center"/>
    </xf>
    <xf numFmtId="179" fontId="0" fillId="0" borderId="0" xfId="0" applyNumberFormat="1"/>
    <xf numFmtId="4" fontId="26" fillId="0" borderId="0" xfId="0" applyNumberFormat="1" applyFont="1" applyBorder="1"/>
    <xf numFmtId="2" fontId="63" fillId="19" borderId="55" xfId="0" applyNumberFormat="1" applyFont="1" applyFill="1" applyBorder="1" applyAlignment="1" applyProtection="1">
      <alignment horizontal="center" vertical="center"/>
      <protection locked="0"/>
    </xf>
    <xf numFmtId="2" fontId="63" fillId="0" borderId="30" xfId="0" applyNumberFormat="1" applyFont="1" applyFill="1" applyBorder="1" applyAlignment="1" applyProtection="1">
      <alignment horizontal="center" vertical="center"/>
      <protection locked="0"/>
    </xf>
    <xf numFmtId="2" fontId="56" fillId="0" borderId="29" xfId="0" applyNumberFormat="1" applyFont="1" applyFill="1" applyBorder="1" applyAlignment="1">
      <alignment horizontal="center" vertical="center"/>
    </xf>
    <xf numFmtId="2" fontId="102" fillId="0" borderId="0" xfId="0" applyNumberFormat="1" applyFont="1" applyFill="1" applyBorder="1" applyAlignment="1">
      <alignment horizontal="center" vertical="center"/>
    </xf>
    <xf numFmtId="2" fontId="56" fillId="0" borderId="0" xfId="0" applyNumberFormat="1" applyFont="1" applyFill="1" applyBorder="1" applyAlignment="1">
      <alignment horizontal="center" vertical="center"/>
    </xf>
    <xf numFmtId="4" fontId="0" fillId="14" borderId="0" xfId="0" applyNumberFormat="1" applyFill="1"/>
    <xf numFmtId="3" fontId="90"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3" fontId="19" fillId="0" borderId="152" xfId="7" applyNumberFormat="1" applyFont="1" applyFill="1" applyBorder="1" applyAlignment="1">
      <alignment wrapText="1"/>
    </xf>
    <xf numFmtId="170" fontId="0" fillId="3" borderId="0" xfId="0" applyNumberFormat="1" applyFill="1" applyBorder="1"/>
    <xf numFmtId="170" fontId="0" fillId="13" borderId="12" xfId="0" applyNumberFormat="1" applyFill="1" applyBorder="1"/>
    <xf numFmtId="3" fontId="0" fillId="13" borderId="12" xfId="0" applyNumberFormat="1" applyFill="1" applyBorder="1"/>
    <xf numFmtId="14" fontId="48" fillId="4" borderId="0" xfId="0" applyNumberFormat="1" applyFont="1" applyFill="1" applyBorder="1" applyAlignment="1" applyProtection="1">
      <alignment horizontal="center" wrapText="1"/>
      <protection locked="0"/>
    </xf>
    <xf numFmtId="0" fontId="48" fillId="4" borderId="0" xfId="0" applyNumberFormat="1" applyFont="1" applyFill="1" applyBorder="1" applyAlignment="1" applyProtection="1">
      <alignment horizontal="center" wrapText="1"/>
      <protection locked="0"/>
    </xf>
    <xf numFmtId="178" fontId="0" fillId="0" borderId="0" xfId="0" applyNumberFormat="1"/>
    <xf numFmtId="0" fontId="78" fillId="12" borderId="86" xfId="0" applyNumberFormat="1" applyFont="1" applyFill="1" applyBorder="1" applyAlignment="1">
      <alignment horizontal="left" vertical="center" wrapText="1"/>
    </xf>
    <xf numFmtId="172" fontId="105" fillId="0" borderId="0" xfId="0" applyFont="1"/>
    <xf numFmtId="0" fontId="26" fillId="24" borderId="0" xfId="0" quotePrefix="1" applyNumberFormat="1" applyFont="1" applyFill="1" applyAlignment="1">
      <alignment horizontal="left"/>
    </xf>
    <xf numFmtId="3" fontId="55" fillId="12" borderId="52" xfId="0" applyNumberFormat="1" applyFont="1" applyFill="1" applyBorder="1" applyAlignment="1">
      <alignment horizontal="center" vertical="center" wrapText="1"/>
    </xf>
    <xf numFmtId="3" fontId="55" fillId="12" borderId="0" xfId="0" applyNumberFormat="1" applyFont="1" applyFill="1" applyBorder="1" applyAlignment="1">
      <alignment horizontal="center" vertical="center" wrapText="1"/>
    </xf>
    <xf numFmtId="3" fontId="55" fillId="12" borderId="165" xfId="0" applyNumberFormat="1" applyFont="1" applyFill="1" applyBorder="1" applyAlignment="1">
      <alignment horizontal="center" vertical="center" wrapText="1"/>
    </xf>
    <xf numFmtId="1" fontId="61" fillId="18" borderId="52" xfId="0" applyNumberFormat="1" applyFont="1" applyFill="1" applyBorder="1" applyAlignment="1">
      <alignment vertical="center"/>
    </xf>
    <xf numFmtId="1" fontId="55" fillId="12" borderId="70" xfId="0" applyNumberFormat="1" applyFont="1" applyFill="1" applyBorder="1" applyAlignment="1">
      <alignment vertical="center"/>
    </xf>
    <xf numFmtId="1" fontId="60" fillId="0" borderId="30" xfId="0" applyNumberFormat="1" applyFont="1" applyBorder="1" applyAlignment="1">
      <alignment wrapText="1"/>
    </xf>
    <xf numFmtId="1" fontId="60" fillId="0" borderId="0" xfId="0" applyNumberFormat="1" applyFont="1" applyBorder="1" applyAlignment="1">
      <alignment horizontal="justify"/>
    </xf>
    <xf numFmtId="3" fontId="61" fillId="18" borderId="79" xfId="0" applyNumberFormat="1" applyFont="1" applyFill="1" applyBorder="1" applyAlignment="1"/>
    <xf numFmtId="1" fontId="63" fillId="0" borderId="91" xfId="0" applyNumberFormat="1" applyFont="1" applyFill="1" applyBorder="1" applyAlignment="1">
      <alignment vertical="center"/>
    </xf>
    <xf numFmtId="1" fontId="63" fillId="0" borderId="91" xfId="0" applyNumberFormat="1" applyFont="1" applyFill="1" applyBorder="1" applyAlignment="1">
      <alignment vertical="center" wrapText="1"/>
    </xf>
    <xf numFmtId="1" fontId="61" fillId="18" borderId="102" xfId="0" applyNumberFormat="1" applyFont="1" applyFill="1" applyBorder="1" applyAlignment="1">
      <alignment vertical="center"/>
    </xf>
    <xf numFmtId="1" fontId="63" fillId="19" borderId="74" xfId="0" applyNumberFormat="1" applyFont="1" applyFill="1" applyBorder="1" applyAlignment="1" applyProtection="1">
      <alignment horizontal="center" vertical="center"/>
      <protection locked="0"/>
    </xf>
    <xf numFmtId="3" fontId="61" fillId="18" borderId="45" xfId="0" applyNumberFormat="1" applyFont="1" applyFill="1" applyBorder="1" applyAlignment="1"/>
    <xf numFmtId="1" fontId="63" fillId="0" borderId="46" xfId="0" applyNumberFormat="1" applyFont="1" applyFill="1" applyBorder="1" applyAlignment="1">
      <alignment vertical="center"/>
    </xf>
    <xf numFmtId="1" fontId="63" fillId="0" borderId="46" xfId="0" applyNumberFormat="1" applyFont="1" applyFill="1" applyBorder="1" applyAlignment="1">
      <alignment vertical="center" wrapText="1"/>
    </xf>
    <xf numFmtId="1" fontId="60" fillId="12" borderId="166" xfId="0" applyNumberFormat="1" applyFont="1" applyFill="1" applyBorder="1" applyAlignment="1">
      <alignment vertical="center"/>
    </xf>
    <xf numFmtId="1" fontId="60" fillId="12" borderId="34" xfId="0" applyNumberFormat="1" applyFont="1" applyFill="1" applyBorder="1" applyAlignment="1">
      <alignment vertical="center"/>
    </xf>
    <xf numFmtId="1" fontId="63" fillId="0" borderId="54" xfId="0" applyNumberFormat="1" applyFont="1" applyFill="1" applyBorder="1" applyAlignment="1">
      <alignment vertical="center"/>
    </xf>
    <xf numFmtId="1" fontId="55" fillId="12" borderId="56" xfId="0" applyNumberFormat="1" applyFont="1" applyFill="1" applyBorder="1" applyAlignment="1">
      <alignment horizontal="center" vertical="center" wrapText="1"/>
    </xf>
    <xf numFmtId="1" fontId="55" fillId="12" borderId="0" xfId="0" applyNumberFormat="1" applyFont="1" applyFill="1" applyBorder="1" applyAlignment="1">
      <alignment horizontal="center" vertical="center" wrapText="1"/>
    </xf>
    <xf numFmtId="1" fontId="55" fillId="0" borderId="26" xfId="0" applyNumberFormat="1" applyFont="1" applyBorder="1" applyAlignment="1">
      <alignment horizontal="justify"/>
    </xf>
    <xf numFmtId="1" fontId="63" fillId="0" borderId="81" xfId="0" applyNumberFormat="1" applyFont="1" applyFill="1" applyBorder="1" applyAlignment="1"/>
    <xf numFmtId="1" fontId="60" fillId="12" borderId="19" xfId="0" applyNumberFormat="1" applyFont="1" applyFill="1" applyBorder="1" applyAlignment="1"/>
    <xf numFmtId="1" fontId="61" fillId="18" borderId="51" xfId="0" applyNumberFormat="1" applyFont="1" applyFill="1" applyBorder="1" applyAlignment="1">
      <alignment vertical="center"/>
    </xf>
    <xf numFmtId="1" fontId="63" fillId="0" borderId="65" xfId="0" applyNumberFormat="1" applyFont="1" applyFill="1" applyBorder="1" applyAlignment="1"/>
    <xf numFmtId="1" fontId="63" fillId="20" borderId="81" xfId="0" applyNumberFormat="1" applyFont="1" applyFill="1" applyBorder="1" applyAlignment="1">
      <alignment vertical="center"/>
    </xf>
    <xf numFmtId="1" fontId="63" fillId="0" borderId="81" xfId="0" applyNumberFormat="1" applyFont="1" applyFill="1" applyBorder="1" applyAlignment="1">
      <alignment vertical="center"/>
    </xf>
    <xf numFmtId="1" fontId="60" fillId="0" borderId="25" xfId="0" applyNumberFormat="1" applyFont="1" applyBorder="1" applyAlignment="1">
      <alignment wrapText="1"/>
    </xf>
    <xf numFmtId="1" fontId="63" fillId="0" borderId="168" xfId="0" applyNumberFormat="1" applyFont="1" applyFill="1" applyBorder="1" applyAlignment="1"/>
    <xf numFmtId="1" fontId="63" fillId="0" borderId="168" xfId="0" applyNumberFormat="1" applyFont="1" applyFill="1" applyBorder="1" applyAlignment="1">
      <alignment vertical="center" wrapText="1"/>
    </xf>
    <xf numFmtId="1" fontId="63" fillId="0" borderId="93" xfId="0" applyNumberFormat="1" applyFont="1" applyFill="1" applyBorder="1" applyAlignment="1">
      <alignment vertical="center"/>
    </xf>
    <xf numFmtId="1" fontId="61" fillId="18" borderId="155" xfId="0" applyNumberFormat="1" applyFont="1" applyFill="1" applyBorder="1" applyAlignment="1"/>
    <xf numFmtId="1" fontId="61" fillId="18" borderId="169" xfId="0" applyNumberFormat="1" applyFont="1" applyFill="1" applyBorder="1" applyAlignment="1"/>
    <xf numFmtId="1" fontId="61" fillId="18" borderId="101" xfId="0" applyNumberFormat="1" applyFont="1" applyFill="1" applyBorder="1" applyAlignment="1">
      <alignment vertical="center"/>
    </xf>
    <xf numFmtId="1" fontId="63" fillId="0" borderId="170" xfId="0" applyNumberFormat="1" applyFont="1" applyFill="1" applyBorder="1" applyAlignment="1"/>
    <xf numFmtId="1" fontId="60" fillId="12" borderId="16" xfId="0" applyNumberFormat="1" applyFont="1" applyFill="1" applyBorder="1" applyAlignment="1"/>
    <xf numFmtId="1" fontId="63" fillId="0" borderId="94" xfId="0" applyNumberFormat="1" applyFont="1" applyFill="1" applyBorder="1" applyAlignment="1"/>
    <xf numFmtId="1" fontId="67" fillId="0" borderId="48" xfId="0" applyNumberFormat="1" applyFont="1" applyFill="1" applyBorder="1" applyAlignment="1" applyProtection="1">
      <protection locked="0"/>
    </xf>
    <xf numFmtId="1" fontId="67" fillId="0" borderId="61" xfId="0" applyNumberFormat="1" applyFont="1" applyFill="1" applyBorder="1" applyAlignment="1" applyProtection="1">
      <protection locked="0"/>
    </xf>
    <xf numFmtId="1" fontId="63" fillId="20" borderId="46" xfId="0" applyNumberFormat="1" applyFont="1" applyFill="1" applyBorder="1" applyAlignment="1">
      <alignment vertical="center"/>
    </xf>
    <xf numFmtId="1" fontId="55" fillId="12" borderId="104" xfId="0" applyNumberFormat="1" applyFont="1" applyFill="1" applyBorder="1" applyAlignment="1"/>
    <xf numFmtId="1" fontId="55" fillId="12" borderId="105" xfId="0" applyNumberFormat="1" applyFont="1" applyFill="1" applyBorder="1" applyAlignment="1"/>
    <xf numFmtId="1" fontId="70" fillId="0" borderId="171" xfId="0" applyNumberFormat="1" applyFont="1" applyFill="1" applyBorder="1" applyAlignment="1">
      <alignment horizontal="center"/>
    </xf>
    <xf numFmtId="1" fontId="60" fillId="12" borderId="57" xfId="0" applyNumberFormat="1" applyFont="1" applyFill="1" applyBorder="1" applyAlignment="1">
      <alignment horizontal="center" vertical="center" wrapText="1"/>
    </xf>
    <xf numFmtId="1" fontId="12" fillId="21" borderId="35" xfId="0" applyNumberFormat="1" applyFont="1" applyFill="1" applyBorder="1" applyAlignment="1">
      <alignment horizontal="center" vertical="center"/>
    </xf>
    <xf numFmtId="1" fontId="60" fillId="0" borderId="44" xfId="0" applyNumberFormat="1" applyFont="1" applyFill="1" applyBorder="1" applyAlignment="1" applyProtection="1">
      <alignment horizontal="center" vertical="center"/>
      <protection locked="0"/>
    </xf>
    <xf numFmtId="1" fontId="60" fillId="0" borderId="46" xfId="0" applyNumberFormat="1" applyFont="1" applyFill="1" applyBorder="1" applyAlignment="1" applyProtection="1">
      <alignment horizontal="center" vertical="center"/>
      <protection locked="0"/>
    </xf>
    <xf numFmtId="1" fontId="60" fillId="0" borderId="96" xfId="0" applyNumberFormat="1" applyFont="1" applyFill="1" applyBorder="1" applyAlignment="1" applyProtection="1">
      <alignment horizontal="center" vertical="center"/>
      <protection locked="0"/>
    </xf>
    <xf numFmtId="1" fontId="63" fillId="0" borderId="33" xfId="0" applyNumberFormat="1" applyFont="1" applyFill="1" applyBorder="1" applyAlignment="1" applyProtection="1">
      <alignment horizontal="center" vertical="center"/>
      <protection locked="0"/>
    </xf>
    <xf numFmtId="1" fontId="63" fillId="0" borderId="46" xfId="0" applyNumberFormat="1" applyFont="1" applyFill="1" applyBorder="1" applyAlignment="1" applyProtection="1">
      <alignment horizontal="center" vertical="center"/>
      <protection locked="0"/>
    </xf>
    <xf numFmtId="1" fontId="60" fillId="0" borderId="172" xfId="0" applyNumberFormat="1" applyFont="1" applyFill="1" applyBorder="1" applyAlignment="1" applyProtection="1">
      <alignment horizontal="center" vertical="center"/>
      <protection locked="0"/>
    </xf>
    <xf numFmtId="1" fontId="60" fillId="0" borderId="54" xfId="0" applyNumberFormat="1" applyFont="1" applyFill="1" applyBorder="1" applyAlignment="1" applyProtection="1">
      <alignment horizontal="center" vertical="center"/>
      <protection locked="0"/>
    </xf>
    <xf numFmtId="1" fontId="60" fillId="0" borderId="84" xfId="0" applyNumberFormat="1" applyFont="1" applyFill="1" applyBorder="1" applyAlignment="1" applyProtection="1">
      <alignment horizontal="center" vertical="center"/>
      <protection locked="0"/>
    </xf>
    <xf numFmtId="1" fontId="60" fillId="0" borderId="100" xfId="0" applyNumberFormat="1" applyFont="1" applyFill="1" applyBorder="1" applyAlignment="1" applyProtection="1">
      <alignment horizontal="center" vertical="center"/>
      <protection locked="0"/>
    </xf>
    <xf numFmtId="1" fontId="60" fillId="0" borderId="40" xfId="0" applyNumberFormat="1" applyFont="1" applyFill="1" applyBorder="1" applyAlignment="1" applyProtection="1">
      <alignment horizontal="center" vertical="center"/>
      <protection locked="0"/>
    </xf>
    <xf numFmtId="1" fontId="60" fillId="12" borderId="173" xfId="0" applyNumberFormat="1" applyFont="1" applyFill="1" applyBorder="1" applyAlignment="1">
      <alignment horizontal="center" vertical="center" wrapText="1"/>
    </xf>
    <xf numFmtId="1" fontId="60" fillId="12" borderId="174" xfId="0" applyNumberFormat="1" applyFont="1" applyFill="1" applyBorder="1" applyAlignment="1">
      <alignment horizontal="center" vertical="center" wrapText="1"/>
    </xf>
    <xf numFmtId="1" fontId="12" fillId="17" borderId="32" xfId="0" applyNumberFormat="1" applyFont="1" applyFill="1" applyBorder="1" applyAlignment="1">
      <alignment horizontal="center" vertical="center"/>
    </xf>
    <xf numFmtId="1" fontId="60" fillId="0" borderId="175" xfId="0" applyNumberFormat="1" applyFont="1" applyFill="1" applyBorder="1" applyAlignment="1" applyProtection="1">
      <alignment horizontal="center" vertical="center"/>
      <protection locked="0"/>
    </xf>
    <xf numFmtId="1" fontId="60" fillId="19" borderId="57" xfId="0" applyNumberFormat="1" applyFont="1" applyFill="1" applyBorder="1" applyAlignment="1" applyProtection="1">
      <alignment horizontal="center" vertical="center"/>
      <protection locked="0"/>
    </xf>
    <xf numFmtId="170" fontId="9" fillId="0" borderId="145" xfId="4" applyNumberFormat="1" applyFont="1" applyBorder="1" applyAlignment="1">
      <alignment horizontal="center"/>
    </xf>
    <xf numFmtId="170" fontId="9" fillId="0" borderId="146" xfId="4" applyNumberFormat="1" applyFont="1" applyBorder="1" applyAlignment="1">
      <alignment horizontal="center"/>
    </xf>
    <xf numFmtId="170" fontId="16" fillId="0" borderId="145" xfId="4" applyNumberFormat="1" applyFont="1" applyBorder="1" applyAlignment="1">
      <alignment horizontal="center"/>
    </xf>
    <xf numFmtId="174" fontId="9" fillId="0" borderId="143" xfId="4" applyNumberFormat="1" applyFont="1" applyBorder="1" applyAlignment="1">
      <alignment horizontal="center"/>
    </xf>
    <xf numFmtId="174" fontId="9" fillId="0" borderId="148" xfId="4" applyNumberFormat="1" applyFont="1" applyBorder="1" applyAlignment="1">
      <alignment horizontal="center"/>
    </xf>
    <xf numFmtId="174" fontId="16" fillId="0" borderId="143" xfId="4" applyNumberFormat="1" applyFont="1" applyBorder="1" applyAlignment="1">
      <alignment horizontal="center"/>
    </xf>
    <xf numFmtId="170" fontId="7" fillId="2" borderId="0" xfId="4" applyNumberFormat="1" applyFill="1" applyBorder="1" applyAlignment="1">
      <alignment horizontal="center"/>
    </xf>
    <xf numFmtId="170" fontId="9" fillId="0" borderId="9" xfId="4" applyNumberFormat="1" applyFont="1" applyBorder="1" applyAlignment="1">
      <alignment horizontal="center"/>
    </xf>
    <xf numFmtId="170" fontId="17" fillId="2" borderId="0" xfId="4" applyNumberFormat="1" applyFont="1" applyFill="1" applyBorder="1" applyAlignment="1">
      <alignment horizontal="center"/>
    </xf>
    <xf numFmtId="170" fontId="7" fillId="2" borderId="121" xfId="4" applyNumberFormat="1" applyFill="1" applyBorder="1" applyAlignment="1">
      <alignment horizontal="center"/>
    </xf>
    <xf numFmtId="170" fontId="9" fillId="0" borderId="150" xfId="4" applyNumberFormat="1" applyFont="1" applyBorder="1" applyAlignment="1">
      <alignment horizontal="center"/>
    </xf>
    <xf numFmtId="170" fontId="17" fillId="2" borderId="121" xfId="4" applyNumberFormat="1" applyFont="1" applyFill="1" applyBorder="1" applyAlignment="1">
      <alignment horizontal="center"/>
    </xf>
    <xf numFmtId="170" fontId="9" fillId="0" borderId="143" xfId="4" applyNumberFormat="1" applyFont="1" applyBorder="1" applyAlignment="1">
      <alignment horizontal="center"/>
    </xf>
    <xf numFmtId="170" fontId="9" fillId="0" borderId="148" xfId="4" applyNumberFormat="1" applyFont="1" applyBorder="1" applyAlignment="1">
      <alignment horizontal="center"/>
    </xf>
    <xf numFmtId="170" fontId="16" fillId="0" borderId="143" xfId="4" applyNumberFormat="1" applyFont="1" applyBorder="1" applyAlignment="1">
      <alignment horizontal="center"/>
    </xf>
    <xf numFmtId="170" fontId="0" fillId="2" borderId="0" xfId="4" applyNumberFormat="1" applyFont="1" applyFill="1" applyBorder="1" applyAlignment="1">
      <alignment horizontal="center"/>
    </xf>
    <xf numFmtId="170" fontId="0" fillId="0" borderId="9" xfId="4" applyNumberFormat="1" applyFont="1" applyBorder="1" applyAlignment="1">
      <alignment horizontal="center"/>
    </xf>
    <xf numFmtId="170" fontId="9" fillId="0" borderId="0" xfId="4" applyNumberFormat="1" applyFont="1" applyBorder="1" applyAlignment="1">
      <alignment horizontal="center"/>
    </xf>
    <xf numFmtId="174" fontId="9" fillId="0" borderId="0" xfId="4" applyNumberFormat="1" applyFont="1" applyBorder="1" applyAlignment="1">
      <alignment horizontal="center"/>
    </xf>
    <xf numFmtId="170" fontId="16" fillId="0" borderId="0" xfId="4" applyNumberFormat="1" applyFont="1" applyBorder="1" applyAlignment="1">
      <alignment horizontal="center"/>
    </xf>
    <xf numFmtId="174" fontId="9" fillId="0" borderId="9" xfId="4" applyNumberFormat="1" applyFont="1" applyBorder="1" applyAlignment="1">
      <alignment horizontal="center"/>
    </xf>
    <xf numFmtId="174" fontId="9" fillId="0" borderId="0" xfId="4" applyNumberFormat="1" applyFont="1" applyFill="1" applyBorder="1" applyAlignment="1">
      <alignment horizontal="center"/>
    </xf>
    <xf numFmtId="170" fontId="98" fillId="0" borderId="0" xfId="4" applyNumberFormat="1" applyFont="1" applyBorder="1" applyAlignment="1">
      <alignment horizontal="center"/>
    </xf>
    <xf numFmtId="170" fontId="9" fillId="0" borderId="13" xfId="4" applyNumberFormat="1" applyFont="1" applyBorder="1" applyAlignment="1">
      <alignment horizontal="center"/>
    </xf>
    <xf numFmtId="170" fontId="7" fillId="2" borderId="12" xfId="4" applyNumberFormat="1" applyFill="1" applyBorder="1" applyAlignment="1">
      <alignment horizontal="center"/>
    </xf>
    <xf numFmtId="170" fontId="17" fillId="2" borderId="12" xfId="4" applyNumberFormat="1" applyFont="1" applyFill="1" applyBorder="1" applyAlignment="1">
      <alignment horizontal="center"/>
    </xf>
    <xf numFmtId="1" fontId="0" fillId="0" borderId="121" xfId="0" applyNumberFormat="1" applyFont="1" applyFill="1" applyBorder="1" applyAlignment="1">
      <alignment horizontal="center" vertical="center"/>
    </xf>
    <xf numFmtId="172" fontId="0" fillId="0" borderId="0" xfId="0"/>
    <xf numFmtId="172" fontId="0" fillId="0" borderId="0" xfId="0" applyFill="1"/>
    <xf numFmtId="9" fontId="0" fillId="0" borderId="0" xfId="0" applyNumberFormat="1" applyFill="1" applyBorder="1"/>
    <xf numFmtId="9" fontId="0" fillId="0" borderId="8" xfId="0" applyNumberFormat="1" applyFont="1" applyFill="1" applyBorder="1"/>
    <xf numFmtId="176" fontId="26" fillId="3" borderId="0" xfId="0" applyNumberFormat="1" applyFont="1" applyFill="1" applyBorder="1"/>
    <xf numFmtId="176" fontId="26" fillId="3" borderId="12" xfId="0" applyNumberFormat="1" applyFont="1" applyFill="1" applyBorder="1"/>
    <xf numFmtId="3" fontId="0" fillId="0" borderId="0" xfId="0" applyNumberFormat="1" applyFont="1" applyBorder="1" applyAlignment="1">
      <alignment horizontal="left"/>
    </xf>
    <xf numFmtId="17" fontId="0" fillId="24" borderId="0" xfId="0" quotePrefix="1" applyNumberFormat="1" applyFill="1"/>
    <xf numFmtId="172" fontId="0" fillId="0" borderId="0" xfId="0" applyFont="1"/>
    <xf numFmtId="172" fontId="107" fillId="0" borderId="0" xfId="150" applyFont="1" applyAlignment="1" applyProtection="1"/>
    <xf numFmtId="0" fontId="26" fillId="4" borderId="0" xfId="0" applyNumberFormat="1" applyFont="1" applyFill="1"/>
    <xf numFmtId="0" fontId="106" fillId="4" borderId="0" xfId="150" applyNumberFormat="1" applyFont="1" applyFill="1" applyAlignment="1" applyProtection="1"/>
    <xf numFmtId="0" fontId="0" fillId="24" borderId="0" xfId="0" applyNumberFormat="1" applyFont="1" applyFill="1"/>
    <xf numFmtId="0" fontId="0" fillId="24" borderId="0" xfId="0" quotePrefix="1" applyNumberFormat="1" applyFont="1" applyFill="1"/>
    <xf numFmtId="0" fontId="0" fillId="24" borderId="0" xfId="0" applyNumberFormat="1" applyFont="1" applyFill="1" applyAlignment="1"/>
    <xf numFmtId="0" fontId="0" fillId="25" borderId="0" xfId="0" applyNumberFormat="1" applyFont="1" applyFill="1"/>
    <xf numFmtId="172" fontId="9" fillId="0" borderId="0" xfId="0" applyFont="1" applyAlignment="1">
      <alignment horizontal="left"/>
    </xf>
    <xf numFmtId="2" fontId="24" fillId="0" borderId="0" xfId="0" applyNumberFormat="1" applyFont="1" applyBorder="1"/>
    <xf numFmtId="2" fontId="25" fillId="0" borderId="0" xfId="0" applyNumberFormat="1" applyFont="1" applyBorder="1"/>
    <xf numFmtId="2" fontId="8" fillId="0" borderId="0" xfId="0" applyNumberFormat="1" applyFont="1"/>
    <xf numFmtId="2" fontId="26" fillId="0" borderId="0" xfId="0" applyNumberFormat="1" applyFont="1"/>
    <xf numFmtId="2" fontId="8" fillId="0" borderId="0" xfId="0" applyNumberFormat="1" applyFont="1" applyBorder="1"/>
    <xf numFmtId="2" fontId="82" fillId="0" borderId="0" xfId="0" applyNumberFormat="1" applyFont="1" applyFill="1"/>
    <xf numFmtId="2" fontId="28" fillId="0" borderId="0" xfId="0" applyNumberFormat="1" applyFont="1" applyBorder="1"/>
    <xf numFmtId="176" fontId="0" fillId="0" borderId="0" xfId="0" applyNumberFormat="1"/>
    <xf numFmtId="2" fontId="0" fillId="0" borderId="0" xfId="0" applyNumberFormat="1" applyFill="1"/>
    <xf numFmtId="9" fontId="108" fillId="0" borderId="0" xfId="161" applyNumberFormat="1"/>
    <xf numFmtId="14" fontId="0" fillId="0" borderId="0" xfId="0" applyNumberFormat="1" applyFill="1"/>
    <xf numFmtId="172" fontId="74" fillId="0" borderId="0" xfId="150" quotePrefix="1" applyFill="1" applyAlignment="1" applyProtection="1"/>
    <xf numFmtId="180" fontId="25" fillId="0" borderId="0" xfId="0" applyNumberFormat="1" applyFont="1" applyBorder="1"/>
    <xf numFmtId="180" fontId="8" fillId="0" borderId="0" xfId="0" applyNumberFormat="1" applyFont="1"/>
    <xf numFmtId="180" fontId="0" fillId="0" borderId="0" xfId="0" applyNumberFormat="1"/>
    <xf numFmtId="180" fontId="26" fillId="0" borderId="0" xfId="0" applyNumberFormat="1" applyFont="1"/>
    <xf numFmtId="180" fontId="82" fillId="0" borderId="0" xfId="0" applyNumberFormat="1" applyFont="1" applyFill="1"/>
    <xf numFmtId="172" fontId="26" fillId="0" borderId="5" xfId="4" applyFont="1" applyFill="1" applyBorder="1" applyAlignment="1">
      <alignment horizontal="left" vertical="top" wrapText="1"/>
    </xf>
    <xf numFmtId="0" fontId="74" fillId="0" borderId="21" xfId="150" quotePrefix="1" applyNumberFormat="1" applyBorder="1" applyAlignment="1" applyProtection="1">
      <alignment vertical="top"/>
    </xf>
    <xf numFmtId="172" fontId="8" fillId="0" borderId="153" xfId="0" applyFont="1" applyFill="1" applyBorder="1" applyAlignment="1">
      <alignment horizontal="left"/>
    </xf>
    <xf numFmtId="172" fontId="8" fillId="0" borderId="0" xfId="0" applyFont="1" applyFill="1" applyBorder="1" applyAlignment="1">
      <alignment horizontal="left" vertical="top" wrapText="1"/>
    </xf>
    <xf numFmtId="172" fontId="26" fillId="0" borderId="0" xfId="0" applyFont="1" applyFill="1" applyBorder="1" applyAlignment="1">
      <alignment horizontal="left" vertical="top" wrapText="1"/>
    </xf>
    <xf numFmtId="172" fontId="26" fillId="0" borderId="121" xfId="0" applyFont="1" applyFill="1" applyBorder="1"/>
    <xf numFmtId="172" fontId="7" fillId="0" borderId="0" xfId="4" applyFill="1" applyBorder="1"/>
    <xf numFmtId="172" fontId="0" fillId="0" borderId="121" xfId="0" applyFont="1" applyFill="1" applyBorder="1" applyAlignment="1">
      <alignment horizontal="right"/>
    </xf>
    <xf numFmtId="172" fontId="0" fillId="0" borderId="121" xfId="0" applyBorder="1" applyAlignment="1">
      <alignment horizontal="right"/>
    </xf>
    <xf numFmtId="14" fontId="74" fillId="0" borderId="0" xfId="150" applyNumberFormat="1" applyFill="1" applyAlignment="1" applyProtection="1"/>
    <xf numFmtId="14" fontId="74" fillId="0" borderId="0" xfId="150" quotePrefix="1" applyNumberFormat="1" applyFill="1" applyAlignment="1" applyProtection="1"/>
    <xf numFmtId="0" fontId="26" fillId="0" borderId="0" xfId="0" applyNumberFormat="1" applyFont="1" applyFill="1" applyBorder="1" applyAlignment="1">
      <alignment vertical="top"/>
    </xf>
    <xf numFmtId="172" fontId="26" fillId="0" borderId="103" xfId="0" applyFont="1" applyFill="1" applyBorder="1"/>
    <xf numFmtId="3" fontId="26" fillId="0" borderId="61" xfId="0" applyNumberFormat="1" applyFont="1" applyFill="1" applyBorder="1" applyAlignment="1">
      <alignment horizontal="left"/>
    </xf>
    <xf numFmtId="172" fontId="26" fillId="0" borderId="18" xfId="0" applyFont="1" applyFill="1" applyBorder="1" applyAlignment="1">
      <alignment horizontal="left"/>
    </xf>
    <xf numFmtId="17" fontId="26" fillId="24" borderId="0" xfId="0" quotePrefix="1" applyNumberFormat="1" applyFont="1" applyFill="1"/>
    <xf numFmtId="0" fontId="26" fillId="24" borderId="0" xfId="0" applyNumberFormat="1" applyFont="1" applyFill="1" applyAlignment="1"/>
    <xf numFmtId="0" fontId="0" fillId="0" borderId="8" xfId="0" applyNumberFormat="1" applyFill="1" applyBorder="1"/>
    <xf numFmtId="14" fontId="0" fillId="0" borderId="0" xfId="0" applyNumberFormat="1"/>
    <xf numFmtId="172" fontId="74" fillId="0" borderId="0" xfId="150" applyAlignment="1" applyProtection="1"/>
    <xf numFmtId="0" fontId="26" fillId="24" borderId="0" xfId="176" applyNumberFormat="1" applyFont="1" applyFill="1"/>
    <xf numFmtId="17" fontId="26" fillId="24" borderId="0" xfId="176" quotePrefix="1" applyNumberFormat="1" applyFont="1" applyFill="1"/>
    <xf numFmtId="0" fontId="26" fillId="24" borderId="0" xfId="176" applyNumberFormat="1" applyFont="1" applyFill="1" applyAlignment="1"/>
    <xf numFmtId="0" fontId="26" fillId="25" borderId="0" xfId="176" applyNumberFormat="1" applyFont="1" applyFill="1"/>
    <xf numFmtId="0" fontId="26" fillId="4" borderId="0" xfId="176" applyNumberFormat="1" applyFont="1" applyFill="1"/>
    <xf numFmtId="0" fontId="7" fillId="4" borderId="0" xfId="176" applyNumberFormat="1" applyFill="1"/>
    <xf numFmtId="0" fontId="26" fillId="24" borderId="0" xfId="176" quotePrefix="1" applyNumberFormat="1" applyFont="1" applyFill="1" applyAlignment="1">
      <alignment horizontal="left"/>
    </xf>
    <xf numFmtId="0" fontId="7" fillId="25" borderId="0" xfId="176" applyNumberFormat="1" applyFill="1"/>
    <xf numFmtId="0" fontId="7" fillId="24" borderId="0" xfId="176" applyNumberFormat="1" applyFill="1"/>
    <xf numFmtId="17" fontId="7" fillId="24" borderId="0" xfId="176" quotePrefix="1" applyNumberFormat="1" applyFill="1"/>
    <xf numFmtId="0" fontId="0" fillId="4" borderId="0" xfId="176" applyNumberFormat="1" applyFont="1" applyFill="1"/>
    <xf numFmtId="172" fontId="74" fillId="0" borderId="0" xfId="150" quotePrefix="1" applyAlignment="1" applyProtection="1"/>
    <xf numFmtId="172" fontId="26" fillId="0" borderId="0" xfId="0" applyFont="1" applyBorder="1"/>
    <xf numFmtId="177" fontId="0" fillId="0" borderId="0" xfId="0" applyNumberFormat="1" applyBorder="1"/>
    <xf numFmtId="3" fontId="111" fillId="12" borderId="182" xfId="0" applyNumberFormat="1" applyFont="1" applyFill="1" applyBorder="1" applyAlignment="1">
      <alignment horizontal="center" vertical="center" wrapText="1"/>
    </xf>
    <xf numFmtId="3" fontId="25" fillId="0" borderId="0" xfId="0" applyNumberFormat="1" applyFont="1"/>
    <xf numFmtId="3" fontId="111" fillId="12" borderId="180" xfId="0" applyNumberFormat="1" applyFont="1" applyFill="1" applyBorder="1" applyAlignment="1">
      <alignment horizontal="center" vertical="center" wrapText="1"/>
    </xf>
    <xf numFmtId="3" fontId="25" fillId="0" borderId="183" xfId="0" applyNumberFormat="1" applyFont="1" applyBorder="1" applyAlignment="1">
      <alignment horizontal="left" vertical="top"/>
    </xf>
    <xf numFmtId="3" fontId="26" fillId="28" borderId="184" xfId="0" applyNumberFormat="1" applyFont="1" applyFill="1" applyBorder="1" applyAlignment="1">
      <alignment horizontal="left" vertical="top" wrapText="1"/>
    </xf>
    <xf numFmtId="3" fontId="0" fillId="0" borderId="184" xfId="0" applyNumberFormat="1" applyFill="1" applyBorder="1" applyAlignment="1">
      <alignment horizontal="left" vertical="top" wrapText="1"/>
    </xf>
    <xf numFmtId="3" fontId="0" fillId="29" borderId="184" xfId="0" applyNumberFormat="1" applyFill="1" applyBorder="1" applyAlignment="1">
      <alignment horizontal="left" vertical="top" wrapText="1"/>
    </xf>
    <xf numFmtId="3" fontId="26" fillId="30" borderId="184" xfId="0" applyNumberFormat="1" applyFont="1" applyFill="1" applyBorder="1" applyAlignment="1">
      <alignment horizontal="left" vertical="top" wrapText="1"/>
    </xf>
    <xf numFmtId="3" fontId="26" fillId="0" borderId="184" xfId="0" applyNumberFormat="1" applyFont="1" applyFill="1" applyBorder="1" applyAlignment="1">
      <alignment horizontal="left" vertical="top" wrapText="1"/>
    </xf>
    <xf numFmtId="172" fontId="0" fillId="28" borderId="184" xfId="0" applyFill="1" applyBorder="1" applyAlignment="1">
      <alignment horizontal="left" vertical="top" wrapText="1"/>
    </xf>
    <xf numFmtId="172" fontId="0" fillId="28" borderId="185" xfId="0" applyFill="1" applyBorder="1" applyAlignment="1">
      <alignment horizontal="left" vertical="top" wrapText="1"/>
    </xf>
    <xf numFmtId="3" fontId="0" fillId="28" borderId="186" xfId="0" applyNumberFormat="1" applyFill="1" applyBorder="1" applyAlignment="1">
      <alignment horizontal="left" vertical="top" wrapText="1"/>
    </xf>
    <xf numFmtId="3" fontId="25" fillId="0" borderId="177" xfId="0" applyNumberFormat="1" applyFont="1" applyBorder="1" applyAlignment="1">
      <alignment horizontal="left" vertical="top"/>
    </xf>
    <xf numFmtId="3" fontId="26" fillId="28" borderId="178" xfId="0" applyNumberFormat="1" applyFont="1" applyFill="1" applyBorder="1" applyAlignment="1">
      <alignment horizontal="left" vertical="top" wrapText="1"/>
    </xf>
    <xf numFmtId="3" fontId="0" fillId="28" borderId="178" xfId="0" applyNumberFormat="1" applyFill="1" applyBorder="1" applyAlignment="1">
      <alignment horizontal="left" vertical="top" wrapText="1"/>
    </xf>
    <xf numFmtId="3" fontId="26" fillId="30" borderId="178" xfId="0" applyNumberFormat="1" applyFont="1" applyFill="1" applyBorder="1" applyAlignment="1">
      <alignment horizontal="left" vertical="top" wrapText="1"/>
    </xf>
    <xf numFmtId="3" fontId="26" fillId="0" borderId="178" xfId="0" applyNumberFormat="1" applyFont="1" applyFill="1" applyBorder="1" applyAlignment="1">
      <alignment horizontal="left" vertical="top" wrapText="1"/>
    </xf>
    <xf numFmtId="172" fontId="0" fillId="28" borderId="178" xfId="0" applyFill="1" applyBorder="1" applyAlignment="1">
      <alignment horizontal="left" vertical="top" wrapText="1"/>
    </xf>
    <xf numFmtId="172" fontId="0" fillId="28" borderId="179" xfId="0" applyFill="1" applyBorder="1" applyAlignment="1">
      <alignment horizontal="left" vertical="top" wrapText="1"/>
    </xf>
    <xf numFmtId="3" fontId="0" fillId="28" borderId="187" xfId="0" applyNumberFormat="1" applyFill="1" applyBorder="1" applyAlignment="1">
      <alignment horizontal="left" vertical="top" wrapText="1"/>
    </xf>
    <xf numFmtId="3" fontId="26" fillId="29" borderId="178" xfId="0" applyNumberFormat="1" applyFont="1" applyFill="1" applyBorder="1" applyAlignment="1">
      <alignment horizontal="left" vertical="top" wrapText="1"/>
    </xf>
    <xf numFmtId="3" fontId="0" fillId="0" borderId="178" xfId="0" applyNumberFormat="1" applyFill="1" applyBorder="1" applyAlignment="1">
      <alignment horizontal="left" vertical="top" wrapText="1"/>
    </xf>
    <xf numFmtId="3" fontId="26" fillId="0" borderId="178" xfId="0" applyNumberFormat="1" applyFont="1" applyBorder="1" applyAlignment="1">
      <alignment horizontal="left" vertical="top" wrapText="1"/>
    </xf>
    <xf numFmtId="3" fontId="26" fillId="0" borderId="179" xfId="0" applyNumberFormat="1" applyFont="1" applyBorder="1" applyAlignment="1">
      <alignment horizontal="left" vertical="top" wrapText="1"/>
    </xf>
    <xf numFmtId="3" fontId="0" fillId="29" borderId="187" xfId="0" applyNumberFormat="1" applyFill="1" applyBorder="1" applyAlignment="1">
      <alignment horizontal="left" vertical="top" wrapText="1"/>
    </xf>
    <xf numFmtId="3" fontId="0" fillId="0" borderId="178" xfId="0" applyNumberFormat="1" applyBorder="1" applyAlignment="1">
      <alignment horizontal="left" vertical="top" wrapText="1"/>
    </xf>
    <xf numFmtId="3" fontId="0" fillId="0" borderId="179" xfId="0" applyNumberFormat="1" applyFill="1" applyBorder="1" applyAlignment="1">
      <alignment horizontal="left" vertical="top" wrapText="1"/>
    </xf>
    <xf numFmtId="3" fontId="112" fillId="0" borderId="177" xfId="0" applyNumberFormat="1" applyFont="1" applyBorder="1" applyAlignment="1">
      <alignment horizontal="left" vertical="top"/>
    </xf>
    <xf numFmtId="3" fontId="26" fillId="0" borderId="179" xfId="0" applyNumberFormat="1" applyFont="1" applyFill="1" applyBorder="1" applyAlignment="1">
      <alignment horizontal="left" vertical="top" wrapText="1"/>
    </xf>
    <xf numFmtId="3" fontId="26" fillId="30" borderId="8" xfId="0" applyNumberFormat="1" applyFont="1" applyFill="1" applyBorder="1" applyAlignment="1">
      <alignment horizontal="left" vertical="top" wrapText="1"/>
    </xf>
    <xf numFmtId="3" fontId="0" fillId="0" borderId="178" xfId="0" applyNumberFormat="1" applyBorder="1"/>
    <xf numFmtId="3" fontId="0" fillId="0" borderId="179" xfId="0" applyNumberFormat="1" applyBorder="1"/>
    <xf numFmtId="3" fontId="25" fillId="0" borderId="10" xfId="0" applyNumberFormat="1" applyFont="1" applyBorder="1" applyAlignment="1">
      <alignment horizontal="left" vertical="top"/>
    </xf>
    <xf numFmtId="3" fontId="113" fillId="0" borderId="188" xfId="0" applyNumberFormat="1" applyFont="1" applyBorder="1"/>
    <xf numFmtId="3" fontId="9" fillId="0" borderId="181" xfId="0" applyNumberFormat="1" applyFont="1" applyBorder="1"/>
    <xf numFmtId="3" fontId="9" fillId="0" borderId="189" xfId="0" applyNumberFormat="1" applyFont="1" applyBorder="1"/>
    <xf numFmtId="3" fontId="9" fillId="0" borderId="182" xfId="0" applyNumberFormat="1" applyFont="1" applyBorder="1"/>
    <xf numFmtId="3" fontId="9" fillId="0" borderId="180" xfId="0" applyNumberFormat="1" applyFont="1" applyBorder="1"/>
    <xf numFmtId="3" fontId="0" fillId="0" borderId="190" xfId="0" applyNumberFormat="1" applyBorder="1"/>
    <xf numFmtId="3" fontId="9" fillId="29" borderId="0" xfId="0" applyNumberFormat="1" applyFont="1" applyFill="1" applyAlignment="1">
      <alignment horizontal="left"/>
    </xf>
    <xf numFmtId="3" fontId="9" fillId="28" borderId="0" xfId="0" applyNumberFormat="1" applyFont="1" applyFill="1" applyAlignment="1">
      <alignment horizontal="left"/>
    </xf>
    <xf numFmtId="3" fontId="9" fillId="30" borderId="0" xfId="0" applyNumberFormat="1" applyFont="1" applyFill="1" applyAlignment="1">
      <alignment horizontal="left"/>
    </xf>
    <xf numFmtId="3" fontId="113" fillId="0" borderId="0" xfId="0" applyNumberFormat="1" applyFont="1" applyAlignment="1">
      <alignment vertical="top"/>
    </xf>
    <xf numFmtId="3" fontId="0" fillId="29" borderId="0" xfId="0" applyNumberFormat="1" applyFont="1" applyFill="1" applyAlignment="1">
      <alignment horizontal="left" vertical="top" wrapText="1"/>
    </xf>
    <xf numFmtId="3" fontId="114" fillId="28" borderId="0" xfId="0" applyNumberFormat="1" applyFont="1" applyFill="1" applyAlignment="1">
      <alignment horizontal="left" vertical="top" wrapText="1"/>
    </xf>
    <xf numFmtId="3" fontId="0" fillId="30" borderId="0" xfId="0" applyNumberFormat="1" applyFill="1" applyAlignment="1">
      <alignment vertical="top" wrapText="1"/>
    </xf>
    <xf numFmtId="3" fontId="0" fillId="0" borderId="192" xfId="0" applyNumberFormat="1" applyBorder="1"/>
    <xf numFmtId="3" fontId="0" fillId="0" borderId="191" xfId="0" applyNumberFormat="1" applyBorder="1"/>
    <xf numFmtId="1" fontId="60" fillId="12" borderId="59" xfId="0" applyNumberFormat="1" applyFont="1" applyFill="1" applyBorder="1" applyAlignment="1">
      <alignment horizontal="center" vertical="center" wrapText="1"/>
    </xf>
    <xf numFmtId="1" fontId="60" fillId="12" borderId="68" xfId="0" applyNumberFormat="1" applyFont="1" applyFill="1" applyBorder="1" applyAlignment="1">
      <alignment horizontal="center" vertical="center" wrapText="1"/>
    </xf>
    <xf numFmtId="1" fontId="60" fillId="12" borderId="38" xfId="0" applyNumberFormat="1" applyFont="1" applyFill="1" applyBorder="1" applyAlignment="1">
      <alignment horizontal="center" vertical="center" wrapText="1"/>
    </xf>
    <xf numFmtId="1" fontId="60" fillId="12" borderId="60" xfId="0" applyNumberFormat="1" applyFont="1" applyFill="1" applyBorder="1" applyAlignment="1">
      <alignment horizontal="center" vertical="center" wrapText="1"/>
    </xf>
    <xf numFmtId="1" fontId="60" fillId="12" borderId="37" xfId="0" applyNumberFormat="1" applyFont="1" applyFill="1" applyBorder="1" applyAlignment="1">
      <alignment horizontal="center" vertical="center" wrapText="1"/>
    </xf>
    <xf numFmtId="1" fontId="60" fillId="12" borderId="63" xfId="0" applyNumberFormat="1" applyFont="1" applyFill="1" applyBorder="1" applyAlignment="1">
      <alignment horizontal="center" vertical="center" wrapText="1"/>
    </xf>
    <xf numFmtId="1" fontId="12" fillId="21" borderId="56" xfId="0" applyNumberFormat="1" applyFont="1" applyFill="1" applyBorder="1" applyAlignment="1">
      <alignment horizontal="center" vertical="center"/>
    </xf>
    <xf numFmtId="1" fontId="12" fillId="21" borderId="0" xfId="0" applyNumberFormat="1" applyFont="1" applyFill="1" applyBorder="1" applyAlignment="1">
      <alignment horizontal="center" vertical="center"/>
    </xf>
    <xf numFmtId="1" fontId="60" fillId="12" borderId="72" xfId="0" applyNumberFormat="1" applyFont="1" applyFill="1" applyBorder="1" applyAlignment="1">
      <alignment horizontal="center" vertical="center" wrapText="1"/>
    </xf>
    <xf numFmtId="1" fontId="60" fillId="12" borderId="76" xfId="0" applyNumberFormat="1" applyFont="1" applyFill="1" applyBorder="1" applyAlignment="1">
      <alignment horizontal="center" vertical="center" wrapText="1"/>
    </xf>
    <xf numFmtId="1" fontId="31" fillId="0" borderId="0" xfId="0" applyNumberFormat="1" applyFont="1" applyBorder="1" applyAlignment="1">
      <alignment horizontal="justify"/>
    </xf>
    <xf numFmtId="1" fontId="60" fillId="12" borderId="36" xfId="0" applyNumberFormat="1" applyFont="1" applyFill="1" applyBorder="1" applyAlignment="1">
      <alignment horizontal="center" vertical="center" wrapText="1"/>
    </xf>
    <xf numFmtId="3" fontId="60" fillId="12" borderId="37" xfId="0" applyNumberFormat="1" applyFont="1" applyFill="1" applyBorder="1" applyAlignment="1">
      <alignment horizontal="center" vertical="center" wrapText="1"/>
    </xf>
    <xf numFmtId="172" fontId="45" fillId="0" borderId="0" xfId="0" applyFont="1" applyFill="1" applyBorder="1" applyAlignment="1" applyProtection="1">
      <alignment horizontal="right" vertical="center"/>
    </xf>
    <xf numFmtId="172" fontId="41" fillId="0" borderId="0" xfId="0" applyFont="1" applyFill="1" applyBorder="1" applyAlignment="1" applyProtection="1">
      <alignment horizontal="center" vertical="center"/>
    </xf>
    <xf numFmtId="172" fontId="41" fillId="0" borderId="0" xfId="0" applyFont="1" applyFill="1" applyBorder="1" applyAlignment="1" applyProtection="1">
      <alignment horizontal="right" vertical="center"/>
    </xf>
    <xf numFmtId="172" fontId="41" fillId="19" borderId="81" xfId="0" applyFont="1" applyFill="1" applyBorder="1" applyAlignment="1" applyProtection="1">
      <alignment horizontal="center" vertical="center"/>
    </xf>
    <xf numFmtId="172" fontId="41" fillId="19" borderId="46" xfId="0" applyFont="1" applyFill="1" applyBorder="1" applyAlignment="1" applyProtection="1">
      <alignment horizontal="center" vertical="center"/>
    </xf>
    <xf numFmtId="0" fontId="41" fillId="12" borderId="38" xfId="0" applyNumberFormat="1" applyFont="1" applyFill="1" applyBorder="1" applyAlignment="1" applyProtection="1">
      <alignment horizontal="center" vertical="center" wrapText="1"/>
    </xf>
    <xf numFmtId="0" fontId="41" fillId="12" borderId="37" xfId="0" applyNumberFormat="1" applyFont="1" applyFill="1" applyBorder="1" applyAlignment="1" applyProtection="1">
      <alignment horizontal="center" vertical="center" wrapText="1"/>
    </xf>
    <xf numFmtId="1" fontId="63" fillId="0" borderId="182" xfId="0" applyNumberFormat="1" applyFont="1" applyFill="1" applyBorder="1" applyAlignment="1" applyProtection="1">
      <alignment horizontal="center" vertical="center"/>
      <protection locked="0"/>
    </xf>
    <xf numFmtId="1" fontId="63" fillId="0" borderId="181" xfId="0" applyNumberFormat="1" applyFont="1" applyFill="1" applyBorder="1" applyAlignment="1" applyProtection="1">
      <alignment horizontal="center" vertical="center"/>
      <protection locked="0"/>
    </xf>
    <xf numFmtId="1" fontId="63" fillId="0" borderId="21" xfId="0" applyNumberFormat="1" applyFont="1" applyFill="1" applyBorder="1" applyAlignment="1">
      <alignment vertical="center"/>
    </xf>
    <xf numFmtId="1" fontId="63" fillId="0" borderId="193" xfId="0" applyNumberFormat="1" applyFont="1" applyFill="1" applyBorder="1" applyAlignment="1">
      <alignment vertical="center"/>
    </xf>
    <xf numFmtId="1" fontId="63" fillId="0" borderId="8" xfId="0" applyNumberFormat="1" applyFont="1" applyFill="1" applyBorder="1" applyAlignment="1" applyProtection="1">
      <alignment horizontal="center" vertical="center"/>
      <protection locked="0"/>
    </xf>
    <xf numFmtId="1" fontId="63" fillId="0" borderId="0" xfId="0" applyNumberFormat="1" applyFont="1" applyFill="1" applyBorder="1" applyAlignment="1" applyProtection="1">
      <alignment horizontal="center" vertical="center"/>
      <protection locked="0"/>
    </xf>
    <xf numFmtId="1" fontId="60" fillId="18" borderId="152" xfId="0" applyNumberFormat="1" applyFont="1" applyFill="1" applyBorder="1" applyAlignment="1">
      <alignment horizontal="center" vertical="center"/>
    </xf>
    <xf numFmtId="1" fontId="63" fillId="0" borderId="181" xfId="0" applyNumberFormat="1" applyFont="1" applyFill="1" applyBorder="1" applyAlignment="1"/>
    <xf numFmtId="1" fontId="63" fillId="0" borderId="44" xfId="0" applyNumberFormat="1" applyFont="1" applyFill="1" applyBorder="1" applyAlignment="1" applyProtection="1">
      <alignment horizontal="center" vertical="center"/>
      <protection locked="0"/>
    </xf>
    <xf numFmtId="1" fontId="63" fillId="0" borderId="80" xfId="0" applyNumberFormat="1" applyFont="1" applyFill="1" applyBorder="1" applyAlignment="1"/>
    <xf numFmtId="1" fontId="63" fillId="0" borderId="31" xfId="0" applyNumberFormat="1" applyFont="1" applyFill="1" applyBorder="1" applyAlignment="1" applyProtection="1">
      <alignment horizontal="center" vertical="center"/>
      <protection locked="0"/>
    </xf>
    <xf numFmtId="171" fontId="63" fillId="19" borderId="55" xfId="0" applyNumberFormat="1" applyFont="1" applyFill="1" applyBorder="1" applyAlignment="1" applyProtection="1">
      <alignment horizontal="center" vertical="center"/>
      <protection locked="0"/>
    </xf>
    <xf numFmtId="1" fontId="60" fillId="12" borderId="45" xfId="0" applyNumberFormat="1" applyFont="1" applyFill="1" applyBorder="1" applyAlignment="1">
      <alignment vertical="center" wrapText="1"/>
    </xf>
    <xf numFmtId="1" fontId="60" fillId="12" borderId="34" xfId="0" applyNumberFormat="1" applyFont="1" applyFill="1" applyBorder="1" applyAlignment="1">
      <alignment vertical="center" wrapText="1"/>
    </xf>
    <xf numFmtId="1" fontId="60" fillId="12" borderId="64" xfId="0" applyNumberFormat="1" applyFont="1" applyFill="1" applyBorder="1" applyAlignment="1">
      <alignment horizontal="center" vertical="center" wrapText="1"/>
    </xf>
    <xf numFmtId="1" fontId="60" fillId="12" borderId="9" xfId="0" applyNumberFormat="1" applyFont="1" applyFill="1" applyBorder="1" applyAlignment="1">
      <alignment horizontal="center" vertical="center" wrapText="1"/>
    </xf>
    <xf numFmtId="1" fontId="60" fillId="12" borderId="101" xfId="0" applyNumberFormat="1" applyFont="1" applyFill="1" applyBorder="1" applyAlignment="1">
      <alignment horizontal="center" vertical="center" wrapText="1"/>
    </xf>
    <xf numFmtId="1" fontId="60" fillId="12" borderId="41" xfId="0" applyNumberFormat="1" applyFont="1" applyFill="1" applyBorder="1" applyAlignment="1">
      <alignment vertical="center" wrapText="1"/>
    </xf>
    <xf numFmtId="1" fontId="12" fillId="17" borderId="173" xfId="0" applyNumberFormat="1" applyFont="1" applyFill="1" applyBorder="1" applyAlignment="1">
      <alignment horizontal="center" vertical="center"/>
    </xf>
    <xf numFmtId="1" fontId="12" fillId="21" borderId="61" xfId="0" applyNumberFormat="1" applyFont="1" applyFill="1" applyBorder="1" applyAlignment="1">
      <alignment horizontal="center" vertical="center"/>
    </xf>
    <xf numFmtId="1" fontId="12" fillId="17" borderId="194" xfId="0" applyNumberFormat="1" applyFont="1" applyFill="1" applyBorder="1" applyAlignment="1">
      <alignment horizontal="center" vertical="center"/>
    </xf>
    <xf numFmtId="1" fontId="63" fillId="0" borderId="194" xfId="0" applyNumberFormat="1" applyFont="1" applyFill="1" applyBorder="1" applyAlignment="1" applyProtection="1">
      <alignment horizontal="center" vertical="center"/>
      <protection locked="0"/>
    </xf>
    <xf numFmtId="1" fontId="63" fillId="0" borderId="13" xfId="0" applyNumberFormat="1" applyFont="1" applyFill="1" applyBorder="1" applyAlignment="1" applyProtection="1">
      <alignment horizontal="center" vertical="center"/>
      <protection locked="0"/>
    </xf>
    <xf numFmtId="1" fontId="63" fillId="0" borderId="88" xfId="0" applyNumberFormat="1" applyFont="1" applyFill="1" applyBorder="1" applyAlignment="1" applyProtection="1">
      <alignment horizontal="center" vertical="center"/>
      <protection locked="0"/>
    </xf>
    <xf numFmtId="1" fontId="12" fillId="21" borderId="99" xfId="0" applyNumberFormat="1" applyFont="1" applyFill="1" applyBorder="1" applyAlignment="1">
      <alignment horizontal="center" vertical="center"/>
    </xf>
    <xf numFmtId="3" fontId="41" fillId="12" borderId="180" xfId="0" applyNumberFormat="1" applyFont="1" applyFill="1" applyBorder="1" applyAlignment="1">
      <alignment horizontal="center" vertical="center" wrapText="1"/>
    </xf>
    <xf numFmtId="3" fontId="9" fillId="0" borderId="188" xfId="0" applyNumberFormat="1" applyFont="1" applyBorder="1"/>
    <xf numFmtId="3" fontId="0" fillId="29" borderId="197" xfId="0" applyNumberFormat="1" applyFill="1" applyBorder="1" applyAlignment="1">
      <alignment horizontal="left" vertical="top" wrapText="1"/>
    </xf>
    <xf numFmtId="2" fontId="45" fillId="21" borderId="34" xfId="0" applyNumberFormat="1" applyFont="1" applyFill="1" applyBorder="1" applyAlignment="1" applyProtection="1">
      <alignment horizontal="center" vertical="center"/>
    </xf>
    <xf numFmtId="2" fontId="45" fillId="21" borderId="33" xfId="0" applyNumberFormat="1" applyFont="1" applyFill="1" applyBorder="1" applyAlignment="1" applyProtection="1">
      <alignment horizontal="center" vertical="center"/>
    </xf>
    <xf numFmtId="3" fontId="41" fillId="3" borderId="181" xfId="0" applyNumberFormat="1" applyFont="1" applyFill="1" applyBorder="1" applyAlignment="1" applyProtection="1">
      <alignment horizontal="right" vertical="center"/>
    </xf>
    <xf numFmtId="3" fontId="45" fillId="0" borderId="180" xfId="0" applyNumberFormat="1" applyFont="1" applyFill="1" applyBorder="1" applyAlignment="1" applyProtection="1">
      <alignment horizontal="right" vertical="center"/>
    </xf>
    <xf numFmtId="3" fontId="1" fillId="0" borderId="180" xfId="0" applyNumberFormat="1" applyFont="1" applyFill="1" applyBorder="1" applyAlignment="1" applyProtection="1">
      <alignment horizontal="right" vertical="center" wrapText="1"/>
    </xf>
    <xf numFmtId="3" fontId="45" fillId="0" borderId="198" xfId="0" applyNumberFormat="1" applyFont="1" applyFill="1" applyBorder="1" applyAlignment="1" applyProtection="1">
      <alignment horizontal="right" vertical="center"/>
    </xf>
    <xf numFmtId="3" fontId="41" fillId="19" borderId="26" xfId="0" applyNumberFormat="1" applyFont="1" applyFill="1" applyBorder="1" applyAlignment="1" applyProtection="1">
      <alignment horizontal="right" vertical="center"/>
    </xf>
    <xf numFmtId="172" fontId="9" fillId="17" borderId="180" xfId="0" applyFont="1" applyFill="1" applyBorder="1" applyProtection="1"/>
    <xf numFmtId="174" fontId="0" fillId="17" borderId="180" xfId="0" applyNumberFormat="1" applyFill="1" applyBorder="1" applyAlignment="1" applyProtection="1">
      <alignment horizontal="center"/>
    </xf>
    <xf numFmtId="3" fontId="1" fillId="0" borderId="13" xfId="0" applyNumberFormat="1" applyFont="1" applyFill="1" applyBorder="1" applyAlignment="1" applyProtection="1">
      <alignment horizontal="right" vertical="center" wrapText="1"/>
    </xf>
    <xf numFmtId="3" fontId="45" fillId="0" borderId="33" xfId="0" applyNumberFormat="1" applyFont="1" applyFill="1" applyBorder="1" applyAlignment="1" applyProtection="1">
      <alignment horizontal="right" vertical="center"/>
    </xf>
    <xf numFmtId="3" fontId="45" fillId="0" borderId="182" xfId="0" applyNumberFormat="1" applyFont="1" applyFill="1" applyBorder="1" applyAlignment="1" applyProtection="1">
      <alignment horizontal="right" vertical="center"/>
    </xf>
    <xf numFmtId="3" fontId="45" fillId="0" borderId="12" xfId="0" applyNumberFormat="1" applyFont="1" applyFill="1" applyBorder="1" applyAlignment="1" applyProtection="1">
      <alignment horizontal="right" vertical="center"/>
    </xf>
    <xf numFmtId="1" fontId="47" fillId="12" borderId="199" xfId="0" applyNumberFormat="1" applyFont="1" applyFill="1" applyBorder="1" applyAlignment="1">
      <alignment horizontal="center" vertical="center" wrapText="1"/>
    </xf>
    <xf numFmtId="1" fontId="116" fillId="0" borderId="199" xfId="0" applyNumberFormat="1" applyFont="1" applyFill="1" applyBorder="1" applyAlignment="1">
      <alignment horizontal="left"/>
    </xf>
    <xf numFmtId="1" fontId="117" fillId="0" borderId="199" xfId="0" applyNumberFormat="1" applyFont="1" applyFill="1" applyBorder="1" applyAlignment="1">
      <alignment horizontal="center"/>
    </xf>
    <xf numFmtId="1" fontId="26" fillId="0" borderId="199" xfId="0" applyNumberFormat="1" applyFont="1" applyFill="1" applyBorder="1" applyAlignment="1" applyProtection="1">
      <alignment horizontal="center" vertical="center"/>
      <protection locked="0"/>
    </xf>
    <xf numFmtId="1" fontId="47" fillId="0" borderId="199" xfId="0" applyNumberFormat="1" applyFont="1" applyFill="1" applyBorder="1" applyAlignment="1">
      <alignment horizontal="left"/>
    </xf>
    <xf numFmtId="1" fontId="47" fillId="0" borderId="199" xfId="0" applyNumberFormat="1" applyFont="1" applyFill="1" applyBorder="1" applyAlignment="1" applyProtection="1">
      <alignment horizontal="left" wrapText="1"/>
      <protection locked="0"/>
    </xf>
    <xf numFmtId="1" fontId="47" fillId="0" borderId="199" xfId="0" applyNumberFormat="1" applyFont="1" applyFill="1" applyBorder="1" applyAlignment="1" applyProtection="1">
      <alignment horizontal="center" vertical="center"/>
      <protection locked="0"/>
    </xf>
    <xf numFmtId="1" fontId="116" fillId="0" borderId="199" xfId="0" applyNumberFormat="1" applyFont="1" applyBorder="1" applyAlignment="1">
      <alignment horizontal="left" vertical="center"/>
    </xf>
    <xf numFmtId="1" fontId="26" fillId="0" borderId="199" xfId="0" applyNumberFormat="1" applyFont="1" applyBorder="1" applyAlignment="1" applyProtection="1">
      <alignment horizontal="center" vertical="center"/>
      <protection locked="0"/>
    </xf>
    <xf numFmtId="1" fontId="47" fillId="0" borderId="199" xfId="0" applyNumberFormat="1" applyFont="1" applyBorder="1" applyAlignment="1">
      <alignment horizontal="left" vertical="center"/>
    </xf>
    <xf numFmtId="1" fontId="47" fillId="0" borderId="199" xfId="0" applyNumberFormat="1" applyFont="1" applyFill="1" applyBorder="1" applyAlignment="1">
      <alignment horizontal="left" vertical="center"/>
    </xf>
    <xf numFmtId="1" fontId="116" fillId="0" borderId="199" xfId="0" applyNumberFormat="1" applyFont="1" applyFill="1" applyBorder="1" applyAlignment="1">
      <alignment horizontal="left" vertical="top"/>
    </xf>
    <xf numFmtId="1" fontId="117" fillId="15" borderId="199" xfId="0" applyNumberFormat="1" applyFont="1" applyFill="1" applyBorder="1" applyAlignment="1">
      <alignment horizontal="left" vertical="top" wrapText="1"/>
    </xf>
    <xf numFmtId="1" fontId="117" fillId="0" borderId="199" xfId="0" applyNumberFormat="1" applyFont="1" applyFill="1" applyBorder="1" applyAlignment="1">
      <alignment horizontal="left" vertical="top"/>
    </xf>
    <xf numFmtId="1" fontId="26" fillId="0" borderId="199" xfId="0" applyNumberFormat="1" applyFont="1" applyFill="1" applyBorder="1" applyAlignment="1" applyProtection="1">
      <alignment horizontal="left" vertical="top" wrapText="1"/>
      <protection locked="0"/>
    </xf>
    <xf numFmtId="1" fontId="47" fillId="0" borderId="199" xfId="0" applyNumberFormat="1" applyFont="1" applyFill="1" applyBorder="1" applyAlignment="1">
      <alignment horizontal="left" vertical="top"/>
    </xf>
    <xf numFmtId="1" fontId="26" fillId="15" borderId="199" xfId="0" applyNumberFormat="1" applyFont="1" applyFill="1" applyBorder="1" applyAlignment="1" applyProtection="1">
      <alignment horizontal="left" vertical="top"/>
      <protection locked="0"/>
    </xf>
    <xf numFmtId="1" fontId="47" fillId="0" borderId="199" xfId="0" applyNumberFormat="1" applyFont="1" applyFill="1" applyBorder="1" applyAlignment="1" applyProtection="1">
      <alignment horizontal="left" vertical="top" wrapText="1"/>
      <protection locked="0"/>
    </xf>
    <xf numFmtId="1" fontId="47" fillId="0" borderId="199" xfId="0" applyNumberFormat="1" applyFont="1" applyFill="1" applyBorder="1" applyAlignment="1" applyProtection="1">
      <alignment horizontal="left" vertical="top"/>
      <protection locked="0"/>
    </xf>
    <xf numFmtId="4" fontId="0" fillId="15" borderId="0" xfId="0" applyNumberFormat="1" applyFill="1" applyAlignment="1">
      <alignment horizontal="left" vertical="top" wrapText="1"/>
    </xf>
    <xf numFmtId="1" fontId="26" fillId="15" borderId="199" xfId="0" applyNumberFormat="1" applyFont="1" applyFill="1" applyBorder="1" applyAlignment="1" applyProtection="1">
      <alignment horizontal="center" vertical="center"/>
      <protection locked="0"/>
    </xf>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0" xfId="0" applyNumberFormat="1" applyBorder="1" applyAlignment="1">
      <alignment horizontal="left" vertical="top" wrapText="1"/>
    </xf>
    <xf numFmtId="0" fontId="77" fillId="12" borderId="86" xfId="0" applyNumberFormat="1" applyFont="1" applyFill="1" applyBorder="1" applyAlignment="1">
      <alignment horizontal="center" vertical="center" wrapText="1"/>
    </xf>
    <xf numFmtId="0" fontId="77" fillId="12" borderId="16" xfId="0" applyNumberFormat="1" applyFont="1" applyFill="1" applyBorder="1" applyAlignment="1">
      <alignment horizontal="center" vertical="center" wrapText="1"/>
    </xf>
    <xf numFmtId="1" fontId="12" fillId="21" borderId="42" xfId="0" applyNumberFormat="1" applyFont="1" applyFill="1" applyBorder="1" applyAlignment="1">
      <alignment horizontal="center" vertical="center"/>
    </xf>
    <xf numFmtId="1" fontId="12" fillId="21" borderId="31" xfId="0" applyNumberFormat="1" applyFont="1" applyFill="1" applyBorder="1" applyAlignment="1">
      <alignment horizontal="center" vertical="center"/>
    </xf>
    <xf numFmtId="1" fontId="12" fillId="21" borderId="35" xfId="0" applyNumberFormat="1" applyFont="1" applyFill="1" applyBorder="1" applyAlignment="1">
      <alignment horizontal="center" vertical="center"/>
    </xf>
    <xf numFmtId="1" fontId="60" fillId="12" borderId="29" xfId="0" applyNumberFormat="1" applyFont="1" applyFill="1" applyBorder="1" applyAlignment="1">
      <alignment horizontal="center" vertical="center" wrapText="1"/>
    </xf>
    <xf numFmtId="1" fontId="60" fillId="12" borderId="45" xfId="0" applyNumberFormat="1" applyFont="1" applyFill="1" applyBorder="1" applyAlignment="1">
      <alignment horizontal="center" vertical="center" wrapText="1"/>
    </xf>
    <xf numFmtId="1" fontId="63" fillId="12" borderId="49" xfId="0" applyNumberFormat="1" applyFont="1" applyFill="1" applyBorder="1" applyAlignment="1">
      <alignment horizontal="center" vertical="center" wrapText="1"/>
    </xf>
    <xf numFmtId="1" fontId="63" fillId="12" borderId="86" xfId="0" applyNumberFormat="1" applyFont="1" applyFill="1" applyBorder="1" applyAlignment="1">
      <alignment horizontal="center" vertical="center" wrapText="1"/>
    </xf>
    <xf numFmtId="1" fontId="63" fillId="12" borderId="16" xfId="0" applyNumberFormat="1" applyFont="1" applyFill="1" applyBorder="1" applyAlignment="1">
      <alignment horizontal="center" vertical="center" wrapText="1"/>
    </xf>
    <xf numFmtId="1" fontId="60" fillId="12" borderId="195" xfId="0" applyNumberFormat="1" applyFont="1" applyFill="1" applyBorder="1" applyAlignment="1">
      <alignment horizontal="center" vertical="center" wrapText="1"/>
    </xf>
    <xf numFmtId="1" fontId="60" fillId="12" borderId="196" xfId="0" applyNumberFormat="1" applyFont="1" applyFill="1" applyBorder="1" applyAlignment="1">
      <alignment horizontal="center" vertical="center" wrapText="1"/>
    </xf>
    <xf numFmtId="1" fontId="60" fillId="12" borderId="152" xfId="0" applyNumberFormat="1" applyFont="1" applyFill="1" applyBorder="1" applyAlignment="1">
      <alignment horizontal="center" vertical="center" wrapText="1"/>
    </xf>
    <xf numFmtId="1" fontId="60" fillId="12" borderId="38" xfId="0" applyNumberFormat="1" applyFont="1" applyFill="1" applyBorder="1" applyAlignment="1">
      <alignment horizontal="center" vertical="center" wrapText="1"/>
    </xf>
    <xf numFmtId="1" fontId="60" fillId="12" borderId="60" xfId="0" applyNumberFormat="1" applyFont="1" applyFill="1" applyBorder="1" applyAlignment="1">
      <alignment horizontal="center" vertical="center" wrapText="1"/>
    </xf>
    <xf numFmtId="1" fontId="60" fillId="12" borderId="37" xfId="0" applyNumberFormat="1" applyFont="1" applyFill="1" applyBorder="1" applyAlignment="1">
      <alignment horizontal="center" vertical="center" wrapText="1"/>
    </xf>
    <xf numFmtId="1" fontId="60" fillId="12" borderId="59" xfId="0" applyNumberFormat="1" applyFont="1" applyFill="1" applyBorder="1" applyAlignment="1">
      <alignment horizontal="center" vertical="center" wrapText="1"/>
    </xf>
    <xf numFmtId="1" fontId="60" fillId="12" borderId="68" xfId="0" applyNumberFormat="1" applyFont="1" applyFill="1" applyBorder="1" applyAlignment="1">
      <alignment horizontal="center" vertical="center" wrapText="1"/>
    </xf>
    <xf numFmtId="1" fontId="60" fillId="12" borderId="63" xfId="0" applyNumberFormat="1" applyFont="1" applyFill="1" applyBorder="1" applyAlignment="1">
      <alignment horizontal="center" vertical="center" wrapText="1"/>
    </xf>
    <xf numFmtId="1" fontId="72" fillId="12" borderId="76" xfId="0" applyNumberFormat="1" applyFont="1" applyFill="1" applyBorder="1" applyAlignment="1">
      <alignment horizontal="center" vertical="center" wrapText="1"/>
    </xf>
    <xf numFmtId="1" fontId="12" fillId="21" borderId="56" xfId="0" applyNumberFormat="1" applyFont="1" applyFill="1" applyBorder="1" applyAlignment="1">
      <alignment horizontal="center" vertical="center"/>
    </xf>
    <xf numFmtId="1" fontId="12" fillId="21" borderId="0" xfId="0" applyNumberFormat="1" applyFont="1" applyFill="1" applyBorder="1" applyAlignment="1">
      <alignment horizontal="center" vertical="center"/>
    </xf>
    <xf numFmtId="1" fontId="12" fillId="21" borderId="61" xfId="0" applyNumberFormat="1" applyFont="1" applyFill="1" applyBorder="1" applyAlignment="1">
      <alignment horizontal="center" vertical="center"/>
    </xf>
    <xf numFmtId="1" fontId="12" fillId="21" borderId="45" xfId="0" applyNumberFormat="1" applyFont="1" applyFill="1" applyBorder="1" applyAlignment="1">
      <alignment horizontal="center" vertical="center"/>
    </xf>
    <xf numFmtId="1" fontId="12" fillId="21" borderId="34" xfId="0" applyNumberFormat="1" applyFont="1" applyFill="1" applyBorder="1" applyAlignment="1">
      <alignment horizontal="center" vertical="center"/>
    </xf>
    <xf numFmtId="1" fontId="12" fillId="21" borderId="193" xfId="0" applyNumberFormat="1" applyFont="1" applyFill="1" applyBorder="1" applyAlignment="1">
      <alignment horizontal="center" vertical="center"/>
    </xf>
    <xf numFmtId="1" fontId="59" fillId="0" borderId="0" xfId="0" applyNumberFormat="1" applyFont="1" applyFill="1" applyBorder="1" applyAlignment="1">
      <alignment horizontal="left" vertical="center" wrapText="1"/>
    </xf>
    <xf numFmtId="1" fontId="60" fillId="12" borderId="42" xfId="0" applyNumberFormat="1" applyFont="1" applyFill="1" applyBorder="1" applyAlignment="1">
      <alignment horizontal="center" vertical="center" wrapText="1"/>
    </xf>
    <xf numFmtId="1" fontId="60" fillId="12" borderId="31" xfId="0" applyNumberFormat="1" applyFont="1" applyFill="1" applyBorder="1" applyAlignment="1">
      <alignment horizontal="center" vertical="center" wrapText="1"/>
    </xf>
    <xf numFmtId="1" fontId="60" fillId="12" borderId="35" xfId="0" applyNumberFormat="1" applyFont="1" applyFill="1" applyBorder="1" applyAlignment="1">
      <alignment horizontal="center" vertical="center" wrapText="1"/>
    </xf>
    <xf numFmtId="1" fontId="60" fillId="12" borderId="56" xfId="0" applyNumberFormat="1" applyFont="1" applyFill="1" applyBorder="1" applyAlignment="1">
      <alignment horizontal="center" vertical="center" wrapText="1"/>
    </xf>
    <xf numFmtId="1" fontId="60" fillId="12" borderId="66" xfId="0" applyNumberFormat="1" applyFont="1" applyFill="1" applyBorder="1" applyAlignment="1">
      <alignment horizontal="center" vertical="center" wrapText="1"/>
    </xf>
    <xf numFmtId="1" fontId="60" fillId="12" borderId="34" xfId="0" applyNumberFormat="1" applyFont="1" applyFill="1" applyBorder="1" applyAlignment="1">
      <alignment horizontal="center" vertical="center" wrapText="1"/>
    </xf>
    <xf numFmtId="1" fontId="55" fillId="12" borderId="19" xfId="0" applyNumberFormat="1" applyFont="1" applyFill="1" applyBorder="1" applyAlignment="1">
      <alignment horizontal="center" vertical="center"/>
    </xf>
    <xf numFmtId="1" fontId="55" fillId="12" borderId="86" xfId="0" applyNumberFormat="1" applyFont="1" applyFill="1" applyBorder="1" applyAlignment="1">
      <alignment horizontal="center" vertical="center"/>
    </xf>
    <xf numFmtId="1" fontId="55" fillId="12" borderId="16" xfId="0" applyNumberFormat="1" applyFont="1" applyFill="1" applyBorder="1" applyAlignment="1">
      <alignment horizontal="center" vertical="center"/>
    </xf>
    <xf numFmtId="1" fontId="60" fillId="21" borderId="52" xfId="0" applyNumberFormat="1" applyFont="1" applyFill="1" applyBorder="1" applyAlignment="1">
      <alignment horizontal="center" vertical="center" wrapText="1"/>
    </xf>
    <xf numFmtId="1" fontId="60" fillId="21" borderId="0" xfId="0" applyNumberFormat="1" applyFont="1" applyFill="1" applyBorder="1" applyAlignment="1">
      <alignment horizontal="center" vertical="center" wrapText="1"/>
    </xf>
    <xf numFmtId="1" fontId="60" fillId="21" borderId="61" xfId="0" applyNumberFormat="1" applyFont="1" applyFill="1" applyBorder="1" applyAlignment="1">
      <alignment horizontal="center" vertical="center" wrapText="1"/>
    </xf>
    <xf numFmtId="1" fontId="12" fillId="21" borderId="101" xfId="0" applyNumberFormat="1" applyFont="1" applyFill="1" applyBorder="1" applyAlignment="1">
      <alignment horizontal="center" vertical="center"/>
    </xf>
    <xf numFmtId="1" fontId="12" fillId="21" borderId="80" xfId="0" applyNumberFormat="1" applyFont="1" applyFill="1" applyBorder="1" applyAlignment="1">
      <alignment horizontal="center" vertical="center"/>
    </xf>
    <xf numFmtId="1" fontId="12" fillId="21" borderId="18" xfId="0" applyNumberFormat="1" applyFont="1" applyFill="1" applyBorder="1" applyAlignment="1">
      <alignment horizontal="center" vertical="center"/>
    </xf>
    <xf numFmtId="1" fontId="12" fillId="21" borderId="79" xfId="0" applyNumberFormat="1" applyFont="1" applyFill="1" applyBorder="1" applyAlignment="1">
      <alignment horizontal="center" vertical="center"/>
    </xf>
    <xf numFmtId="1" fontId="12" fillId="21" borderId="21" xfId="0" applyNumberFormat="1" applyFont="1" applyFill="1" applyBorder="1" applyAlignment="1">
      <alignment horizontal="center" vertical="center"/>
    </xf>
    <xf numFmtId="1" fontId="12" fillId="21" borderId="103" xfId="0" applyNumberFormat="1" applyFont="1" applyFill="1" applyBorder="1" applyAlignment="1">
      <alignment horizontal="center" vertical="center"/>
    </xf>
    <xf numFmtId="1" fontId="12" fillId="21" borderId="102" xfId="0" applyNumberFormat="1" applyFont="1" applyFill="1" applyBorder="1" applyAlignment="1">
      <alignment horizontal="center" vertical="center"/>
    </xf>
    <xf numFmtId="1" fontId="12" fillId="21" borderId="52" xfId="0" applyNumberFormat="1" applyFont="1" applyFill="1" applyBorder="1" applyAlignment="1">
      <alignment horizontal="center" vertical="center"/>
    </xf>
    <xf numFmtId="1" fontId="60" fillId="12" borderId="72" xfId="0" applyNumberFormat="1" applyFont="1" applyFill="1" applyBorder="1" applyAlignment="1">
      <alignment horizontal="center" vertical="center" wrapText="1"/>
    </xf>
    <xf numFmtId="1" fontId="60" fillId="12" borderId="41" xfId="0" applyNumberFormat="1" applyFont="1" applyFill="1" applyBorder="1" applyAlignment="1">
      <alignment horizontal="center" vertical="center" wrapText="1"/>
    </xf>
    <xf numFmtId="1" fontId="55" fillId="12" borderId="69" xfId="0" applyNumberFormat="1" applyFont="1" applyFill="1" applyBorder="1" applyAlignment="1">
      <alignment horizontal="center" vertical="center"/>
    </xf>
    <xf numFmtId="1" fontId="55" fillId="12" borderId="70" xfId="0" applyNumberFormat="1" applyFont="1" applyFill="1" applyBorder="1" applyAlignment="1">
      <alignment horizontal="center" vertical="center"/>
    </xf>
    <xf numFmtId="1" fontId="55" fillId="12" borderId="71" xfId="0" applyNumberFormat="1" applyFont="1" applyFill="1" applyBorder="1" applyAlignment="1">
      <alignment horizontal="center" vertical="center"/>
    </xf>
    <xf numFmtId="1" fontId="60" fillId="12" borderId="25" xfId="0" applyNumberFormat="1" applyFont="1" applyFill="1" applyBorder="1" applyAlignment="1">
      <alignment horizontal="center" vertical="center" wrapText="1"/>
    </xf>
    <xf numFmtId="1" fontId="60" fillId="12" borderId="30" xfId="0" applyNumberFormat="1" applyFont="1" applyFill="1" applyBorder="1" applyAlignment="1">
      <alignment horizontal="center" vertical="center" wrapText="1"/>
    </xf>
    <xf numFmtId="1" fontId="63" fillId="12" borderId="48" xfId="0" applyNumberFormat="1" applyFont="1" applyFill="1" applyBorder="1" applyAlignment="1">
      <alignment horizontal="center" vertical="center" wrapText="1"/>
    </xf>
    <xf numFmtId="1" fontId="63" fillId="12" borderId="61" xfId="0" applyNumberFormat="1" applyFont="1" applyFill="1" applyBorder="1" applyAlignment="1">
      <alignment horizontal="center" vertical="center" wrapText="1"/>
    </xf>
    <xf numFmtId="1" fontId="63" fillId="12" borderId="18" xfId="0" applyNumberFormat="1" applyFont="1" applyFill="1" applyBorder="1" applyAlignment="1">
      <alignment horizontal="center" vertical="center" wrapText="1"/>
    </xf>
    <xf numFmtId="1" fontId="63" fillId="21" borderId="65" xfId="0" applyNumberFormat="1" applyFont="1" applyFill="1" applyBorder="1" applyAlignment="1">
      <alignment horizontal="center" vertical="center"/>
    </xf>
    <xf numFmtId="1" fontId="63" fillId="21" borderId="5" xfId="0" applyNumberFormat="1" applyFont="1" applyFill="1" applyBorder="1" applyAlignment="1">
      <alignment horizontal="center" vertical="center"/>
    </xf>
    <xf numFmtId="1" fontId="63" fillId="21" borderId="66" xfId="0" applyNumberFormat="1" applyFont="1" applyFill="1" applyBorder="1" applyAlignment="1">
      <alignment horizontal="center" vertical="center"/>
    </xf>
    <xf numFmtId="1" fontId="63" fillId="21" borderId="0" xfId="0" applyNumberFormat="1" applyFont="1" applyFill="1" applyBorder="1" applyAlignment="1">
      <alignment horizontal="center" vertical="center"/>
    </xf>
    <xf numFmtId="3" fontId="62" fillId="18" borderId="43" xfId="0" applyNumberFormat="1" applyFont="1" applyFill="1" applyBorder="1" applyAlignment="1">
      <alignment horizontal="center" vertical="center"/>
    </xf>
    <xf numFmtId="1" fontId="63" fillId="18" borderId="52" xfId="0" applyNumberFormat="1" applyFont="1" applyFill="1" applyBorder="1" applyAlignment="1">
      <alignment horizontal="center" vertical="center"/>
    </xf>
    <xf numFmtId="1" fontId="31" fillId="0" borderId="0" xfId="0" applyNumberFormat="1" applyFont="1" applyBorder="1" applyAlignment="1">
      <alignment horizontal="justify"/>
    </xf>
    <xf numFmtId="1" fontId="55" fillId="12" borderId="29" xfId="0" applyNumberFormat="1" applyFont="1" applyFill="1" applyBorder="1" applyAlignment="1">
      <alignment horizontal="center" vertical="center" wrapText="1"/>
    </xf>
    <xf numFmtId="1" fontId="55" fillId="12" borderId="66" xfId="0" applyNumberFormat="1" applyFont="1" applyFill="1" applyBorder="1" applyAlignment="1">
      <alignment horizontal="center" vertical="center" wrapText="1"/>
    </xf>
    <xf numFmtId="1" fontId="55" fillId="12" borderId="25" xfId="0" applyNumberFormat="1" applyFont="1" applyFill="1" applyBorder="1" applyAlignment="1">
      <alignment horizontal="center" vertical="top" wrapText="1"/>
    </xf>
    <xf numFmtId="1" fontId="55" fillId="12" borderId="26" xfId="0" applyNumberFormat="1" applyFont="1" applyFill="1" applyBorder="1" applyAlignment="1">
      <alignment horizontal="center" vertical="top" wrapText="1"/>
    </xf>
    <xf numFmtId="1" fontId="55" fillId="12" borderId="30" xfId="0" applyNumberFormat="1" applyFont="1" applyFill="1" applyBorder="1" applyAlignment="1">
      <alignment horizontal="center" vertical="top" wrapText="1"/>
    </xf>
    <xf numFmtId="1" fontId="60" fillId="12" borderId="32" xfId="0" applyNumberFormat="1" applyFont="1" applyFill="1" applyBorder="1" applyAlignment="1">
      <alignment horizontal="center" vertical="center" wrapText="1"/>
    </xf>
    <xf numFmtId="1" fontId="60" fillId="12" borderId="36" xfId="0" applyNumberFormat="1" applyFont="1" applyFill="1" applyBorder="1" applyAlignment="1">
      <alignment horizontal="center" vertical="center" wrapText="1"/>
    </xf>
    <xf numFmtId="1" fontId="60" fillId="12" borderId="10" xfId="0" applyNumberFormat="1" applyFont="1" applyFill="1" applyBorder="1" applyAlignment="1">
      <alignment horizontal="center" vertical="center" wrapText="1"/>
    </xf>
    <xf numFmtId="1" fontId="60" fillId="12" borderId="12" xfId="0" applyNumberFormat="1" applyFont="1" applyFill="1" applyBorder="1" applyAlignment="1">
      <alignment horizontal="center" vertical="center" wrapText="1"/>
    </xf>
    <xf numFmtId="1" fontId="60" fillId="12" borderId="11" xfId="0" applyNumberFormat="1" applyFont="1" applyFill="1" applyBorder="1" applyAlignment="1">
      <alignment horizontal="center" vertical="center" wrapText="1"/>
    </xf>
    <xf numFmtId="3" fontId="55" fillId="0" borderId="0" xfId="0" applyNumberFormat="1" applyFont="1" applyAlignment="1">
      <alignment horizontal="justify" wrapText="1"/>
    </xf>
    <xf numFmtId="3" fontId="59" fillId="0" borderId="0" xfId="0" applyNumberFormat="1" applyFont="1" applyFill="1" applyBorder="1" applyAlignment="1">
      <alignment horizontal="left" vertical="center" wrapText="1"/>
    </xf>
    <xf numFmtId="3" fontId="55" fillId="12" borderId="102" xfId="0" applyNumberFormat="1" applyFont="1" applyFill="1" applyBorder="1" applyAlignment="1">
      <alignment horizontal="center" vertical="center" wrapText="1"/>
    </xf>
    <xf numFmtId="3" fontId="55" fillId="12" borderId="21" xfId="0" applyNumberFormat="1" applyFont="1" applyFill="1" applyBorder="1" applyAlignment="1">
      <alignment horizontal="center" vertical="center" wrapText="1"/>
    </xf>
    <xf numFmtId="3" fontId="55" fillId="12" borderId="167" xfId="0" applyNumberFormat="1" applyFont="1" applyFill="1" applyBorder="1" applyAlignment="1">
      <alignment horizontal="center" vertical="center" wrapText="1"/>
    </xf>
    <xf numFmtId="3" fontId="55" fillId="12" borderId="104" xfId="0" applyNumberFormat="1" applyFont="1" applyFill="1" applyBorder="1" applyAlignment="1">
      <alignment horizontal="center" vertical="top" wrapText="1"/>
    </xf>
    <xf numFmtId="3" fontId="55" fillId="12" borderId="105" xfId="0" applyNumberFormat="1" applyFont="1" applyFill="1" applyBorder="1" applyAlignment="1">
      <alignment horizontal="center" vertical="top" wrapText="1"/>
    </xf>
    <xf numFmtId="3" fontId="55" fillId="12" borderId="75" xfId="0" applyNumberFormat="1" applyFont="1" applyFill="1" applyBorder="1" applyAlignment="1">
      <alignment horizontal="center" vertical="top" wrapText="1"/>
    </xf>
    <xf numFmtId="3" fontId="60" fillId="12" borderId="32" xfId="0" applyNumberFormat="1" applyFont="1" applyFill="1" applyBorder="1" applyAlignment="1">
      <alignment horizontal="center" vertical="center" wrapText="1"/>
    </xf>
    <xf numFmtId="3" fontId="60" fillId="12" borderId="36" xfId="0" applyNumberFormat="1" applyFont="1" applyFill="1" applyBorder="1" applyAlignment="1">
      <alignment horizontal="center" vertical="center" wrapText="1"/>
    </xf>
    <xf numFmtId="3" fontId="60" fillId="12" borderId="152" xfId="0" applyNumberFormat="1" applyFont="1" applyFill="1" applyBorder="1" applyAlignment="1">
      <alignment horizontal="center" vertical="center" wrapText="1"/>
    </xf>
    <xf numFmtId="3" fontId="60" fillId="12" borderId="37" xfId="0" applyNumberFormat="1" applyFont="1" applyFill="1" applyBorder="1" applyAlignment="1">
      <alignment horizontal="center" vertical="center" wrapText="1"/>
    </xf>
    <xf numFmtId="3" fontId="60" fillId="12" borderId="10" xfId="0" applyNumberFormat="1" applyFont="1" applyFill="1" applyBorder="1" applyAlignment="1">
      <alignment horizontal="center" vertical="center" wrapText="1"/>
    </xf>
    <xf numFmtId="3" fontId="60" fillId="12" borderId="12" xfId="0" applyNumberFormat="1" applyFont="1" applyFill="1" applyBorder="1" applyAlignment="1">
      <alignment horizontal="center" vertical="center" wrapText="1"/>
    </xf>
    <xf numFmtId="3" fontId="60" fillId="12" borderId="11" xfId="0" applyNumberFormat="1" applyFont="1" applyFill="1" applyBorder="1" applyAlignment="1">
      <alignment horizontal="center" vertical="center" wrapText="1"/>
    </xf>
    <xf numFmtId="3" fontId="60" fillId="12" borderId="156" xfId="0" applyNumberFormat="1" applyFont="1" applyFill="1" applyBorder="1" applyAlignment="1">
      <alignment horizontal="center" vertical="center" wrapText="1"/>
    </xf>
    <xf numFmtId="3" fontId="60" fillId="12" borderId="157" xfId="0" applyNumberFormat="1" applyFont="1" applyFill="1" applyBorder="1" applyAlignment="1">
      <alignment horizontal="center" vertical="center" wrapText="1"/>
    </xf>
    <xf numFmtId="3" fontId="40" fillId="12" borderId="180" xfId="0" applyNumberFormat="1" applyFont="1" applyFill="1" applyBorder="1" applyAlignment="1">
      <alignment horizontal="center" vertical="center" wrapText="1"/>
    </xf>
    <xf numFmtId="3" fontId="40" fillId="12" borderId="181" xfId="0" applyNumberFormat="1" applyFont="1" applyFill="1" applyBorder="1" applyAlignment="1">
      <alignment horizontal="center" vertical="top" wrapText="1"/>
    </xf>
    <xf numFmtId="3" fontId="40" fillId="12" borderId="182" xfId="0" applyNumberFormat="1" applyFont="1" applyFill="1" applyBorder="1" applyAlignment="1">
      <alignment horizontal="center" vertical="top" wrapText="1"/>
    </xf>
    <xf numFmtId="3" fontId="41" fillId="12" borderId="8" xfId="0" applyNumberFormat="1" applyFont="1" applyFill="1" applyBorder="1" applyAlignment="1">
      <alignment horizontal="center" vertical="center" wrapText="1"/>
    </xf>
    <xf numFmtId="3" fontId="41" fillId="12" borderId="11" xfId="0" applyNumberFormat="1" applyFont="1" applyFill="1" applyBorder="1" applyAlignment="1">
      <alignment horizontal="center" vertical="center" wrapText="1"/>
    </xf>
    <xf numFmtId="3" fontId="41" fillId="12" borderId="9" xfId="0" applyNumberFormat="1" applyFont="1" applyFill="1" applyBorder="1" applyAlignment="1">
      <alignment horizontal="center" vertical="center" wrapText="1"/>
    </xf>
    <xf numFmtId="3" fontId="41" fillId="12" borderId="13" xfId="0" applyNumberFormat="1" applyFont="1" applyFill="1" applyBorder="1" applyAlignment="1">
      <alignment horizontal="center" vertical="center" wrapText="1"/>
    </xf>
    <xf numFmtId="3" fontId="41" fillId="12" borderId="10" xfId="0" applyNumberFormat="1" applyFont="1" applyFill="1" applyBorder="1" applyAlignment="1">
      <alignment horizontal="center" vertical="center" wrapText="1"/>
    </xf>
    <xf numFmtId="3" fontId="41" fillId="12" borderId="12" xfId="0" applyNumberFormat="1" applyFont="1" applyFill="1" applyBorder="1" applyAlignment="1">
      <alignment horizontal="center" vertical="center" wrapText="1"/>
    </xf>
    <xf numFmtId="3" fontId="111" fillId="12" borderId="180" xfId="0" applyNumberFormat="1" applyFont="1" applyFill="1" applyBorder="1" applyAlignment="1">
      <alignment horizontal="center" vertical="center" wrapText="1"/>
    </xf>
    <xf numFmtId="3" fontId="111" fillId="12" borderId="181" xfId="0" applyNumberFormat="1" applyFont="1" applyFill="1" applyBorder="1" applyAlignment="1">
      <alignment horizontal="center" vertical="top" wrapText="1"/>
    </xf>
    <xf numFmtId="3" fontId="111" fillId="12" borderId="182" xfId="0" applyNumberFormat="1" applyFont="1" applyFill="1" applyBorder="1" applyAlignment="1">
      <alignment horizontal="center" vertical="top" wrapText="1"/>
    </xf>
    <xf numFmtId="3" fontId="111" fillId="12" borderId="8" xfId="0" applyNumberFormat="1" applyFont="1" applyFill="1" applyBorder="1" applyAlignment="1">
      <alignment horizontal="center" vertical="center" wrapText="1"/>
    </xf>
    <xf numFmtId="3" fontId="111" fillId="12" borderId="11" xfId="0" applyNumberFormat="1" applyFont="1" applyFill="1" applyBorder="1" applyAlignment="1">
      <alignment horizontal="center" vertical="center" wrapText="1"/>
    </xf>
    <xf numFmtId="3" fontId="111" fillId="12" borderId="9" xfId="0" applyNumberFormat="1" applyFont="1" applyFill="1" applyBorder="1" applyAlignment="1">
      <alignment horizontal="center" vertical="center" wrapText="1"/>
    </xf>
    <xf numFmtId="3" fontId="111" fillId="12" borderId="13" xfId="0" applyNumberFormat="1" applyFont="1" applyFill="1" applyBorder="1" applyAlignment="1">
      <alignment horizontal="center" vertical="center" wrapText="1"/>
    </xf>
    <xf numFmtId="3" fontId="111" fillId="12" borderId="10" xfId="0" applyNumberFormat="1" applyFont="1" applyFill="1" applyBorder="1" applyAlignment="1">
      <alignment horizontal="center" vertical="center" wrapText="1"/>
    </xf>
    <xf numFmtId="3" fontId="111" fillId="12" borderId="12" xfId="0" applyNumberFormat="1" applyFont="1" applyFill="1" applyBorder="1" applyAlignment="1">
      <alignment horizontal="center" vertical="center" wrapText="1"/>
    </xf>
    <xf numFmtId="1" fontId="47" fillId="12" borderId="199" xfId="0" applyNumberFormat="1" applyFont="1" applyFill="1" applyBorder="1" applyAlignment="1">
      <alignment horizontal="left" vertical="center" wrapText="1"/>
    </xf>
    <xf numFmtId="1" fontId="47" fillId="12" borderId="199" xfId="0" applyNumberFormat="1" applyFont="1" applyFill="1" applyBorder="1" applyAlignment="1">
      <alignment horizontal="center" vertical="center" wrapText="1"/>
    </xf>
    <xf numFmtId="1" fontId="115" fillId="12" borderId="199" xfId="0" applyNumberFormat="1" applyFont="1" applyFill="1" applyBorder="1" applyAlignment="1">
      <alignment horizontal="center" vertical="center"/>
    </xf>
    <xf numFmtId="1" fontId="26" fillId="12" borderId="199" xfId="0" applyNumberFormat="1" applyFont="1" applyFill="1" applyBorder="1" applyAlignment="1">
      <alignment horizontal="center" vertical="center" wrapText="1"/>
    </xf>
    <xf numFmtId="1" fontId="119" fillId="12" borderId="199" xfId="0" applyNumberFormat="1" applyFont="1" applyFill="1" applyBorder="1" applyAlignment="1">
      <alignment horizontal="center" vertical="center" wrapText="1"/>
    </xf>
    <xf numFmtId="3" fontId="40" fillId="12" borderId="15" xfId="0" applyNumberFormat="1" applyFont="1" applyFill="1" applyBorder="1" applyAlignment="1">
      <alignment horizontal="center" vertical="center" wrapText="1"/>
    </xf>
    <xf numFmtId="3" fontId="40" fillId="12" borderId="25" xfId="0" applyNumberFormat="1" applyFont="1" applyFill="1" applyBorder="1" applyAlignment="1">
      <alignment horizontal="center" vertical="top" wrapText="1"/>
    </xf>
    <xf numFmtId="3" fontId="40" fillId="12" borderId="26" xfId="0" applyNumberFormat="1" applyFont="1" applyFill="1" applyBorder="1" applyAlignment="1">
      <alignment horizontal="center" vertical="top" wrapText="1"/>
    </xf>
    <xf numFmtId="3" fontId="41" fillId="12" borderId="6" xfId="0" applyNumberFormat="1" applyFont="1" applyFill="1" applyBorder="1" applyAlignment="1">
      <alignment horizontal="center" vertical="center" wrapText="1"/>
    </xf>
    <xf numFmtId="3" fontId="41" fillId="12" borderId="27" xfId="0" applyNumberFormat="1" applyFont="1" applyFill="1" applyBorder="1" applyAlignment="1">
      <alignment horizontal="center" vertical="center" wrapText="1"/>
    </xf>
    <xf numFmtId="3" fontId="41" fillId="12" borderId="14" xfId="0" applyNumberFormat="1" applyFont="1" applyFill="1" applyBorder="1" applyAlignment="1">
      <alignment horizontal="center" vertical="center" wrapText="1"/>
    </xf>
    <xf numFmtId="3" fontId="41" fillId="12" borderId="28" xfId="0" applyNumberFormat="1" applyFont="1" applyFill="1" applyBorder="1" applyAlignment="1">
      <alignment horizontal="center" vertical="center" wrapText="1"/>
    </xf>
    <xf numFmtId="3" fontId="90" fillId="0" borderId="0" xfId="0" applyNumberFormat="1" applyFont="1" applyBorder="1" applyAlignment="1">
      <alignment horizontal="center" vertical="top"/>
    </xf>
    <xf numFmtId="3" fontId="63" fillId="0" borderId="0" xfId="0" applyNumberFormat="1" applyFont="1" applyFill="1" applyBorder="1" applyAlignment="1">
      <alignment horizontal="center" vertical="center" wrapText="1"/>
    </xf>
    <xf numFmtId="3" fontId="101" fillId="0" borderId="0" xfId="0" applyNumberFormat="1" applyFont="1" applyFill="1" applyBorder="1" applyAlignment="1">
      <alignment horizontal="center" vertical="center" wrapText="1"/>
    </xf>
    <xf numFmtId="0" fontId="10" fillId="23" borderId="3" xfId="4" applyNumberFormat="1" applyFont="1" applyFill="1" applyBorder="1" applyAlignment="1">
      <alignment horizontal="center" vertical="center"/>
    </xf>
    <xf numFmtId="0" fontId="11" fillId="23" borderId="5" xfId="4" applyNumberFormat="1" applyFont="1" applyFill="1" applyBorder="1" applyAlignment="1">
      <alignment horizontal="center" vertical="center"/>
    </xf>
    <xf numFmtId="0" fontId="11" fillId="23" borderId="7" xfId="4" applyNumberFormat="1" applyFont="1" applyFill="1" applyBorder="1" applyAlignment="1">
      <alignment horizontal="center" vertical="center"/>
    </xf>
    <xf numFmtId="0" fontId="11" fillId="23" borderId="0" xfId="4" applyNumberFormat="1" applyFont="1" applyFill="1" applyBorder="1" applyAlignment="1">
      <alignment horizontal="center" vertical="center"/>
    </xf>
    <xf numFmtId="0" fontId="11" fillId="23" borderId="10" xfId="4" applyNumberFormat="1" applyFont="1" applyFill="1" applyBorder="1" applyAlignment="1">
      <alignment horizontal="center" vertical="center"/>
    </xf>
    <xf numFmtId="0" fontId="11" fillId="23" borderId="12" xfId="4" applyNumberFormat="1" applyFont="1" applyFill="1" applyBorder="1" applyAlignment="1">
      <alignment horizontal="center" vertical="center"/>
    </xf>
    <xf numFmtId="172" fontId="55" fillId="12" borderId="19" xfId="0" applyFont="1" applyFill="1" applyBorder="1" applyAlignment="1">
      <alignment horizontal="left" vertical="center" wrapText="1"/>
    </xf>
    <xf numFmtId="172" fontId="55" fillId="12" borderId="86" xfId="0" applyFont="1" applyFill="1" applyBorder="1" applyAlignment="1">
      <alignment horizontal="left" vertical="center" wrapText="1"/>
    </xf>
    <xf numFmtId="0" fontId="40" fillId="12" borderId="15" xfId="0" applyNumberFormat="1" applyFont="1" applyFill="1" applyBorder="1" applyAlignment="1">
      <alignment horizontal="center" vertical="center" wrapText="1"/>
    </xf>
    <xf numFmtId="0" fontId="40" fillId="12" borderId="25" xfId="0" applyNumberFormat="1" applyFont="1" applyFill="1" applyBorder="1" applyAlignment="1">
      <alignment horizontal="center" vertical="top" wrapText="1"/>
    </xf>
    <xf numFmtId="0" fontId="40" fillId="12" borderId="26" xfId="0" applyNumberFormat="1" applyFont="1" applyFill="1" applyBorder="1" applyAlignment="1">
      <alignment horizontal="center" vertical="top" wrapText="1"/>
    </xf>
    <xf numFmtId="0" fontId="41" fillId="12" borderId="6" xfId="0" applyNumberFormat="1" applyFont="1" applyFill="1" applyBorder="1" applyAlignment="1">
      <alignment horizontal="center" vertical="center" wrapText="1"/>
    </xf>
    <xf numFmtId="0" fontId="41" fillId="12" borderId="13" xfId="0" applyNumberFormat="1" applyFont="1" applyFill="1" applyBorder="1" applyAlignment="1">
      <alignment horizontal="center" vertical="center" wrapText="1"/>
    </xf>
    <xf numFmtId="0" fontId="41" fillId="12" borderId="27" xfId="0" applyNumberFormat="1" applyFont="1" applyFill="1" applyBorder="1" applyAlignment="1">
      <alignment horizontal="center" vertical="center" wrapText="1"/>
    </xf>
    <xf numFmtId="0" fontId="41" fillId="12" borderId="14" xfId="0" applyNumberFormat="1" applyFont="1" applyFill="1" applyBorder="1" applyAlignment="1">
      <alignment horizontal="center" vertical="center" wrapText="1"/>
    </xf>
    <xf numFmtId="0" fontId="41" fillId="12" borderId="28" xfId="0" applyNumberFormat="1" applyFont="1" applyFill="1" applyBorder="1" applyAlignment="1">
      <alignment horizontal="center" vertical="center" wrapText="1"/>
    </xf>
    <xf numFmtId="172" fontId="40" fillId="12" borderId="89" xfId="0" applyFont="1" applyFill="1" applyBorder="1" applyAlignment="1">
      <alignment horizontal="center" vertical="center" wrapText="1"/>
    </xf>
    <xf numFmtId="172" fontId="40" fillId="12" borderId="91" xfId="0" applyFont="1" applyFill="1" applyBorder="1" applyAlignment="1">
      <alignment horizontal="center" vertical="center" wrapText="1"/>
    </xf>
    <xf numFmtId="172" fontId="40" fillId="12" borderId="93" xfId="0" applyFont="1" applyFill="1" applyBorder="1" applyAlignment="1">
      <alignment horizontal="center" vertical="center" wrapText="1"/>
    </xf>
    <xf numFmtId="172" fontId="40" fillId="12" borderId="90" xfId="0" applyFont="1" applyFill="1" applyBorder="1" applyAlignment="1">
      <alignment horizontal="center" vertical="center" wrapText="1"/>
    </xf>
    <xf numFmtId="172" fontId="40" fillId="12" borderId="92" xfId="0" applyFont="1" applyFill="1" applyBorder="1" applyAlignment="1">
      <alignment horizontal="center" vertical="center" wrapText="1"/>
    </xf>
    <xf numFmtId="172" fontId="40" fillId="12" borderId="17" xfId="0" applyFont="1" applyFill="1" applyBorder="1" applyAlignment="1">
      <alignment horizontal="center" vertical="center" wrapText="1"/>
    </xf>
    <xf numFmtId="172" fontId="40" fillId="12" borderId="15" xfId="0" applyFont="1" applyFill="1" applyBorder="1" applyAlignment="1">
      <alignment horizontal="center" vertical="center" wrapText="1"/>
    </xf>
    <xf numFmtId="172" fontId="40" fillId="12" borderId="25" xfId="0" applyFont="1" applyFill="1" applyBorder="1" applyAlignment="1">
      <alignment horizontal="center" vertical="top" wrapText="1"/>
    </xf>
    <xf numFmtId="172" fontId="40" fillId="12" borderId="26" xfId="0" applyFont="1" applyFill="1" applyBorder="1" applyAlignment="1">
      <alignment horizontal="center" vertical="top" wrapText="1"/>
    </xf>
    <xf numFmtId="172" fontId="41" fillId="12" borderId="6" xfId="0" applyFont="1" applyFill="1" applyBorder="1" applyAlignment="1">
      <alignment horizontal="center" vertical="center" wrapText="1"/>
    </xf>
    <xf numFmtId="172" fontId="41" fillId="12" borderId="13" xfId="0" applyFont="1" applyFill="1" applyBorder="1" applyAlignment="1">
      <alignment horizontal="center" vertical="center" wrapText="1"/>
    </xf>
    <xf numFmtId="172" fontId="41" fillId="12" borderId="27" xfId="0" applyFont="1" applyFill="1" applyBorder="1" applyAlignment="1">
      <alignment horizontal="center" vertical="center" wrapText="1"/>
    </xf>
    <xf numFmtId="172" fontId="41" fillId="12" borderId="14" xfId="0" applyFont="1" applyFill="1" applyBorder="1" applyAlignment="1">
      <alignment horizontal="center" vertical="center" wrapText="1"/>
    </xf>
    <xf numFmtId="172" fontId="41" fillId="12" borderId="28" xfId="0" applyFont="1" applyFill="1" applyBorder="1" applyAlignment="1">
      <alignment horizontal="center" vertical="center" wrapText="1"/>
    </xf>
    <xf numFmtId="172" fontId="45" fillId="0" borderId="66" xfId="0" applyFont="1" applyBorder="1" applyAlignment="1" applyProtection="1">
      <alignment horizontal="right" vertical="center"/>
    </xf>
    <xf numFmtId="172" fontId="45" fillId="0" borderId="0" xfId="0" applyFont="1" applyBorder="1" applyAlignment="1" applyProtection="1">
      <alignment horizontal="right" vertical="center"/>
    </xf>
    <xf numFmtId="172" fontId="45" fillId="0" borderId="0" xfId="0" applyFont="1" applyFill="1" applyBorder="1" applyAlignment="1" applyProtection="1">
      <alignment horizontal="right" vertical="center"/>
    </xf>
    <xf numFmtId="172" fontId="41" fillId="0" borderId="0" xfId="0" applyFont="1" applyFill="1" applyBorder="1" applyAlignment="1" applyProtection="1">
      <alignment horizontal="center" vertical="center"/>
    </xf>
    <xf numFmtId="172" fontId="41" fillId="19" borderId="182" xfId="0" applyFont="1" applyFill="1" applyBorder="1" applyAlignment="1" applyProtection="1">
      <alignment horizontal="right" vertical="center"/>
    </xf>
    <xf numFmtId="172" fontId="41" fillId="19" borderId="54" xfId="0" applyFont="1" applyFill="1" applyBorder="1" applyAlignment="1" applyProtection="1">
      <alignment horizontal="right" vertical="center"/>
    </xf>
    <xf numFmtId="172" fontId="41" fillId="0" borderId="0" xfId="0" applyFont="1" applyFill="1" applyBorder="1" applyAlignment="1" applyProtection="1">
      <alignment horizontal="right" vertical="center"/>
    </xf>
    <xf numFmtId="172" fontId="41" fillId="19" borderId="100" xfId="0" applyFont="1" applyFill="1" applyBorder="1" applyAlignment="1" applyProtection="1">
      <alignment horizontal="right" vertical="center"/>
    </xf>
    <xf numFmtId="172" fontId="41" fillId="19" borderId="40" xfId="0" applyFont="1" applyFill="1" applyBorder="1" applyAlignment="1" applyProtection="1">
      <alignment horizontal="right" vertical="center"/>
    </xf>
    <xf numFmtId="172" fontId="41" fillId="19" borderId="11" xfId="0" applyFont="1" applyFill="1" applyBorder="1" applyAlignment="1" applyProtection="1">
      <alignment horizontal="center" vertical="center"/>
    </xf>
    <xf numFmtId="172" fontId="41" fillId="19" borderId="88" xfId="0" applyFont="1" applyFill="1" applyBorder="1" applyAlignment="1" applyProtection="1">
      <alignment horizontal="center" vertical="center"/>
    </xf>
    <xf numFmtId="0" fontId="41" fillId="12" borderId="42" xfId="0" applyNumberFormat="1" applyFont="1" applyFill="1" applyBorder="1" applyAlignment="1" applyProtection="1">
      <alignment horizontal="center" vertical="center" wrapText="1"/>
    </xf>
    <xf numFmtId="0" fontId="41" fillId="12" borderId="31" xfId="0" applyNumberFormat="1" applyFont="1" applyFill="1" applyBorder="1" applyAlignment="1" applyProtection="1">
      <alignment horizontal="center" vertical="center" wrapText="1"/>
    </xf>
    <xf numFmtId="0" fontId="41" fillId="12" borderId="35" xfId="0" applyNumberFormat="1" applyFont="1" applyFill="1" applyBorder="1" applyAlignment="1" applyProtection="1">
      <alignment horizontal="center" vertical="center" wrapText="1"/>
    </xf>
    <xf numFmtId="0" fontId="40" fillId="12" borderId="29" xfId="0" applyNumberFormat="1" applyFont="1" applyFill="1" applyBorder="1" applyAlignment="1" applyProtection="1">
      <alignment horizontal="center" vertical="center"/>
    </xf>
    <xf numFmtId="0" fontId="40" fillId="12" borderId="56" xfId="0" applyNumberFormat="1" applyFont="1" applyFill="1" applyBorder="1" applyAlignment="1" applyProtection="1">
      <alignment horizontal="center" vertical="center"/>
    </xf>
    <xf numFmtId="0" fontId="40" fillId="12" borderId="45" xfId="0" applyNumberFormat="1" applyFont="1" applyFill="1" applyBorder="1" applyAlignment="1" applyProtection="1">
      <alignment horizontal="center" vertical="center"/>
    </xf>
    <xf numFmtId="0" fontId="41" fillId="12" borderId="45" xfId="0" applyNumberFormat="1" applyFont="1" applyFill="1" applyBorder="1" applyAlignment="1" applyProtection="1">
      <alignment horizontal="center" vertical="center" wrapText="1"/>
    </xf>
    <xf numFmtId="0" fontId="41" fillId="12" borderId="34" xfId="0" applyNumberFormat="1" applyFont="1" applyFill="1" applyBorder="1" applyAlignment="1" applyProtection="1">
      <alignment horizontal="center" vertical="center" wrapText="1"/>
    </xf>
    <xf numFmtId="0" fontId="41" fillId="12" borderId="41" xfId="0" applyNumberFormat="1" applyFont="1" applyFill="1" applyBorder="1" applyAlignment="1" applyProtection="1">
      <alignment horizontal="center" vertical="center" wrapText="1"/>
    </xf>
    <xf numFmtId="0" fontId="41" fillId="12" borderId="29" xfId="0" applyNumberFormat="1" applyFont="1" applyFill="1" applyBorder="1" applyAlignment="1" applyProtection="1">
      <alignment horizontal="center" vertical="center" wrapText="1"/>
    </xf>
    <xf numFmtId="0" fontId="41" fillId="12" borderId="66" xfId="0" applyNumberFormat="1" applyFont="1" applyFill="1" applyBorder="1" applyAlignment="1" applyProtection="1">
      <alignment horizontal="center" vertical="center" wrapText="1"/>
    </xf>
    <xf numFmtId="0" fontId="41" fillId="12" borderId="72" xfId="0" applyNumberFormat="1" applyFont="1" applyFill="1" applyBorder="1" applyAlignment="1" applyProtection="1">
      <alignment horizontal="center" vertical="center" wrapText="1"/>
    </xf>
    <xf numFmtId="172" fontId="41" fillId="0" borderId="0" xfId="0" applyFont="1" applyFill="1" applyBorder="1" applyAlignment="1" applyProtection="1">
      <alignment horizontal="center" vertical="center" wrapText="1"/>
    </xf>
    <xf numFmtId="0" fontId="1" fillId="12" borderId="49" xfId="0" applyNumberFormat="1" applyFont="1" applyFill="1" applyBorder="1" applyAlignment="1" applyProtection="1">
      <alignment horizontal="center" vertical="center" wrapText="1"/>
    </xf>
    <xf numFmtId="0" fontId="1" fillId="12" borderId="86" xfId="0" applyNumberFormat="1" applyFont="1" applyFill="1" applyBorder="1" applyAlignment="1" applyProtection="1">
      <alignment horizontal="center" vertical="center" wrapText="1"/>
    </xf>
    <xf numFmtId="0" fontId="1" fillId="12" borderId="16" xfId="0" applyNumberFormat="1" applyFont="1" applyFill="1" applyBorder="1" applyAlignment="1" applyProtection="1">
      <alignment horizontal="center" vertical="center" wrapText="1"/>
    </xf>
    <xf numFmtId="0" fontId="41" fillId="12" borderId="59" xfId="0" applyNumberFormat="1" applyFont="1" applyFill="1" applyBorder="1" applyAlignment="1" applyProtection="1">
      <alignment horizontal="center" vertical="center" wrapText="1"/>
    </xf>
    <xf numFmtId="0" fontId="41" fillId="12" borderId="68" xfId="0" applyNumberFormat="1" applyFont="1" applyFill="1" applyBorder="1" applyAlignment="1" applyProtection="1">
      <alignment horizontal="center" vertical="center" wrapText="1"/>
    </xf>
    <xf numFmtId="0" fontId="41" fillId="12" borderId="63" xfId="0" applyNumberFormat="1" applyFont="1" applyFill="1" applyBorder="1" applyAlignment="1" applyProtection="1">
      <alignment horizontal="center" vertical="center" wrapText="1"/>
    </xf>
    <xf numFmtId="0" fontId="41" fillId="12" borderId="76" xfId="0" applyNumberFormat="1" applyFont="1" applyFill="1" applyBorder="1" applyAlignment="1" applyProtection="1">
      <alignment horizontal="center" vertical="center" wrapText="1"/>
    </xf>
    <xf numFmtId="172" fontId="41" fillId="19" borderId="81" xfId="0" applyFont="1" applyFill="1" applyBorder="1" applyAlignment="1" applyProtection="1">
      <alignment horizontal="center" vertical="center"/>
    </xf>
    <xf numFmtId="172" fontId="41" fillId="19" borderId="46" xfId="0" applyFont="1" applyFill="1" applyBorder="1" applyAlignment="1" applyProtection="1">
      <alignment horizontal="center" vertical="center"/>
    </xf>
    <xf numFmtId="0" fontId="41" fillId="12" borderId="9" xfId="0" applyNumberFormat="1" applyFont="1" applyFill="1" applyBorder="1" applyAlignment="1" applyProtection="1">
      <alignment horizontal="center" vertical="center" wrapText="1"/>
    </xf>
    <xf numFmtId="0" fontId="41" fillId="12" borderId="37" xfId="0" applyNumberFormat="1" applyFont="1" applyFill="1" applyBorder="1" applyAlignment="1" applyProtection="1">
      <alignment horizontal="center" vertical="center" wrapText="1"/>
    </xf>
    <xf numFmtId="2" fontId="45" fillId="21" borderId="29" xfId="0" applyNumberFormat="1" applyFont="1" applyFill="1" applyBorder="1" applyAlignment="1" applyProtection="1">
      <alignment horizontal="center" vertical="center"/>
    </xf>
    <xf numFmtId="2" fontId="45" fillId="21" borderId="66" xfId="0" applyNumberFormat="1" applyFont="1" applyFill="1" applyBorder="1" applyAlignment="1" applyProtection="1">
      <alignment horizontal="center" vertical="center"/>
    </xf>
    <xf numFmtId="2" fontId="45" fillId="21" borderId="67" xfId="0" applyNumberFormat="1" applyFont="1" applyFill="1" applyBorder="1" applyAlignment="1" applyProtection="1">
      <alignment horizontal="center" vertical="center"/>
    </xf>
    <xf numFmtId="2" fontId="45" fillId="21" borderId="56" xfId="0" applyNumberFormat="1" applyFont="1" applyFill="1" applyBorder="1" applyAlignment="1" applyProtection="1">
      <alignment horizontal="center" vertical="center"/>
    </xf>
    <xf numFmtId="2" fontId="45" fillId="21" borderId="0" xfId="0" applyNumberFormat="1" applyFont="1" applyFill="1" applyBorder="1" applyAlignment="1" applyProtection="1">
      <alignment horizontal="center" vertical="center"/>
    </xf>
    <xf numFmtId="2" fontId="45" fillId="21" borderId="12" xfId="0" applyNumberFormat="1" applyFont="1" applyFill="1" applyBorder="1" applyAlignment="1" applyProtection="1">
      <alignment horizontal="center" vertical="center"/>
    </xf>
    <xf numFmtId="2" fontId="41" fillId="21" borderId="56" xfId="0" applyNumberFormat="1" applyFont="1" applyFill="1" applyBorder="1" applyAlignment="1" applyProtection="1">
      <alignment horizontal="center" vertical="center" wrapText="1"/>
    </xf>
    <xf numFmtId="2" fontId="41" fillId="21" borderId="0" xfId="0" applyNumberFormat="1" applyFont="1" applyFill="1" applyBorder="1" applyAlignment="1" applyProtection="1">
      <alignment horizontal="center" vertical="center" wrapText="1"/>
    </xf>
    <xf numFmtId="2" fontId="41" fillId="21" borderId="12" xfId="0" applyNumberFormat="1" applyFont="1" applyFill="1" applyBorder="1" applyAlignment="1" applyProtection="1">
      <alignment horizontal="center" vertical="center" wrapText="1"/>
    </xf>
    <xf numFmtId="2" fontId="45" fillId="21" borderId="78" xfId="0" applyNumberFormat="1" applyFont="1" applyFill="1" applyBorder="1" applyAlignment="1" applyProtection="1">
      <alignment horizontal="center" vertical="center"/>
    </xf>
    <xf numFmtId="2" fontId="45" fillId="21" borderId="80" xfId="0" applyNumberFormat="1" applyFont="1" applyFill="1" applyBorder="1" applyAlignment="1" applyProtection="1">
      <alignment horizontal="center" vertical="center"/>
    </xf>
    <xf numFmtId="2" fontId="45" fillId="21" borderId="82" xfId="0" applyNumberFormat="1" applyFont="1" applyFill="1" applyBorder="1" applyAlignment="1" applyProtection="1">
      <alignment horizontal="center" vertical="center"/>
    </xf>
    <xf numFmtId="2" fontId="45" fillId="21" borderId="79" xfId="0" applyNumberFormat="1" applyFont="1" applyFill="1" applyBorder="1" applyAlignment="1" applyProtection="1">
      <alignment horizontal="center" vertical="center"/>
    </xf>
    <xf numFmtId="2" fontId="45" fillId="21" borderId="21" xfId="0" applyNumberFormat="1" applyFont="1" applyFill="1" applyBorder="1" applyAlignment="1" applyProtection="1">
      <alignment horizontal="center" vertical="center"/>
    </xf>
    <xf numFmtId="2" fontId="45" fillId="21" borderId="83" xfId="0" applyNumberFormat="1" applyFont="1" applyFill="1" applyBorder="1" applyAlignment="1" applyProtection="1">
      <alignment horizontal="center" vertical="center"/>
    </xf>
    <xf numFmtId="172" fontId="41" fillId="19" borderId="155" xfId="0" applyFont="1" applyFill="1" applyBorder="1" applyAlignment="1" applyProtection="1">
      <alignment horizontal="center" vertical="center"/>
    </xf>
    <xf numFmtId="172" fontId="41" fillId="19" borderId="44" xfId="0" applyFont="1" applyFill="1" applyBorder="1" applyAlignment="1" applyProtection="1">
      <alignment horizontal="center" vertical="center"/>
    </xf>
    <xf numFmtId="172" fontId="41" fillId="19" borderId="97" xfId="0" applyFont="1" applyFill="1" applyBorder="1" applyAlignment="1" applyProtection="1">
      <alignment horizontal="center" vertical="center"/>
    </xf>
    <xf numFmtId="172" fontId="41" fillId="19" borderId="96" xfId="0" applyFont="1" applyFill="1" applyBorder="1" applyAlignment="1" applyProtection="1">
      <alignment horizontal="center" vertical="center"/>
    </xf>
    <xf numFmtId="172" fontId="1" fillId="12" borderId="48" xfId="0" applyFont="1" applyFill="1" applyBorder="1" applyAlignment="1" applyProtection="1">
      <alignment horizontal="center" vertical="center" wrapText="1"/>
    </xf>
    <xf numFmtId="172" fontId="1" fillId="12" borderId="61" xfId="0" applyFont="1" applyFill="1" applyBorder="1" applyAlignment="1" applyProtection="1">
      <alignment horizontal="center" vertical="center" wrapText="1"/>
    </xf>
    <xf numFmtId="172" fontId="1" fillId="12" borderId="18" xfId="0" applyFont="1" applyFill="1" applyBorder="1" applyAlignment="1" applyProtection="1">
      <alignment horizontal="center" vertical="center" wrapText="1"/>
    </xf>
    <xf numFmtId="0" fontId="41" fillId="12" borderId="8" xfId="0" applyNumberFormat="1" applyFont="1" applyFill="1" applyBorder="1" applyAlignment="1" applyProtection="1">
      <alignment horizontal="center" vertical="center" wrapText="1"/>
    </xf>
    <xf numFmtId="0" fontId="40" fillId="12" borderId="19" xfId="0" applyNumberFormat="1" applyFont="1" applyFill="1" applyBorder="1" applyAlignment="1" applyProtection="1">
      <alignment horizontal="center" vertical="center"/>
    </xf>
    <xf numFmtId="0" fontId="40" fillId="12" borderId="86" xfId="0" applyNumberFormat="1" applyFont="1" applyFill="1" applyBorder="1" applyAlignment="1" applyProtection="1">
      <alignment horizontal="center" vertical="center"/>
    </xf>
    <xf numFmtId="0" fontId="40" fillId="12" borderId="16" xfId="0" applyNumberFormat="1" applyFont="1" applyFill="1" applyBorder="1" applyAlignment="1" applyProtection="1">
      <alignment horizontal="center" vertical="center"/>
    </xf>
    <xf numFmtId="0" fontId="87" fillId="0" borderId="0" xfId="162" applyFont="1" applyBorder="1"/>
    <xf numFmtId="0" fontId="47" fillId="23" borderId="125" xfId="188" applyNumberFormat="1" applyFont="1" applyFill="1" applyBorder="1" applyAlignment="1">
      <alignment horizontal="left"/>
    </xf>
    <xf numFmtId="3" fontId="26" fillId="0" borderId="111" xfId="3" applyNumberFormat="1" applyFont="1" applyBorder="1"/>
    <xf numFmtId="1" fontId="0" fillId="0" borderId="0" xfId="0" applyNumberFormat="1"/>
    <xf numFmtId="0" fontId="26" fillId="0" borderId="200" xfId="3" applyNumberFormat="1" applyFont="1" applyBorder="1"/>
    <xf numFmtId="0" fontId="0" fillId="0" borderId="200" xfId="0" applyNumberFormat="1" applyBorder="1"/>
    <xf numFmtId="0" fontId="7" fillId="0" borderId="0" xfId="175"/>
  </cellXfs>
  <cellStyles count="189">
    <cellStyle name="20% - Accent1 2" xfId="165"/>
    <cellStyle name="AggCels_T(2)" xfId="8"/>
    <cellStyle name="Background table" xfId="9"/>
    <cellStyle name="Bad 3" xfId="10"/>
    <cellStyle name="Bron" xfId="11"/>
    <cellStyle name="Calc cel" xfId="12"/>
    <cellStyle name="Calc cel 2" xfId="13"/>
    <cellStyle name="Calc cel 3" xfId="14"/>
    <cellStyle name="Comma 2" xfId="15"/>
    <cellStyle name="Comma 3" xfId="159"/>
    <cellStyle name="Cover" xfId="16"/>
    <cellStyle name="Currency 0,0" xfId="17"/>
    <cellStyle name="Dezimal [0]_Input" xfId="18"/>
    <cellStyle name="Dezimal_Input" xfId="19"/>
    <cellStyle name="Euro" xfId="20"/>
    <cellStyle name="Heading 1" xfId="1" builtinId="16"/>
    <cellStyle name="Heading 1 2" xfId="155"/>
    <cellStyle name="Heading 1 3" xfId="178"/>
    <cellStyle name="Heading 2 2" xfId="163"/>
    <cellStyle name="Heading 3" xfId="2" builtinId="18"/>
    <cellStyle name="Heading 3 2" xfId="156"/>
    <cellStyle name="Heading 3 2 2" xfId="188"/>
    <cellStyle name="Heading 3 3" xfId="179"/>
    <cellStyle name="Heading 4" xfId="3" builtinId="19"/>
    <cellStyle name="Heading 4 2" xfId="157"/>
    <cellStyle name="Heading 4 3" xfId="180"/>
    <cellStyle name="Hyperlink" xfId="150" builtinId="8"/>
    <cellStyle name="Hyperlink 2" xfId="21"/>
    <cellStyle name="Hyperlink 3" xfId="173"/>
    <cellStyle name="Input cel" xfId="22"/>
    <cellStyle name="Input cel 2" xfId="23"/>
    <cellStyle name="Input cel 3" xfId="24"/>
    <cellStyle name="Input cel new" xfId="25"/>
    <cellStyle name="Input cel new 2" xfId="26"/>
    <cellStyle name="Input cel new 2 2" xfId="170"/>
    <cellStyle name="Input cel new 2 2 2" xfId="186"/>
    <cellStyle name="Input cel new 2 3" xfId="182"/>
    <cellStyle name="Input cel new 3" xfId="27"/>
    <cellStyle name="Input cel new 3 2" xfId="171"/>
    <cellStyle name="Input cel new 3 2 2" xfId="187"/>
    <cellStyle name="Input cel new 3 3" xfId="183"/>
    <cellStyle name="Input cel new 4" xfId="169"/>
    <cellStyle name="Input cel new 4 2" xfId="185"/>
    <cellStyle name="Input cel new 5" xfId="181"/>
    <cellStyle name="Komma 2" xfId="28"/>
    <cellStyle name="Menu" xfId="29"/>
    <cellStyle name="Milliers [0]_Oilques" xfId="30"/>
    <cellStyle name="Milliers_Oilques" xfId="31"/>
    <cellStyle name="Monétaire [0]_Oilques" xfId="32"/>
    <cellStyle name="Monétaire_Oilques" xfId="33"/>
    <cellStyle name="Neutral 2" xfId="164"/>
    <cellStyle name="Normal" xfId="0" builtinId="0"/>
    <cellStyle name="Normal 10" xfId="152"/>
    <cellStyle name="Normal 10 2" xfId="167"/>
    <cellStyle name="Normal 11" xfId="158"/>
    <cellStyle name="Normal 12" xfId="160"/>
    <cellStyle name="Normal 13" xfId="161"/>
    <cellStyle name="Normal 14" xfId="176"/>
    <cellStyle name="Normal 15" xfId="175"/>
    <cellStyle name="Normal 16" xfId="184"/>
    <cellStyle name="Normal 2" xfId="5"/>
    <cellStyle name="Normal 2 2" xfId="34"/>
    <cellStyle name="Normal 3" xfId="6"/>
    <cellStyle name="Normal 3 2" xfId="35"/>
    <cellStyle name="Normal 3 2 2" xfId="55"/>
    <cellStyle name="Normal 3 3" xfId="56"/>
    <cellStyle name="Normal 4" xfId="36"/>
    <cellStyle name="Normal 4 2" xfId="57"/>
    <cellStyle name="Normal 5" xfId="37"/>
    <cellStyle name="Normal 5 10" xfId="58"/>
    <cellStyle name="Normal 5 10 2" xfId="59"/>
    <cellStyle name="Normal 5 11" xfId="60"/>
    <cellStyle name="Normal 5 11 2" xfId="61"/>
    <cellStyle name="Normal 5 12" xfId="62"/>
    <cellStyle name="Normal 5 12 2" xfId="63"/>
    <cellStyle name="Normal 5 13" xfId="64"/>
    <cellStyle name="Normal 5 13 2" xfId="65"/>
    <cellStyle name="Normal 5 14" xfId="66"/>
    <cellStyle name="Normal 5 14 2" xfId="67"/>
    <cellStyle name="Normal 5 15" xfId="68"/>
    <cellStyle name="Normal 5 15 2" xfId="69"/>
    <cellStyle name="Normal 5 16" xfId="70"/>
    <cellStyle name="Normal 5 16 2" xfId="71"/>
    <cellStyle name="Normal 5 17" xfId="72"/>
    <cellStyle name="Normal 5 17 2" xfId="73"/>
    <cellStyle name="Normal 5 18" xfId="74"/>
    <cellStyle name="Normal 5 18 2" xfId="75"/>
    <cellStyle name="Normal 5 19" xfId="76"/>
    <cellStyle name="Normal 5 19 2" xfId="77"/>
    <cellStyle name="Normal 5 2" xfId="78"/>
    <cellStyle name="Normal 5 2 2" xfId="79"/>
    <cellStyle name="Normal 5 20" xfId="80"/>
    <cellStyle name="Normal 5 20 2" xfId="81"/>
    <cellStyle name="Normal 5 21" xfId="82"/>
    <cellStyle name="Normal 5 21 2" xfId="83"/>
    <cellStyle name="Normal 5 22" xfId="84"/>
    <cellStyle name="Normal 5 22 2" xfId="85"/>
    <cellStyle name="Normal 5 23" xfId="86"/>
    <cellStyle name="Normal 5 3" xfId="87"/>
    <cellStyle name="Normal 5 3 2" xfId="88"/>
    <cellStyle name="Normal 5 4" xfId="89"/>
    <cellStyle name="Normal 5 4 2" xfId="90"/>
    <cellStyle name="Normal 5 5" xfId="91"/>
    <cellStyle name="Normal 5 5 2" xfId="92"/>
    <cellStyle name="Normal 5 6" xfId="93"/>
    <cellStyle name="Normal 5 6 2" xfId="94"/>
    <cellStyle name="Normal 5 7" xfId="95"/>
    <cellStyle name="Normal 5 7 2" xfId="96"/>
    <cellStyle name="Normal 5 8" xfId="97"/>
    <cellStyle name="Normal 5 8 2" xfId="98"/>
    <cellStyle name="Normal 5 9" xfId="99"/>
    <cellStyle name="Normal 5 9 2" xfId="100"/>
    <cellStyle name="Normal 5_INTERIM BEREKENINGEN Landbouw" xfId="101"/>
    <cellStyle name="Normal 6" xfId="38"/>
    <cellStyle name="Normal 7" xfId="4"/>
    <cellStyle name="Normal 8" xfId="151"/>
    <cellStyle name="Normal 8 2" xfId="168"/>
    <cellStyle name="Normal 9" xfId="153"/>
    <cellStyle name="Normal GHG Numbers (0.00)" xfId="39"/>
    <cellStyle name="Normal_Sheet1" xfId="7"/>
    <cellStyle name="Note 2" xfId="40"/>
    <cellStyle name="Percent" xfId="54" builtinId="5"/>
    <cellStyle name="Percent 2" xfId="41"/>
    <cellStyle name="Percent 2 2" xfId="42"/>
    <cellStyle name="Percent 3" xfId="43"/>
    <cellStyle name="Percent 4" xfId="44"/>
    <cellStyle name="Percent 5" xfId="166"/>
    <cellStyle name="Percent 5 2" xfId="172"/>
    <cellStyle name="Percent 6" xfId="174"/>
    <cellStyle name="Procent 2" xfId="45"/>
    <cellStyle name="Standaard 10" xfId="102"/>
    <cellStyle name="Standaard 11" xfId="103"/>
    <cellStyle name="Standaard 12" xfId="104"/>
    <cellStyle name="Standaard 12 2" xfId="105"/>
    <cellStyle name="Standaard 13" xfId="106"/>
    <cellStyle name="Standaard 13 2" xfId="107"/>
    <cellStyle name="Standaard 14" xfId="108"/>
    <cellStyle name="Standaard 14 2" xfId="109"/>
    <cellStyle name="Standaard 15" xfId="110"/>
    <cellStyle name="Standaard 15 2" xfId="111"/>
    <cellStyle name="Standaard 16" xfId="112"/>
    <cellStyle name="Standaard 16 2" xfId="113"/>
    <cellStyle name="Standaard 17" xfId="114"/>
    <cellStyle name="Standaard 17 2" xfId="115"/>
    <cellStyle name="Standaard 18" xfId="116"/>
    <cellStyle name="Standaard 18 2" xfId="117"/>
    <cellStyle name="Standaard 19" xfId="118"/>
    <cellStyle name="Standaard 19 2" xfId="119"/>
    <cellStyle name="Standaard 2" xfId="120"/>
    <cellStyle name="Standaard 2 2" xfId="121"/>
    <cellStyle name="Standaard 2 3" xfId="122"/>
    <cellStyle name="Standaard 2 4" xfId="123"/>
    <cellStyle name="Standaard 20" xfId="124"/>
    <cellStyle name="Standaard 20 2" xfId="125"/>
    <cellStyle name="Standaard 21" xfId="126"/>
    <cellStyle name="Standaard 21 2" xfId="127"/>
    <cellStyle name="Standaard 22" xfId="128"/>
    <cellStyle name="Standaard 22 2" xfId="129"/>
    <cellStyle name="Standaard 23" xfId="130"/>
    <cellStyle name="Standaard 23 2" xfId="131"/>
    <cellStyle name="Standaard 24" xfId="132"/>
    <cellStyle name="Standaard 24 2" xfId="133"/>
    <cellStyle name="Standaard 24 2 2" xfId="134"/>
    <cellStyle name="Standaard 24 3" xfId="135"/>
    <cellStyle name="Standaard 25" xfId="136"/>
    <cellStyle name="Standaard 25 2" xfId="137"/>
    <cellStyle name="Standaard 26" xfId="138"/>
    <cellStyle name="Standaard 26 2" xfId="139"/>
    <cellStyle name="Standaard 3" xfId="140"/>
    <cellStyle name="Standaard 4" xfId="141"/>
    <cellStyle name="Standaard 4 2" xfId="142"/>
    <cellStyle name="Standaard 5" xfId="143"/>
    <cellStyle name="Standaard 6" xfId="144"/>
    <cellStyle name="Standaard 7" xfId="145"/>
    <cellStyle name="Standaard 7 2" xfId="146"/>
    <cellStyle name="Standaard 8" xfId="147"/>
    <cellStyle name="Standaard 8 2" xfId="148"/>
    <cellStyle name="Standaard 9" xfId="149"/>
    <cellStyle name="Standard_Aggregate CO2 balance" xfId="46"/>
    <cellStyle name="Tabeltitel" xfId="47"/>
    <cellStyle name="Titel" xfId="48"/>
    <cellStyle name="Title 2" xfId="154"/>
    <cellStyle name="Title 3" xfId="162"/>
    <cellStyle name="Title 4" xfId="177"/>
    <cellStyle name="W?rung [0]_Input" xfId="49"/>
    <cellStyle name="W?rung_Input" xfId="50"/>
    <cellStyle name="Währung [0]_Input" xfId="51"/>
    <cellStyle name="Währung_Input" xfId="52"/>
    <cellStyle name="Year" xfId="53"/>
  </cellStyles>
  <dxfs count="22">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dxf>
    <dxf>
      <numFmt numFmtId="13" formatCode="0%"/>
      <fill>
        <patternFill patternType="none">
          <fgColor indexed="64"/>
          <bgColor indexed="65"/>
        </patternFill>
      </fill>
    </dxf>
    <dxf>
      <numFmt numFmtId="13" formatCode="0%"/>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relativeIndent="255" justifyLastLine="0" shrinkToFit="0" readingOrder="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hartsheet" Target="chartsheets/sheet1.xml"/><Relationship Id="rId13" Type="http://schemas.openxmlformats.org/officeDocument/2006/relationships/worksheet" Target="worksheets/sheet9.xml"/><Relationship Id="rId18" Type="http://schemas.openxmlformats.org/officeDocument/2006/relationships/worksheet" Target="worksheets/sheet14.xml"/><Relationship Id="rId26" Type="http://schemas.openxmlformats.org/officeDocument/2006/relationships/worksheet" Target="worksheets/sheet22.xml"/><Relationship Id="rId39"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worksheet" Target="worksheets/sheet17.xml"/><Relationship Id="rId34" Type="http://schemas.openxmlformats.org/officeDocument/2006/relationships/worksheet" Target="worksheets/sheet30.xml"/><Relationship Id="rId7" Type="http://schemas.openxmlformats.org/officeDocument/2006/relationships/worksheet" Target="worksheets/sheet7.xml"/><Relationship Id="rId12" Type="http://schemas.openxmlformats.org/officeDocument/2006/relationships/worksheet" Target="worksheets/sheet8.xml"/><Relationship Id="rId17" Type="http://schemas.openxmlformats.org/officeDocument/2006/relationships/worksheet" Target="worksheets/sheet13.xml"/><Relationship Id="rId25" Type="http://schemas.openxmlformats.org/officeDocument/2006/relationships/worksheet" Target="worksheets/sheet21.xml"/><Relationship Id="rId33" Type="http://schemas.openxmlformats.org/officeDocument/2006/relationships/worksheet" Target="worksheets/sheet29.xml"/><Relationship Id="rId38"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2.xml"/><Relationship Id="rId20" Type="http://schemas.openxmlformats.org/officeDocument/2006/relationships/worksheet" Target="worksheets/sheet16.xml"/><Relationship Id="rId29" Type="http://schemas.openxmlformats.org/officeDocument/2006/relationships/worksheet" Target="worksheets/sheet25.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hartsheet" Target="chartsheets/sheet4.xml"/><Relationship Id="rId24" Type="http://schemas.openxmlformats.org/officeDocument/2006/relationships/worksheet" Target="worksheets/sheet20.xml"/><Relationship Id="rId32" Type="http://schemas.openxmlformats.org/officeDocument/2006/relationships/worksheet" Target="worksheets/sheet28.xml"/><Relationship Id="rId37" Type="http://schemas.openxmlformats.org/officeDocument/2006/relationships/theme" Target="theme/theme1.xml"/><Relationship Id="rId40"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1.xml"/><Relationship Id="rId23" Type="http://schemas.openxmlformats.org/officeDocument/2006/relationships/worksheet" Target="worksheets/sheet19.xml"/><Relationship Id="rId28" Type="http://schemas.openxmlformats.org/officeDocument/2006/relationships/worksheet" Target="worksheets/sheet24.xml"/><Relationship Id="rId36" Type="http://schemas.openxmlformats.org/officeDocument/2006/relationships/worksheet" Target="worksheets/sheet32.xml"/><Relationship Id="rId10" Type="http://schemas.openxmlformats.org/officeDocument/2006/relationships/chartsheet" Target="chartsheets/sheet3.xml"/><Relationship Id="rId19" Type="http://schemas.openxmlformats.org/officeDocument/2006/relationships/worksheet" Target="worksheets/sheet15.xml"/><Relationship Id="rId31" Type="http://schemas.openxmlformats.org/officeDocument/2006/relationships/worksheet" Target="worksheets/sheet27.xml"/><Relationship Id="rId4" Type="http://schemas.openxmlformats.org/officeDocument/2006/relationships/worksheet" Target="worksheets/sheet4.xml"/><Relationship Id="rId9" Type="http://schemas.openxmlformats.org/officeDocument/2006/relationships/chartsheet" Target="chartsheets/sheet2.xml"/><Relationship Id="rId14" Type="http://schemas.openxmlformats.org/officeDocument/2006/relationships/worksheet" Target="worksheets/sheet10.xml"/><Relationship Id="rId22" Type="http://schemas.openxmlformats.org/officeDocument/2006/relationships/worksheet" Target="worksheets/sheet18.xml"/><Relationship Id="rId27" Type="http://schemas.openxmlformats.org/officeDocument/2006/relationships/worksheet" Target="worksheets/sheet23.xml"/><Relationship Id="rId30" Type="http://schemas.openxmlformats.org/officeDocument/2006/relationships/worksheet" Target="worksheets/sheet26.xml"/><Relationship Id="rId35" Type="http://schemas.openxmlformats.org/officeDocument/2006/relationships/worksheet" Target="worksheets/sheet31.xml"/></Relationships>
</file>

<file path=xl/charts/chart1.xml><?xml version="1.0" encoding="utf-8"?>
<c:chartSpace xmlns:c="http://schemas.openxmlformats.org/drawingml/2006/chart" xmlns:a="http://schemas.openxmlformats.org/drawingml/2006/main" xmlns:r="http://schemas.openxmlformats.org/officeDocument/2006/relationships">
  <c:lang val="nl-BE"/>
  <c:chart>
    <c:title/>
    <c:plotArea>
      <c:layout/>
      <c:barChart>
        <c:barDir val="col"/>
        <c:grouping val="clustered"/>
        <c:ser>
          <c:idx val="0"/>
          <c:order val="0"/>
          <c:tx>
            <c:v>Finaal energieverbruik (in MWh)</c:v>
          </c:tx>
          <c:cat>
            <c:strRef>
              <c:f>'Inventaris 2014'!$A$4:$A$13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2014'!$Q$4:$Q$13</c:f>
              <c:numCache>
                <c:formatCode>#,##0</c:formatCode>
                <c:ptCount val="10"/>
                <c:pt idx="0">
                  <c:v>73163.413339544859</c:v>
                </c:pt>
                <c:pt idx="1">
                  <c:v>10908.042378922282</c:v>
                </c:pt>
                <c:pt idx="2">
                  <c:v>552.26099999999997</c:v>
                </c:pt>
                <c:pt idx="3">
                  <c:v>8477.6499002614873</c:v>
                </c:pt>
                <c:pt idx="4">
                  <c:v>102233.31602182363</c:v>
                </c:pt>
                <c:pt idx="5">
                  <c:v>29878.417442602335</c:v>
                </c:pt>
                <c:pt idx="6">
                  <c:v>445.48907553528005</c:v>
                </c:pt>
                <c:pt idx="7">
                  <c:v>0</c:v>
                </c:pt>
                <c:pt idx="8">
                  <c:v>0</c:v>
                </c:pt>
                <c:pt idx="9">
                  <c:v>0</c:v>
                </c:pt>
              </c:numCache>
            </c:numRef>
          </c:val>
          <c:extLst xmlns:c16r2="http://schemas.microsoft.com/office/drawing/2015/06/chart">
            <c:ext xmlns:c16="http://schemas.microsoft.com/office/drawing/2014/chart" uri="{C3380CC4-5D6E-409C-BE32-E72D297353CC}">
              <c16:uniqueId val="{00000000-8EAD-4C49-A963-450B68E3499A}"/>
            </c:ext>
          </c:extLst>
        </c:ser>
        <c:dLbls/>
        <c:axId val="143024512"/>
        <c:axId val="143026048"/>
      </c:barChart>
      <c:catAx>
        <c:axId val="143024512"/>
        <c:scaling>
          <c:orientation val="minMax"/>
        </c:scaling>
        <c:axPos val="b"/>
        <c:numFmt formatCode="General" sourceLinked="0"/>
        <c:tickLblPos val="nextTo"/>
        <c:crossAx val="143026048"/>
        <c:crosses val="autoZero"/>
        <c:auto val="1"/>
        <c:lblAlgn val="ctr"/>
        <c:lblOffset val="100"/>
      </c:catAx>
      <c:valAx>
        <c:axId val="143026048"/>
        <c:scaling>
          <c:orientation val="minMax"/>
        </c:scaling>
        <c:axPos val="l"/>
        <c:majorGridlines/>
        <c:numFmt formatCode="#,##0" sourceLinked="1"/>
        <c:tickLblPos val="nextTo"/>
        <c:crossAx val="143024512"/>
        <c:crosses val="autoZero"/>
        <c:crossBetween val="between"/>
      </c:valAx>
    </c:plotArea>
    <c:legend>
      <c:legendPos val="b"/>
    </c:legend>
    <c:plotVisOnly val="1"/>
    <c:dispBlanksAs val="gap"/>
  </c:chart>
</c:chartSpace>
</file>

<file path=xl/charts/chart2.xml><?xml version="1.0" encoding="utf-8"?>
<c:chartSpace xmlns:c="http://schemas.openxmlformats.org/drawingml/2006/chart" xmlns:a="http://schemas.openxmlformats.org/drawingml/2006/main" xmlns:r="http://schemas.openxmlformats.org/officeDocument/2006/relationships">
  <c:lang val="nl-BE"/>
  <c:chart>
    <c:title>
      <c:tx>
        <c:rich>
          <a:bodyPr/>
          <a:lstStyle/>
          <a:p>
            <a:pPr>
              <a:defRPr/>
            </a:pPr>
            <a:r>
              <a:rPr lang="en-US"/>
              <a:t>Finaal Energieverbruik </a:t>
            </a:r>
          </a:p>
        </c:rich>
      </c:tx>
    </c:title>
    <c:plotArea>
      <c:layout/>
      <c:pieChart>
        <c:varyColors val="1"/>
        <c:ser>
          <c:idx val="0"/>
          <c:order val="0"/>
          <c:dLbls>
            <c:dLbl>
              <c:idx val="7"/>
              <c:layout>
                <c:manualLayout>
                  <c:x val="-6.6303269166603673E-2"/>
                  <c:y val="-2.6798671305577438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0-BF12-45B9-854A-D20BD611B417}"/>
                </c:ext>
              </c:extLst>
            </c:dLbl>
            <c:dLbl>
              <c:idx val="8"/>
              <c:layout>
                <c:manualLayout>
                  <c:x val="0.17870678697416897"/>
                  <c:y val="1.1453198047722955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1-BF12-45B9-854A-D20BD611B417}"/>
                </c:ext>
              </c:extLst>
            </c:dLbl>
            <c:dLbl>
              <c:idx val="9"/>
              <c:layout>
                <c:manualLayout>
                  <c:x val="2.2091845295908168E-2"/>
                  <c:y val="-3.6754637301641926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2-BF12-45B9-854A-D20BD611B417}"/>
                </c:ext>
              </c:extLst>
            </c:dLbl>
            <c:numFmt formatCode="0.00%" sourceLinked="0"/>
            <c:spPr>
              <a:noFill/>
              <a:ln>
                <a:noFill/>
              </a:ln>
              <a:effectLst/>
            </c:spPr>
            <c:showPercent val="1"/>
            <c:showLeaderLines val="1"/>
            <c:extLst xmlns:c16r2="http://schemas.microsoft.com/office/drawing/2015/06/chart">
              <c:ext xmlns:c15="http://schemas.microsoft.com/office/drawing/2012/chart" uri="{CE6537A1-D6FC-4f65-9D91-7224C49458BB}"/>
            </c:extLst>
          </c:dLbls>
          <c:cat>
            <c:strRef>
              <c:f>'Inventaris 2014'!$A$4:$A$13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2014'!$Q$4:$Q$13</c:f>
              <c:numCache>
                <c:formatCode>#,##0</c:formatCode>
                <c:ptCount val="10"/>
                <c:pt idx="0">
                  <c:v>73163.413339544859</c:v>
                </c:pt>
                <c:pt idx="1">
                  <c:v>10908.042378922282</c:v>
                </c:pt>
                <c:pt idx="2">
                  <c:v>552.26099999999997</c:v>
                </c:pt>
                <c:pt idx="3">
                  <c:v>8477.6499002614873</c:v>
                </c:pt>
                <c:pt idx="4">
                  <c:v>102233.31602182363</c:v>
                </c:pt>
                <c:pt idx="5">
                  <c:v>29878.417442602335</c:v>
                </c:pt>
                <c:pt idx="6">
                  <c:v>445.48907553528005</c:v>
                </c:pt>
                <c:pt idx="7">
                  <c:v>0</c:v>
                </c:pt>
                <c:pt idx="8">
                  <c:v>0</c:v>
                </c:pt>
                <c:pt idx="9">
                  <c:v>0</c:v>
                </c:pt>
              </c:numCache>
            </c:numRef>
          </c:val>
          <c:extLst xmlns:c16r2="http://schemas.microsoft.com/office/drawing/2015/06/chart">
            <c:ext xmlns:c16="http://schemas.microsoft.com/office/drawing/2014/chart" uri="{C3380CC4-5D6E-409C-BE32-E72D297353CC}">
              <c16:uniqueId val="{00000003-BF12-45B9-854A-D20BD611B417}"/>
            </c:ext>
          </c:extLst>
        </c:ser>
        <c:dLbls>
          <c:showPercent val="1"/>
        </c:dLbls>
        <c:firstSliceAng val="0"/>
      </c:pieChart>
    </c:plotArea>
    <c:legend>
      <c:legendPos val="r"/>
    </c:legend>
    <c:plotVisOnly val="1"/>
    <c:dispBlanksAs val="zero"/>
  </c:chart>
</c:chartSpace>
</file>

<file path=xl/charts/chart3.xml><?xml version="1.0" encoding="utf-8"?>
<c:chartSpace xmlns:c="http://schemas.openxmlformats.org/drawingml/2006/chart" xmlns:a="http://schemas.openxmlformats.org/drawingml/2006/main" xmlns:r="http://schemas.openxmlformats.org/officeDocument/2006/relationships">
  <c:lang val="nl-BE"/>
  <c:chart>
    <c:title/>
    <c:plotArea>
      <c:layout/>
      <c:barChart>
        <c:barDir val="col"/>
        <c:grouping val="clustered"/>
        <c:ser>
          <c:idx val="0"/>
          <c:order val="0"/>
          <c:tx>
            <c:v>CO2 emissies (in ton)</c:v>
          </c:tx>
          <c:cat>
            <c:strRef>
              <c:f>'Inventaris 2014'!$A$21:$A$30</c:f>
              <c:strCache>
                <c:ptCount val="10"/>
                <c:pt idx="1">
                  <c:v>huishoudens</c:v>
                </c:pt>
                <c:pt idx="2">
                  <c:v>tertiair</c:v>
                </c:pt>
                <c:pt idx="3">
                  <c:v>openbare verlichting</c:v>
                </c:pt>
                <c:pt idx="4">
                  <c:v>landbouw</c:v>
                </c:pt>
                <c:pt idx="5">
                  <c:v>industrie (niet-ETS)</c:v>
                </c:pt>
                <c:pt idx="6">
                  <c:v>particulier en commercieel vervoer</c:v>
                </c:pt>
                <c:pt idx="7">
                  <c:v>openbaar vervoer</c:v>
                </c:pt>
                <c:pt idx="8">
                  <c:v>eigen gebouwen</c:v>
                </c:pt>
                <c:pt idx="9">
                  <c:v>eigen openbare verlichting</c:v>
                </c:pt>
              </c:strCache>
            </c:strRef>
          </c:cat>
          <c:val>
            <c:numRef>
              <c:f>'Inventaris 2014'!$Q$21:$Q$30</c:f>
              <c:numCache>
                <c:formatCode>#,##0</c:formatCode>
                <c:ptCount val="10"/>
                <c:pt idx="0">
                  <c:v>0</c:v>
                </c:pt>
                <c:pt idx="1">
                  <c:v>14511.71585724376</c:v>
                </c:pt>
                <c:pt idx="2">
                  <c:v>2128.3604137593143</c:v>
                </c:pt>
                <c:pt idx="3">
                  <c:v>113.23654241657445</c:v>
                </c:pt>
                <c:pt idx="4">
                  <c:v>2026.2665069173172</c:v>
                </c:pt>
                <c:pt idx="5">
                  <c:v>20391.356287149334</c:v>
                </c:pt>
                <c:pt idx="6">
                  <c:v>7481.8226212126665</c:v>
                </c:pt>
                <c:pt idx="7">
                  <c:v>112.52841566083457</c:v>
                </c:pt>
                <c:pt idx="8">
                  <c:v>0</c:v>
                </c:pt>
                <c:pt idx="9">
                  <c:v>0</c:v>
                </c:pt>
              </c:numCache>
            </c:numRef>
          </c:val>
          <c:extLst xmlns:c16r2="http://schemas.microsoft.com/office/drawing/2015/06/chart">
            <c:ext xmlns:c16="http://schemas.microsoft.com/office/drawing/2014/chart" uri="{C3380CC4-5D6E-409C-BE32-E72D297353CC}">
              <c16:uniqueId val="{00000000-0DEA-49E9-8268-F5FC3FF71B83}"/>
            </c:ext>
          </c:extLst>
        </c:ser>
        <c:dLbls/>
        <c:axId val="147172352"/>
        <c:axId val="147178240"/>
      </c:barChart>
      <c:catAx>
        <c:axId val="147172352"/>
        <c:scaling>
          <c:orientation val="minMax"/>
        </c:scaling>
        <c:axPos val="b"/>
        <c:numFmt formatCode="General" sourceLinked="0"/>
        <c:tickLblPos val="nextTo"/>
        <c:crossAx val="147178240"/>
        <c:crosses val="autoZero"/>
        <c:auto val="1"/>
        <c:lblAlgn val="ctr"/>
        <c:lblOffset val="100"/>
      </c:catAx>
      <c:valAx>
        <c:axId val="147178240"/>
        <c:scaling>
          <c:orientation val="minMax"/>
        </c:scaling>
        <c:axPos val="l"/>
        <c:majorGridlines/>
        <c:numFmt formatCode="#,##0" sourceLinked="1"/>
        <c:tickLblPos val="nextTo"/>
        <c:crossAx val="147172352"/>
        <c:crosses val="autoZero"/>
        <c:crossBetween val="between"/>
      </c:valAx>
    </c:plotArea>
    <c:legend>
      <c:legendPos val="b"/>
    </c:legend>
    <c:plotVisOnly val="1"/>
    <c:dispBlanksAs val="gap"/>
  </c:chart>
</c:chartSpace>
</file>

<file path=xl/charts/chart4.xml><?xml version="1.0" encoding="utf-8"?>
<c:chartSpace xmlns:c="http://schemas.openxmlformats.org/drawingml/2006/chart" xmlns:a="http://schemas.openxmlformats.org/drawingml/2006/main" xmlns:r="http://schemas.openxmlformats.org/officeDocument/2006/relationships">
  <c:lang val="nl-BE"/>
  <c:chart>
    <c:title>
      <c:tx>
        <c:rich>
          <a:bodyPr/>
          <a:lstStyle/>
          <a:p>
            <a:pPr>
              <a:defRPr/>
            </a:pPr>
            <a:r>
              <a:rPr lang="en-US"/>
              <a:t>CO2 emissies</a:t>
            </a:r>
          </a:p>
        </c:rich>
      </c:tx>
    </c:title>
    <c:plotArea>
      <c:layout/>
      <c:pieChart>
        <c:varyColors val="1"/>
        <c:ser>
          <c:idx val="0"/>
          <c:order val="0"/>
          <c:dLbls>
            <c:numFmt formatCode="0.00%" sourceLinked="0"/>
            <c:spPr>
              <a:noFill/>
              <a:ln>
                <a:noFill/>
              </a:ln>
              <a:effectLst/>
            </c:spPr>
            <c:showPercent val="1"/>
            <c:showLeaderLines val="1"/>
            <c:extLst xmlns:c16r2="http://schemas.microsoft.com/office/drawing/2015/06/chart">
              <c:ext xmlns:c15="http://schemas.microsoft.com/office/drawing/2012/chart" uri="{CE6537A1-D6FC-4f65-9D91-7224C49458BB}"/>
            </c:extLst>
          </c:dLbls>
          <c:cat>
            <c:strRef>
              <c:f>'Inventaris 2014'!$A$21:$A$30</c:f>
              <c:strCache>
                <c:ptCount val="10"/>
                <c:pt idx="1">
                  <c:v>huishoudens</c:v>
                </c:pt>
                <c:pt idx="2">
                  <c:v>tertiair</c:v>
                </c:pt>
                <c:pt idx="3">
                  <c:v>openbare verlichting</c:v>
                </c:pt>
                <c:pt idx="4">
                  <c:v>landbouw</c:v>
                </c:pt>
                <c:pt idx="5">
                  <c:v>industrie (niet-ETS)</c:v>
                </c:pt>
                <c:pt idx="6">
                  <c:v>particulier en commercieel vervoer</c:v>
                </c:pt>
                <c:pt idx="7">
                  <c:v>openbaar vervoer</c:v>
                </c:pt>
                <c:pt idx="8">
                  <c:v>eigen gebouwen</c:v>
                </c:pt>
                <c:pt idx="9">
                  <c:v>eigen openbare verlichting</c:v>
                </c:pt>
              </c:strCache>
            </c:strRef>
          </c:cat>
          <c:val>
            <c:numRef>
              <c:f>'Inventaris 2014'!$Q$21:$Q$30</c:f>
              <c:numCache>
                <c:formatCode>#,##0</c:formatCode>
                <c:ptCount val="10"/>
                <c:pt idx="0">
                  <c:v>0</c:v>
                </c:pt>
                <c:pt idx="1">
                  <c:v>14511.71585724376</c:v>
                </c:pt>
                <c:pt idx="2">
                  <c:v>2128.3604137593143</c:v>
                </c:pt>
                <c:pt idx="3">
                  <c:v>113.23654241657445</c:v>
                </c:pt>
                <c:pt idx="4">
                  <c:v>2026.2665069173172</c:v>
                </c:pt>
                <c:pt idx="5">
                  <c:v>20391.356287149334</c:v>
                </c:pt>
                <c:pt idx="6">
                  <c:v>7481.8226212126665</c:v>
                </c:pt>
                <c:pt idx="7">
                  <c:v>112.52841566083457</c:v>
                </c:pt>
                <c:pt idx="8">
                  <c:v>0</c:v>
                </c:pt>
                <c:pt idx="9">
                  <c:v>0</c:v>
                </c:pt>
              </c:numCache>
            </c:numRef>
          </c:val>
          <c:extLst xmlns:c16r2="http://schemas.microsoft.com/office/drawing/2015/06/chart">
            <c:ext xmlns:c16="http://schemas.microsoft.com/office/drawing/2014/chart" uri="{C3380CC4-5D6E-409C-BE32-E72D297353CC}">
              <c16:uniqueId val="{00000000-07F8-44A2-9A7A-184651F3CC8C}"/>
            </c:ext>
          </c:extLst>
        </c:ser>
        <c:dLbls>
          <c:showPercent val="1"/>
        </c:dLbls>
        <c:firstSliceAng val="0"/>
      </c:pieChart>
    </c:plotArea>
    <c:legend>
      <c:legendPos val="r"/>
    </c:legend>
    <c:plotVisOnly val="1"/>
    <c:dispBlanksAs val="zero"/>
  </c:chart>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3.xml"/></Relationships>
</file>

<file path=xl/chartsheets/_rels/sheet2.xml.rels><?xml version="1.0" encoding="UTF-8" standalone="yes"?>
<Relationships xmlns="http://schemas.openxmlformats.org/package/2006/relationships"><Relationship Id="rId1" Type="http://schemas.openxmlformats.org/officeDocument/2006/relationships/drawing" Target="../drawings/drawing4.xml"/></Relationships>
</file>

<file path=xl/chartsheets/_rels/sheet3.xml.rels><?xml version="1.0" encoding="UTF-8" standalone="yes"?>
<Relationships xmlns="http://schemas.openxmlformats.org/package/2006/relationships"><Relationship Id="rId1" Type="http://schemas.openxmlformats.org/officeDocument/2006/relationships/drawing" Target="../drawings/drawing5.xml"/></Relationships>
</file>

<file path=xl/chartsheets/_rels/sheet4.xml.rels><?xml version="1.0" encoding="UTF-8" standalone="yes"?>
<Relationships xmlns="http://schemas.openxmlformats.org/package/2006/relationships"><Relationship Id="rId1" Type="http://schemas.openxmlformats.org/officeDocument/2006/relationships/drawing" Target="../drawings/drawing6.xml"/></Relationships>
</file>

<file path=xl/chartsheets/sheet1.xml><?xml version="1.0" encoding="utf-8"?>
<chartsheet xmlns="http://schemas.openxmlformats.org/spreadsheetml/2006/main" xmlns:r="http://schemas.openxmlformats.org/officeDocument/2006/relationships">
  <sheetPr>
    <tabColor theme="6"/>
  </sheetPr>
  <sheetViews>
    <sheetView zoomScale="122" workbookViewId="0" zoomToFit="1"/>
  </sheetViews>
  <pageMargins left="0.7" right="0.7" top="0.75" bottom="0.75" header="0.3" footer="0.3"/>
  <drawing r:id="rId1"/>
</chartsheet>
</file>

<file path=xl/chartsheets/sheet2.xml><?xml version="1.0" encoding="utf-8"?>
<chartsheet xmlns="http://schemas.openxmlformats.org/spreadsheetml/2006/main" xmlns:r="http://schemas.openxmlformats.org/officeDocument/2006/relationships">
  <sheetPr>
    <tabColor theme="6"/>
  </sheetPr>
  <sheetViews>
    <sheetView zoomScale="115" workbookViewId="0" zoomToFit="1"/>
  </sheetViews>
  <pageMargins left="0.7" right="0.7" top="0.75" bottom="0.75" header="0.3" footer="0.3"/>
  <drawing r:id="rId1"/>
</chartsheet>
</file>

<file path=xl/chartsheets/sheet3.xml><?xml version="1.0" encoding="utf-8"?>
<chartsheet xmlns="http://schemas.openxmlformats.org/spreadsheetml/2006/main" xmlns:r="http://schemas.openxmlformats.org/officeDocument/2006/relationships">
  <sheetPr>
    <tabColor theme="6"/>
  </sheetPr>
  <sheetViews>
    <sheetView zoomScale="122" workbookViewId="0" zoomToFit="1"/>
  </sheetViews>
  <pageMargins left="0.7" right="0.7" top="0.75" bottom="0.75" header="0.3" footer="0.3"/>
  <drawing r:id="rId1"/>
</chartsheet>
</file>

<file path=xl/chartsheets/sheet4.xml><?xml version="1.0" encoding="utf-8"?>
<chartsheet xmlns="http://schemas.openxmlformats.org/spreadsheetml/2006/main" xmlns:r="http://schemas.openxmlformats.org/officeDocument/2006/relationships">
  <sheetPr>
    <tabColor theme="6"/>
  </sheetPr>
  <sheetViews>
    <sheetView zoomScale="122" workbookViewId="0" zoomToFit="1"/>
  </sheetViews>
  <pageMargins left="0.7" right="0.7" top="0.75" bottom="0.75" header="0.3" footer="0.3"/>
  <drawing r:id="rId1"/>
</chartsheet>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6.xml.rels><?xml version="1.0" encoding="UTF-8" standalone="yes"?>
<Relationships xmlns="http://schemas.openxmlformats.org/package/2006/relationships"><Relationship Id="rId1" Type="http://schemas.openxmlformats.org/officeDocument/2006/relationships/chart" Target="../charts/chart4.xml"/></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4.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5686425</xdr:colOff>
      <xdr:row>1</xdr:row>
      <xdr:rowOff>38100</xdr:rowOff>
    </xdr:from>
    <xdr:to>
      <xdr:col>2</xdr:col>
      <xdr:colOff>7707736</xdr:colOff>
      <xdr:row>3</xdr:row>
      <xdr:rowOff>162573</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0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525625" y="238125"/>
          <a:ext cx="2021311" cy="572148"/>
        </a:xfrm>
        <a:prstGeom prst="rect">
          <a:avLst/>
        </a:prstGeom>
        <a:noFill/>
      </xdr:spPr>
    </xdr:pic>
    <xdr:clientData/>
  </xdr:twoCellAnchor>
  <xdr:twoCellAnchor editAs="oneCell">
    <xdr:from>
      <xdr:col>2</xdr:col>
      <xdr:colOff>8029574</xdr:colOff>
      <xdr:row>1</xdr:row>
      <xdr:rowOff>47625</xdr:rowOff>
    </xdr:from>
    <xdr:to>
      <xdr:col>2</xdr:col>
      <xdr:colOff>9143999</xdr:colOff>
      <xdr:row>3</xdr:row>
      <xdr:rowOff>161925</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0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6868774" y="247650"/>
          <a:ext cx="1114425" cy="561975"/>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xmlns=""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xmlns="" id="{00000000-0008-0000-0100-000004000000}"/>
            </a:ext>
          </a:extLst>
        </xdr:cNvPr>
        <xdr:cNvPicPr>
          <a:picLocks noChangeAspect="1"/>
        </xdr:cNvPicPr>
      </xdr:nvPicPr>
      <xdr:blipFill>
        <a:blip xmlns:r="http://schemas.openxmlformats.org/officeDocument/2006/relationships" r:embed="rId3" cstate="print"/>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absoluteAnchor>
    <xdr:pos x="0" y="0"/>
    <xdr:ext cx="9290779" cy="6050717"/>
    <xdr:graphicFrame macro="">
      <xdr:nvGraphicFramePr>
        <xdr:cNvPr id="2" name="Chart 1">
          <a:extLst>
            <a:ext uri="{FF2B5EF4-FFF2-40B4-BE49-F238E27FC236}">
              <a16:creationId xmlns:a16="http://schemas.microsoft.com/office/drawing/2014/main" xmlns="" id="{00000000-0008-0000-04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xdr:wsDr xmlns:xdr="http://schemas.openxmlformats.org/drawingml/2006/spreadsheetDrawing" xmlns:a="http://schemas.openxmlformats.org/drawingml/2006/main">
  <xdr:absoluteAnchor>
    <xdr:pos x="0" y="0"/>
    <xdr:ext cx="9284804" cy="6046304"/>
    <xdr:graphicFrame macro="">
      <xdr:nvGraphicFramePr>
        <xdr:cNvPr id="2" name="Chart 1">
          <a:extLst>
            <a:ext uri="{FF2B5EF4-FFF2-40B4-BE49-F238E27FC236}">
              <a16:creationId xmlns:a16="http://schemas.microsoft.com/office/drawing/2014/main" xmlns="" id="{00000000-0008-0000-05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5.xml><?xml version="1.0" encoding="utf-8"?>
<xdr:wsDr xmlns:xdr="http://schemas.openxmlformats.org/drawingml/2006/spreadsheetDrawing" xmlns:a="http://schemas.openxmlformats.org/drawingml/2006/main">
  <xdr:absoluteAnchor>
    <xdr:pos x="0" y="0"/>
    <xdr:ext cx="9290779" cy="6050717"/>
    <xdr:graphicFrame macro="">
      <xdr:nvGraphicFramePr>
        <xdr:cNvPr id="2" name="Chart 1">
          <a:extLst>
            <a:ext uri="{FF2B5EF4-FFF2-40B4-BE49-F238E27FC236}">
              <a16:creationId xmlns:a16="http://schemas.microsoft.com/office/drawing/2014/main" xmlns="" id="{00000000-0008-0000-06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6.xml><?xml version="1.0" encoding="utf-8"?>
<xdr:wsDr xmlns:xdr="http://schemas.openxmlformats.org/drawingml/2006/spreadsheetDrawing" xmlns:a="http://schemas.openxmlformats.org/drawingml/2006/main">
  <xdr:absoluteAnchor>
    <xdr:pos x="0" y="0"/>
    <xdr:ext cx="9290779" cy="6050717"/>
    <xdr:graphicFrame macro="">
      <xdr:nvGraphicFramePr>
        <xdr:cNvPr id="2" name="Chart 1">
          <a:extLst>
            <a:ext uri="{FF2B5EF4-FFF2-40B4-BE49-F238E27FC236}">
              <a16:creationId xmlns:a16="http://schemas.microsoft.com/office/drawing/2014/main" xmlns="" id="{00000000-0008-0000-07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7.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8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8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9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A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xmlns="" id="{00000000-0008-0000-0B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1.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E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E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544936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F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17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xmlns="" id="{00000000-0008-0000-17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xmlns="" id="{00000000-0008-0000-17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15</xdr:col>
      <xdr:colOff>1130399</xdr:colOff>
      <xdr:row>0</xdr:row>
      <xdr:rowOff>0</xdr:rowOff>
    </xdr:from>
    <xdr:to>
      <xdr:col>21</xdr:col>
      <xdr:colOff>87138</xdr:colOff>
      <xdr:row>22</xdr:row>
      <xdr:rowOff>149677</xdr:rowOff>
    </xdr:to>
    <xdr:pic>
      <xdr:nvPicPr>
        <xdr:cNvPr id="2" name="Picture 1">
          <a:extLst>
            <a:ext uri="{FF2B5EF4-FFF2-40B4-BE49-F238E27FC236}">
              <a16:creationId xmlns:a16="http://schemas.microsoft.com/office/drawing/2014/main" xmlns="" id="{00000000-0008-0000-1E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twoCellAnchor editAs="oneCell">
    <xdr:from>
      <xdr:col>17</xdr:col>
      <xdr:colOff>1130399</xdr:colOff>
      <xdr:row>0</xdr:row>
      <xdr:rowOff>0</xdr:rowOff>
    </xdr:from>
    <xdr:to>
      <xdr:col>23</xdr:col>
      <xdr:colOff>719452</xdr:colOff>
      <xdr:row>22</xdr:row>
      <xdr:rowOff>149677</xdr:rowOff>
    </xdr:to>
    <xdr:pic>
      <xdr:nvPicPr>
        <xdr:cNvPr id="3" name="Picture 2">
          <a:extLst>
            <a:ext uri="{FF2B5EF4-FFF2-40B4-BE49-F238E27FC236}">
              <a16:creationId xmlns:a16="http://schemas.microsoft.com/office/drawing/2014/main" xmlns="" id="{B5194337-56D3-41FF-98BC-9CD5D8DDFA54}"/>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31029374" y="0"/>
          <a:ext cx="6597255" cy="5350327"/>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33" totalsRowShown="0" headerRowDxfId="21" dataDxfId="19" headerRowBorderDxfId="20" tableBorderDxfId="18">
  <autoFilter ref="A1:F33"/>
  <tableColumns count="6">
    <tableColumn id="1" name="Index" dataDxfId="17">
      <calculatedColumnFormula>CONCATENATE(TableECFTransport[[#This Row],[Voertuigtype]],"_",TableECFTransport[[#This Row],[Wegtype]],"_",TableECFTransport[[#This Row],[Brandstoftechnologie]],"_",TableECFTransport[[#This Row],[Brandstof]])</calculatedColumnFormula>
    </tableColumn>
    <tableColumn id="2" name="Voertuigtype" dataDxfId="16"/>
    <tableColumn id="3" name="Wegtype" dataDxfId="15"/>
    <tableColumn id="4" name="Brandstoftechnologie" dataDxfId="14"/>
    <tableColumn id="5" name="Brandstof" dataDxfId="13"/>
    <tableColumn id="6" name="EnergieConsumptieFactor (PJ per km)" dataDxfId="12"/>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11" dataDxfId="9" headerRowBorderDxfId="10" tableBorderDxfId="8">
  <autoFilter ref="A23:L25"/>
  <tableColumns count="12">
    <tableColumn id="1" name="Voertuigtype" dataDxfId="7"/>
    <tableColumn id="2" name="CNG"/>
    <tableColumn id="3" name="DIESEL" dataDxfId="6" dataCellStyle="Normal 13"/>
    <tableColumn id="4" name="DIESEL HYBRID CS" dataDxfId="5"/>
    <tableColumn id="5" name="DIESEL HYBRID PHEV"/>
    <tableColumn id="6" name="E85" dataDxfId="4" dataCellStyle="Normal 13"/>
    <tableColumn id="7" name="ELECTRIC"/>
    <tableColumn id="8" name="FUEL CELL H2" dataDxfId="3"/>
    <tableColumn id="9" name="LPG" dataDxfId="2"/>
    <tableColumn id="10" name="PETROL" dataDxfId="1"/>
    <tableColumn id="11" name="PETROL HYBRID CS" dataDxfId="0"/>
    <tableColumn id="12" name="PETROL HYBRID PHEV"/>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4.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5.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6.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7.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0.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1.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5.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6.bin"/></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24.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25.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7.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18.bin"/></Relationships>
</file>

<file path=xl/worksheets/_rels/sheet27.xml.rels><?xml version="1.0" encoding="UTF-8" standalone="yes"?>
<Relationships xmlns="http://schemas.openxmlformats.org/package/2006/relationships"><Relationship Id="rId2" Type="http://schemas.openxmlformats.org/officeDocument/2006/relationships/comments" Target="../comments5.xml"/><Relationship Id="rId1" Type="http://schemas.openxmlformats.org/officeDocument/2006/relationships/vmlDrawing" Target="../drawings/vmlDrawing5.vml"/></Relationships>
</file>

<file path=xl/worksheets/_rels/sheet28.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19.bin"/></Relationships>
</file>

<file path=xl/worksheets/_rels/sheet29.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vmlDrawing" Target="../drawings/vmlDrawing7.vml"/><Relationship Id="rId1" Type="http://schemas.openxmlformats.org/officeDocument/2006/relationships/printerSettings" Target="../printerSettings/printerSettings20.bin"/><Relationship Id="rId4" Type="http://schemas.openxmlformats.org/officeDocument/2006/relationships/comments" Target="../comments7.xml"/></Relationships>
</file>

<file path=xl/worksheets/_rels/sheet30.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14.xml"/><Relationship Id="rId1" Type="http://schemas.openxmlformats.org/officeDocument/2006/relationships/printerSettings" Target="../printerSettings/printerSettings21.bin"/><Relationship Id="rId4" Type="http://schemas.openxmlformats.org/officeDocument/2006/relationships/comments" Target="../comments8.xml"/></Relationships>
</file>

<file path=xl/worksheets/_rels/sheet31.xml.rels><?xml version="1.0" encoding="UTF-8" standalone="yes"?>
<Relationships xmlns="http://schemas.openxmlformats.org/package/2006/relationships"><Relationship Id="rId8" Type="http://schemas.openxmlformats.org/officeDocument/2006/relationships/hyperlink" Target="https://ec.europa.eu/jrc/en/publication/covenant-mayors-climate-and-energy-default-emission-factors-local-emission-inventories-version-2017" TargetMode="External"/><Relationship Id="rId3" Type="http://schemas.openxmlformats.org/officeDocument/2006/relationships/hyperlink" Target="http://www4.vlaanderen.be/dar/svr/Pages/2011-01-24-studiedag-projecties.aspx" TargetMode="External"/><Relationship Id="rId7" Type="http://schemas.openxmlformats.org/officeDocument/2006/relationships/hyperlink" Target="mailto:kaat.jespers@vito.be" TargetMode="External"/><Relationship Id="rId2" Type="http://schemas.openxmlformats.org/officeDocument/2006/relationships/hyperlink" Target="mailto:toon.lenaerts@infrax.be" TargetMode="External"/><Relationship Id="rId1" Type="http://schemas.openxmlformats.org/officeDocument/2006/relationships/hyperlink" Target="mailto:Sander.VanHerzeele@eandis.be" TargetMode="External"/><Relationship Id="rId6" Type="http://schemas.openxmlformats.org/officeDocument/2006/relationships/hyperlink" Target="mailto:kaat.jespers@vito.be" TargetMode="External"/><Relationship Id="rId5" Type="http://schemas.openxmlformats.org/officeDocument/2006/relationships/hyperlink" Target="mailto:marlies.vanhulsel@vito.be" TargetMode="External"/><Relationship Id="rId10" Type="http://schemas.openxmlformats.org/officeDocument/2006/relationships/printerSettings" Target="../printerSettings/printerSettings22.bin"/><Relationship Id="rId4" Type="http://schemas.openxmlformats.org/officeDocument/2006/relationships/hyperlink" Target="mailto:marlies.vanhulsel@vito.be" TargetMode="External"/><Relationship Id="rId9" Type="http://schemas.openxmlformats.org/officeDocument/2006/relationships/hyperlink" Target="mailto:tine.tanghe@vea.be" TargetMode="External"/></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sheet1.xml><?xml version="1.0" encoding="utf-8"?>
<worksheet xmlns="http://schemas.openxmlformats.org/spreadsheetml/2006/main" xmlns:r="http://schemas.openxmlformats.org/officeDocument/2006/relationships">
  <sheetPr codeName="Sheet23"/>
  <dimension ref="A1:G38"/>
  <sheetViews>
    <sheetView showGridLines="0" tabSelected="1" zoomScaleNormal="100" workbookViewId="0">
      <selection activeCell="A4" sqref="A4"/>
    </sheetView>
  </sheetViews>
  <sheetFormatPr defaultRowHeight="15"/>
  <cols>
    <col min="1" max="1" width="51" customWidth="1"/>
    <col min="2" max="2" width="81.5703125" customWidth="1"/>
    <col min="3" max="3" width="140.5703125" customWidth="1"/>
  </cols>
  <sheetData>
    <row r="1" spans="1:7" ht="15.75" thickBot="1"/>
    <row r="2" spans="1:7" s="407" customFormat="1" ht="20.25" customHeight="1">
      <c r="A2" s="419" t="s">
        <v>666</v>
      </c>
      <c r="B2" s="420"/>
      <c r="C2" s="421"/>
    </row>
    <row r="3" spans="1:7" s="11" customFormat="1" ht="15" customHeight="1">
      <c r="A3" s="93"/>
      <c r="B3" s="74"/>
      <c r="C3" s="94"/>
    </row>
    <row r="4" spans="1:7" s="11" customFormat="1" ht="15.75" customHeight="1" thickBot="1">
      <c r="A4" s="105" t="s">
        <v>895</v>
      </c>
      <c r="B4" s="106"/>
      <c r="C4" s="107"/>
    </row>
    <row r="5" spans="1:7" s="414" customFormat="1" ht="15.75" customHeight="1">
      <c r="A5" s="411" t="s">
        <v>0</v>
      </c>
      <c r="B5" s="412"/>
      <c r="C5" s="413"/>
    </row>
    <row r="6" spans="1:7" s="414" customFormat="1" ht="15" customHeight="1">
      <c r="A6" s="415" t="str">
        <f>txtNIS</f>
        <v>73098</v>
      </c>
      <c r="B6" s="416"/>
      <c r="C6" s="417"/>
    </row>
    <row r="7" spans="1:7" s="414" customFormat="1" ht="15.75" customHeight="1">
      <c r="A7" s="418" t="str">
        <f>txtMunicipality</f>
        <v>WELLEN</v>
      </c>
      <c r="B7" s="416"/>
      <c r="C7" s="417"/>
    </row>
    <row r="8" spans="1:7" ht="15.75" thickBot="1">
      <c r="A8" s="45"/>
      <c r="B8" s="108"/>
      <c r="C8" s="109"/>
    </row>
    <row r="9" spans="1:7" s="407" customFormat="1" ht="15.75" thickBot="1">
      <c r="A9" s="431" t="s">
        <v>357</v>
      </c>
      <c r="B9" s="434"/>
      <c r="C9" s="435"/>
    </row>
    <row r="10" spans="1:7" s="15" customFormat="1" ht="57.75" customHeight="1" thickBot="1">
      <c r="A10" s="1087" t="s">
        <v>684</v>
      </c>
      <c r="B10" s="1088"/>
      <c r="C10" s="1089"/>
    </row>
    <row r="11" spans="1:7" s="408" customFormat="1" ht="15.75" thickBot="1">
      <c r="A11" s="431" t="s">
        <v>359</v>
      </c>
      <c r="B11" s="434"/>
      <c r="C11" s="435"/>
      <c r="G11" s="409"/>
    </row>
    <row r="12" spans="1:7">
      <c r="A12" s="44"/>
      <c r="B12" s="43"/>
      <c r="C12" s="96"/>
    </row>
    <row r="13" spans="1:7" s="408" customFormat="1">
      <c r="A13" s="779" t="s">
        <v>626</v>
      </c>
      <c r="B13" s="405"/>
      <c r="C13" s="406"/>
      <c r="D13" s="407"/>
      <c r="E13" s="407"/>
      <c r="G13" s="409"/>
    </row>
    <row r="14" spans="1:7" s="408" customFormat="1">
      <c r="A14" s="410"/>
      <c r="B14" s="405"/>
      <c r="C14" s="406"/>
      <c r="D14" s="407"/>
      <c r="E14" s="407"/>
      <c r="G14" s="409"/>
    </row>
    <row r="15" spans="1:7" s="15" customFormat="1" ht="15.75" thickBot="1">
      <c r="A15" s="97"/>
      <c r="B15" s="43"/>
      <c r="C15" s="96"/>
      <c r="D15"/>
      <c r="E15"/>
      <c r="G15" s="68"/>
    </row>
    <row r="16" spans="1:7" s="407" customFormat="1" ht="32.25" customHeight="1" thickBot="1">
      <c r="A16" s="431" t="s">
        <v>360</v>
      </c>
      <c r="B16" s="1090" t="s">
        <v>530</v>
      </c>
      <c r="C16" s="1091"/>
    </row>
    <row r="17" spans="1:3" s="15" customFormat="1" ht="15.75">
      <c r="A17" s="98"/>
      <c r="B17" s="70"/>
      <c r="C17" s="99"/>
    </row>
    <row r="18" spans="1:3">
      <c r="A18" s="95" t="s">
        <v>363</v>
      </c>
      <c r="B18" s="69" t="s">
        <v>375</v>
      </c>
      <c r="C18" s="100" t="s">
        <v>374</v>
      </c>
    </row>
    <row r="19" spans="1:3" s="356" customFormat="1">
      <c r="A19" s="398" t="s">
        <v>361</v>
      </c>
      <c r="B19" s="399" t="s">
        <v>685</v>
      </c>
      <c r="C19" s="400" t="s">
        <v>528</v>
      </c>
    </row>
    <row r="20" spans="1:3" s="356" customFormat="1">
      <c r="A20" s="401"/>
      <c r="B20" s="342"/>
      <c r="C20" s="402"/>
    </row>
    <row r="21" spans="1:3" s="356" customFormat="1">
      <c r="A21" s="403" t="s">
        <v>362</v>
      </c>
      <c r="B21" s="399" t="s">
        <v>525</v>
      </c>
      <c r="C21" s="400" t="s">
        <v>529</v>
      </c>
    </row>
    <row r="22" spans="1:3" s="356" customFormat="1">
      <c r="A22" s="404"/>
      <c r="B22" s="342"/>
      <c r="C22" s="402"/>
    </row>
    <row r="23" spans="1:3" s="356" customFormat="1" ht="30">
      <c r="A23" s="398" t="s">
        <v>442</v>
      </c>
      <c r="B23" s="469" t="s">
        <v>446</v>
      </c>
      <c r="C23" s="400" t="s">
        <v>526</v>
      </c>
    </row>
    <row r="24" spans="1:3" s="356" customFormat="1">
      <c r="A24" s="404"/>
      <c r="B24" s="342"/>
      <c r="C24" s="402"/>
    </row>
    <row r="25" spans="1:3" s="356" customFormat="1">
      <c r="A25" s="398" t="s">
        <v>444</v>
      </c>
      <c r="B25" s="399" t="s">
        <v>443</v>
      </c>
      <c r="C25" s="400" t="s">
        <v>527</v>
      </c>
    </row>
    <row r="26" spans="1:3" s="356" customFormat="1">
      <c r="A26" s="404"/>
      <c r="B26" s="342"/>
      <c r="C26" s="402"/>
    </row>
    <row r="27" spans="1:3" s="356" customFormat="1">
      <c r="A27" s="398" t="s">
        <v>416</v>
      </c>
      <c r="B27" s="399" t="s">
        <v>441</v>
      </c>
      <c r="C27" s="400"/>
    </row>
    <row r="28" spans="1:3" s="356" customFormat="1">
      <c r="A28" s="404"/>
      <c r="B28" s="342" t="s">
        <v>583</v>
      </c>
      <c r="C28" s="402"/>
    </row>
    <row r="29" spans="1:3" ht="15.75" thickBot="1">
      <c r="A29" s="44"/>
      <c r="B29" s="43"/>
      <c r="C29" s="96"/>
    </row>
    <row r="30" spans="1:3" s="407" customFormat="1" ht="15.75" thickBot="1">
      <c r="A30" s="431" t="s">
        <v>372</v>
      </c>
      <c r="B30" s="432"/>
      <c r="C30" s="433"/>
    </row>
    <row r="31" spans="1:3" s="15" customFormat="1" ht="15.75">
      <c r="A31" s="98"/>
      <c r="B31" s="71"/>
      <c r="C31" s="102"/>
    </row>
    <row r="32" spans="1:3" s="15" customFormat="1">
      <c r="A32" s="103" t="s">
        <v>373</v>
      </c>
      <c r="B32" s="73" t="s">
        <v>375</v>
      </c>
      <c r="C32" s="104"/>
    </row>
    <row r="33" spans="1:3" s="425" customFormat="1">
      <c r="A33" s="422" t="s">
        <v>364</v>
      </c>
      <c r="B33" s="423" t="s">
        <v>376</v>
      </c>
      <c r="C33" s="424"/>
    </row>
    <row r="34" spans="1:3" s="425" customFormat="1">
      <c r="A34" s="426" t="s">
        <v>365</v>
      </c>
      <c r="B34" s="427" t="s">
        <v>366</v>
      </c>
      <c r="C34" s="428"/>
    </row>
    <row r="35" spans="1:3" s="425" customFormat="1">
      <c r="A35" s="429" t="s">
        <v>367</v>
      </c>
      <c r="B35" s="427" t="s">
        <v>368</v>
      </c>
      <c r="C35" s="428"/>
    </row>
    <row r="36" spans="1:3" s="425" customFormat="1">
      <c r="A36" s="430" t="s">
        <v>369</v>
      </c>
      <c r="B36" s="427" t="s">
        <v>370</v>
      </c>
      <c r="C36" s="428"/>
    </row>
    <row r="37" spans="1:3" s="425" customFormat="1" ht="30">
      <c r="A37" s="457" t="s">
        <v>371</v>
      </c>
      <c r="B37" s="427" t="s">
        <v>474</v>
      </c>
      <c r="C37" s="428"/>
    </row>
    <row r="38" spans="1:3" ht="15.75" thickBot="1">
      <c r="A38" s="458"/>
      <c r="B38" s="459"/>
      <c r="C38" s="460"/>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sheetPr codeName="Sheet18">
    <tabColor theme="6"/>
  </sheetPr>
  <dimension ref="A1:C9"/>
  <sheetViews>
    <sheetView workbookViewId="0">
      <selection activeCell="B28" sqref="B28"/>
    </sheetView>
  </sheetViews>
  <sheetFormatPr defaultRowHeight="15"/>
  <cols>
    <col min="1" max="1" width="39.140625" bestFit="1" customWidth="1"/>
    <col min="2" max="2" width="54.5703125" customWidth="1"/>
    <col min="3" max="3" width="111.28515625" customWidth="1"/>
  </cols>
  <sheetData>
    <row r="1" spans="1:3" ht="15.75" thickBot="1"/>
    <row r="2" spans="1:3" s="407" customFormat="1" ht="55.5" customHeight="1" thickBot="1">
      <c r="A2" s="436" t="s">
        <v>384</v>
      </c>
      <c r="B2" s="799"/>
      <c r="C2" s="435"/>
    </row>
    <row r="3" spans="1:3" s="15" customFormat="1" ht="15.75">
      <c r="A3" s="98"/>
      <c r="B3" s="70"/>
      <c r="C3" s="99"/>
    </row>
    <row r="4" spans="1:3" s="334" customFormat="1">
      <c r="A4" s="415" t="s">
        <v>363</v>
      </c>
      <c r="B4" s="437" t="s">
        <v>375</v>
      </c>
      <c r="C4" s="438" t="s">
        <v>374</v>
      </c>
    </row>
    <row r="5" spans="1:3" s="334" customFormat="1">
      <c r="A5" s="439"/>
      <c r="B5" s="356"/>
      <c r="C5" s="391"/>
    </row>
    <row r="6" spans="1:3" s="334" customFormat="1">
      <c r="A6" s="924" t="s">
        <v>701</v>
      </c>
      <c r="B6" s="440" t="s">
        <v>700</v>
      </c>
      <c r="C6" s="441" t="s">
        <v>358</v>
      </c>
    </row>
    <row r="7" spans="1:3" s="334" customFormat="1">
      <c r="A7" s="924" t="s">
        <v>699</v>
      </c>
      <c r="B7" s="442" t="s">
        <v>612</v>
      </c>
      <c r="C7" s="443" t="s">
        <v>611</v>
      </c>
    </row>
    <row r="8" spans="1:3" s="334" customFormat="1">
      <c r="A8" s="471"/>
      <c r="B8" s="442"/>
      <c r="C8" s="443"/>
    </row>
    <row r="9" spans="1:3" ht="21">
      <c r="A9" s="126" t="s">
        <v>475</v>
      </c>
      <c r="B9" s="125"/>
      <c r="C9" s="122"/>
    </row>
  </sheetData>
  <hyperlinks>
    <hyperlink ref="A7" location="'Inventaris 2014'!A1" display="'Inventaris 2014'!A1"/>
    <hyperlink ref="A6" location="'SEAP template'!A1" display="'SEAP template'!A1"/>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sheetPr codeName="Sheet10">
    <tabColor theme="6"/>
  </sheetPr>
  <dimension ref="A2:S91"/>
  <sheetViews>
    <sheetView showGridLines="0" zoomScale="69" zoomScaleNormal="69" workbookViewId="0">
      <selection sqref="A1:XFD1048576"/>
    </sheetView>
  </sheetViews>
  <sheetFormatPr defaultColWidth="9.140625" defaultRowHeight="14.25"/>
  <cols>
    <col min="1" max="1" width="67.85546875" style="472" customWidth="1"/>
    <col min="2" max="2" width="22.85546875" style="472"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19.140625" style="62" customWidth="1"/>
    <col min="13" max="13" width="13.85546875" style="62" customWidth="1"/>
    <col min="14" max="14" width="12.42578125" style="62" bestFit="1" customWidth="1"/>
    <col min="15" max="15" width="16.140625" style="62" customWidth="1"/>
    <col min="16" max="16" width="16.7109375" style="62" bestFit="1" customWidth="1"/>
    <col min="17" max="17" width="11.28515625" style="62" bestFit="1" customWidth="1"/>
    <col min="18" max="18" width="17.28515625" style="62" customWidth="1"/>
    <col min="19" max="19" width="9.140625" style="62"/>
    <col min="20" max="16384" width="9.140625" style="472"/>
  </cols>
  <sheetData>
    <row r="2" spans="1:19" ht="15.75">
      <c r="A2" s="1164" t="s">
        <v>221</v>
      </c>
      <c r="B2" s="1164"/>
      <c r="C2" s="1164"/>
      <c r="D2" s="59"/>
      <c r="E2" s="59"/>
      <c r="F2" s="59"/>
      <c r="G2" s="59"/>
      <c r="H2" s="60"/>
      <c r="I2" s="60"/>
      <c r="J2" s="61"/>
      <c r="K2" s="61"/>
      <c r="L2" s="60"/>
      <c r="M2" s="60"/>
      <c r="N2" s="60"/>
      <c r="O2" s="60"/>
      <c r="P2" s="60"/>
      <c r="Q2" s="60"/>
      <c r="R2" s="60"/>
    </row>
    <row r="3" spans="1:19">
      <c r="A3" s="1165"/>
      <c r="B3" s="1165"/>
      <c r="C3" s="1165"/>
      <c r="D3" s="1165"/>
      <c r="E3" s="1165"/>
      <c r="F3" s="1165"/>
      <c r="G3" s="1165"/>
      <c r="H3" s="1165"/>
      <c r="I3" s="1165"/>
      <c r="J3" s="1165"/>
      <c r="K3" s="1165"/>
      <c r="L3" s="1165"/>
      <c r="M3" s="1165"/>
      <c r="N3" s="1165"/>
      <c r="O3" s="1165"/>
      <c r="P3" s="1165"/>
      <c r="Q3" s="1165"/>
      <c r="R3" s="1165"/>
    </row>
    <row r="4" spans="1:19" ht="15.75" thickBot="1">
      <c r="A4" s="473"/>
      <c r="B4" s="473"/>
      <c r="C4" s="63"/>
      <c r="D4" s="63"/>
      <c r="E4" s="63"/>
      <c r="F4" s="63"/>
      <c r="G4" s="63"/>
      <c r="H4" s="63"/>
      <c r="I4" s="63"/>
      <c r="J4" s="63"/>
      <c r="K4" s="63"/>
      <c r="L4" s="63"/>
      <c r="M4" s="63"/>
      <c r="N4" s="63"/>
      <c r="O4" s="63"/>
      <c r="P4" s="63"/>
      <c r="Q4" s="63"/>
      <c r="R4" s="63"/>
    </row>
    <row r="5" spans="1:19" ht="16.5" thickBot="1">
      <c r="A5" s="1166" t="s">
        <v>222</v>
      </c>
      <c r="B5" s="802"/>
      <c r="C5" s="1169" t="s">
        <v>343</v>
      </c>
      <c r="D5" s="1170"/>
      <c r="E5" s="1170"/>
      <c r="F5" s="1170"/>
      <c r="G5" s="1170"/>
      <c r="H5" s="1170"/>
      <c r="I5" s="1170"/>
      <c r="J5" s="1170"/>
      <c r="K5" s="1170"/>
      <c r="L5" s="1170"/>
      <c r="M5" s="1170"/>
      <c r="N5" s="1170"/>
      <c r="O5" s="1170"/>
      <c r="P5" s="1170"/>
      <c r="Q5" s="1170"/>
      <c r="R5" s="1171"/>
    </row>
    <row r="6" spans="1:19" ht="16.5" thickTop="1">
      <c r="A6" s="1167"/>
      <c r="B6" s="803"/>
      <c r="C6" s="1172" t="s">
        <v>21</v>
      </c>
      <c r="D6" s="1174" t="s">
        <v>196</v>
      </c>
      <c r="E6" s="1176" t="s">
        <v>197</v>
      </c>
      <c r="F6" s="1177"/>
      <c r="G6" s="1177"/>
      <c r="H6" s="1177"/>
      <c r="I6" s="1177"/>
      <c r="J6" s="1177"/>
      <c r="K6" s="1177"/>
      <c r="L6" s="1178"/>
      <c r="M6" s="1176" t="s">
        <v>198</v>
      </c>
      <c r="N6" s="1177"/>
      <c r="O6" s="1177"/>
      <c r="P6" s="1177"/>
      <c r="Q6" s="1177"/>
      <c r="R6" s="1179" t="s">
        <v>116</v>
      </c>
    </row>
    <row r="7" spans="1:19" ht="45.75" thickBot="1">
      <c r="A7" s="1168"/>
      <c r="B7" s="804"/>
      <c r="C7" s="1173"/>
      <c r="D7" s="1175"/>
      <c r="E7" s="1017" t="s">
        <v>199</v>
      </c>
      <c r="F7" s="1017" t="s">
        <v>200</v>
      </c>
      <c r="G7" s="64" t="s">
        <v>201</v>
      </c>
      <c r="H7" s="1017" t="s">
        <v>202</v>
      </c>
      <c r="I7" s="1017" t="s">
        <v>120</v>
      </c>
      <c r="J7" s="1017" t="s">
        <v>203</v>
      </c>
      <c r="K7" s="470" t="s">
        <v>204</v>
      </c>
      <c r="L7" s="470" t="s">
        <v>205</v>
      </c>
      <c r="M7" s="64" t="s">
        <v>206</v>
      </c>
      <c r="N7" s="65" t="s">
        <v>207</v>
      </c>
      <c r="O7" s="65" t="s">
        <v>208</v>
      </c>
      <c r="P7" s="65" t="s">
        <v>209</v>
      </c>
      <c r="Q7" s="66" t="s">
        <v>210</v>
      </c>
      <c r="R7" s="1180"/>
    </row>
    <row r="8" spans="1:19" ht="18.75" customHeight="1" thickTop="1">
      <c r="A8" s="809" t="s">
        <v>344</v>
      </c>
      <c r="B8" s="814"/>
      <c r="C8" s="1151"/>
      <c r="D8" s="1151"/>
      <c r="E8" s="1151"/>
      <c r="F8" s="1151"/>
      <c r="G8" s="1151"/>
      <c r="H8" s="1151"/>
      <c r="I8" s="1151"/>
      <c r="J8" s="1151"/>
      <c r="K8" s="1151"/>
      <c r="L8" s="1151"/>
      <c r="M8" s="1151"/>
      <c r="N8" s="1151"/>
      <c r="O8" s="1151"/>
      <c r="P8" s="1151"/>
      <c r="Q8" s="1151"/>
      <c r="R8" s="308"/>
    </row>
    <row r="9" spans="1:19" s="474" customFormat="1">
      <c r="A9" s="810" t="s">
        <v>223</v>
      </c>
      <c r="B9" s="815"/>
      <c r="C9" s="1025">
        <f>'Eigen gebouwen'!B15</f>
        <v>0</v>
      </c>
      <c r="D9" s="1025">
        <f>'Eigen gebouwen'!C15</f>
        <v>0</v>
      </c>
      <c r="E9" s="1025">
        <f>'Eigen gebouwen'!D15</f>
        <v>0</v>
      </c>
      <c r="F9" s="1025">
        <f>'Eigen gebouwen'!E15</f>
        <v>0</v>
      </c>
      <c r="G9" s="1025">
        <f>'Eigen gebouwen'!F15</f>
        <v>0</v>
      </c>
      <c r="H9" s="1025">
        <f>'Eigen gebouwen'!G15</f>
        <v>0</v>
      </c>
      <c r="I9" s="1025">
        <f>'Eigen gebouwen'!H15</f>
        <v>0</v>
      </c>
      <c r="J9" s="1025">
        <f>'Eigen gebouwen'!I15</f>
        <v>0</v>
      </c>
      <c r="K9" s="1025">
        <f>'Eigen gebouwen'!J15</f>
        <v>0</v>
      </c>
      <c r="L9" s="1025">
        <f>'Eigen gebouwen'!K15</f>
        <v>0</v>
      </c>
      <c r="M9" s="1025">
        <f>'Eigen gebouwen'!L15</f>
        <v>0</v>
      </c>
      <c r="N9" s="1025">
        <f>'Eigen gebouwen'!M15</f>
        <v>0</v>
      </c>
      <c r="O9" s="1025">
        <f>'Eigen gebouwen'!N15</f>
        <v>0</v>
      </c>
      <c r="P9" s="1025">
        <f>'Eigen gebouwen'!O15</f>
        <v>0</v>
      </c>
      <c r="Q9" s="1026">
        <f>'Eigen gebouwen'!P15</f>
        <v>0</v>
      </c>
      <c r="R9" s="700">
        <f>SUM(C9:Q9)</f>
        <v>0</v>
      </c>
      <c r="S9" s="67"/>
    </row>
    <row r="10" spans="1:19" s="474" customFormat="1">
      <c r="A10" s="811" t="s">
        <v>224</v>
      </c>
      <c r="B10" s="816"/>
      <c r="C10" s="1025">
        <f ca="1">tertiair!B16+'openbare verlichting'!B8</f>
        <v>6153.9189999999999</v>
      </c>
      <c r="D10" s="1025">
        <f ca="1">tertiair!C16</f>
        <v>0</v>
      </c>
      <c r="E10" s="1025">
        <f ca="1">tertiair!D16</f>
        <v>3675.7807899999998</v>
      </c>
      <c r="F10" s="1025">
        <f>tertiair!E16</f>
        <v>54.273150297451856</v>
      </c>
      <c r="G10" s="1025">
        <f ca="1">tertiair!F16</f>
        <v>842.54354842826638</v>
      </c>
      <c r="H10" s="1025">
        <f>tertiair!G16</f>
        <v>0</v>
      </c>
      <c r="I10" s="1025">
        <f>tertiair!H16</f>
        <v>0</v>
      </c>
      <c r="J10" s="1025">
        <f>tertiair!I16</f>
        <v>0</v>
      </c>
      <c r="K10" s="1025">
        <f>tertiair!J16</f>
        <v>0</v>
      </c>
      <c r="L10" s="1025">
        <f>tertiair!K16</f>
        <v>0</v>
      </c>
      <c r="M10" s="1025">
        <f ca="1">tertiair!L16</f>
        <v>0</v>
      </c>
      <c r="N10" s="1025">
        <f>tertiair!M16</f>
        <v>0</v>
      </c>
      <c r="O10" s="1025">
        <f ca="1">tertiair!N16</f>
        <v>714.72022352989711</v>
      </c>
      <c r="P10" s="1025">
        <f>tertiair!O16</f>
        <v>0</v>
      </c>
      <c r="Q10" s="1026">
        <f>tertiair!P16</f>
        <v>19.066666666666666</v>
      </c>
      <c r="R10" s="701">
        <f ca="1">SUM(C10:Q10)</f>
        <v>11460.303378922281</v>
      </c>
      <c r="S10" s="67"/>
    </row>
    <row r="11" spans="1:19" s="474" customFormat="1">
      <c r="A11" s="810" t="s">
        <v>225</v>
      </c>
      <c r="B11" s="815"/>
      <c r="C11" s="1025">
        <f>huishoudens!B8</f>
        <v>13781.416147629425</v>
      </c>
      <c r="D11" s="1025">
        <f>huishoudens!C8</f>
        <v>0</v>
      </c>
      <c r="E11" s="1025">
        <f>huishoudens!D8</f>
        <v>16215.795199999999</v>
      </c>
      <c r="F11" s="1025">
        <f>huishoudens!E8</f>
        <v>1340.7626615858364</v>
      </c>
      <c r="G11" s="1025">
        <f>huishoudens!F8</f>
        <v>29874.567349167544</v>
      </c>
      <c r="H11" s="1025">
        <f>huishoudens!G8</f>
        <v>0</v>
      </c>
      <c r="I11" s="1025">
        <f>huishoudens!H8</f>
        <v>0</v>
      </c>
      <c r="J11" s="1025">
        <f>huishoudens!I8</f>
        <v>0</v>
      </c>
      <c r="K11" s="1025">
        <f>huishoudens!J8</f>
        <v>365.81192702416899</v>
      </c>
      <c r="L11" s="1025">
        <f>huishoudens!K8</f>
        <v>0</v>
      </c>
      <c r="M11" s="1025">
        <f>huishoudens!L8</f>
        <v>0</v>
      </c>
      <c r="N11" s="1025">
        <f>huishoudens!M8</f>
        <v>0</v>
      </c>
      <c r="O11" s="1025">
        <f>huishoudens!N8</f>
        <v>11016.463387471211</v>
      </c>
      <c r="P11" s="1025">
        <f>huishoudens!O8</f>
        <v>110.99666666666667</v>
      </c>
      <c r="Q11" s="1026">
        <f>huishoudens!P8</f>
        <v>457.6</v>
      </c>
      <c r="R11" s="701">
        <f>SUM(C11:Q11)</f>
        <v>73163.413339544859</v>
      </c>
      <c r="S11" s="67"/>
    </row>
    <row r="12" spans="1:19" s="474" customFormat="1">
      <c r="A12" s="810" t="s">
        <v>507</v>
      </c>
      <c r="B12" s="815"/>
      <c r="C12" s="1025">
        <f>'Eigen openbare verlichting'!B15</f>
        <v>0</v>
      </c>
      <c r="D12" s="1025"/>
      <c r="E12" s="1025"/>
      <c r="F12" s="1025"/>
      <c r="G12" s="1025"/>
      <c r="H12" s="1025"/>
      <c r="I12" s="1025"/>
      <c r="J12" s="1025"/>
      <c r="K12" s="1025"/>
      <c r="L12" s="1025"/>
      <c r="M12" s="1025"/>
      <c r="N12" s="1025"/>
      <c r="O12" s="1025"/>
      <c r="P12" s="1025"/>
      <c r="Q12" s="1025"/>
      <c r="R12" s="701">
        <f>SUM(C12:Q12)</f>
        <v>0</v>
      </c>
      <c r="S12" s="67"/>
    </row>
    <row r="13" spans="1:19" s="474" customFormat="1">
      <c r="A13" s="810" t="s">
        <v>653</v>
      </c>
      <c r="B13" s="819" t="s">
        <v>651</v>
      </c>
      <c r="C13" s="1025">
        <f>industrie!B18</f>
        <v>40814.803</v>
      </c>
      <c r="D13" s="1025">
        <f>industrie!C18</f>
        <v>0</v>
      </c>
      <c r="E13" s="1025">
        <f>industrie!D18</f>
        <v>5851.4408700000004</v>
      </c>
      <c r="F13" s="1025">
        <f>industrie!E18</f>
        <v>10726.626071165165</v>
      </c>
      <c r="G13" s="1025">
        <f>industrie!F18</f>
        <v>31470.673580207396</v>
      </c>
      <c r="H13" s="1025">
        <f>industrie!G18</f>
        <v>0</v>
      </c>
      <c r="I13" s="1025">
        <f>industrie!H18</f>
        <v>0</v>
      </c>
      <c r="J13" s="1025">
        <f>industrie!I18</f>
        <v>0</v>
      </c>
      <c r="K13" s="1025">
        <f>industrie!J18</f>
        <v>8.514333319086024</v>
      </c>
      <c r="L13" s="1025">
        <f>industrie!K18</f>
        <v>0</v>
      </c>
      <c r="M13" s="1025">
        <f>industrie!L18</f>
        <v>0</v>
      </c>
      <c r="N13" s="1025">
        <f>industrie!M18</f>
        <v>0</v>
      </c>
      <c r="O13" s="1025">
        <f>industrie!N18</f>
        <v>13361.258167131999</v>
      </c>
      <c r="P13" s="1025">
        <f>industrie!O18</f>
        <v>0</v>
      </c>
      <c r="Q13" s="1026">
        <f>industrie!P18</f>
        <v>0</v>
      </c>
      <c r="R13" s="701">
        <f>SUM(C13:Q13)</f>
        <v>102233.31602182363</v>
      </c>
      <c r="S13" s="67"/>
    </row>
    <row r="14" spans="1:19" s="474" customFormat="1">
      <c r="A14" s="810"/>
      <c r="B14" s="819" t="s">
        <v>652</v>
      </c>
      <c r="C14" s="1025"/>
      <c r="D14" s="1025"/>
      <c r="E14" s="1025"/>
      <c r="F14" s="1025"/>
      <c r="G14" s="1025"/>
      <c r="H14" s="1025"/>
      <c r="I14" s="1025"/>
      <c r="J14" s="1025"/>
      <c r="K14" s="1025"/>
      <c r="L14" s="1025"/>
      <c r="M14" s="1025"/>
      <c r="N14" s="1025"/>
      <c r="O14" s="1025"/>
      <c r="P14" s="1025"/>
      <c r="Q14" s="1025"/>
      <c r="R14" s="701"/>
      <c r="S14" s="67"/>
    </row>
    <row r="15" spans="1:19" s="474" customFormat="1" ht="15" thickBot="1">
      <c r="A15" s="1027" t="s">
        <v>862</v>
      </c>
      <c r="B15" s="1028"/>
      <c r="C15" s="1029"/>
      <c r="D15" s="1029"/>
      <c r="E15" s="1029"/>
      <c r="F15" s="1029"/>
      <c r="G15" s="1029"/>
      <c r="H15" s="1029"/>
      <c r="I15" s="1029"/>
      <c r="J15" s="1029"/>
      <c r="K15" s="1029"/>
      <c r="L15" s="1029"/>
      <c r="M15" s="1029"/>
      <c r="N15" s="1029"/>
      <c r="O15" s="1029"/>
      <c r="P15" s="1029"/>
      <c r="Q15" s="1030"/>
      <c r="R15" s="700"/>
      <c r="S15" s="67"/>
    </row>
    <row r="16" spans="1:19" s="474" customFormat="1" ht="15.75" thickBot="1">
      <c r="A16" s="702" t="s">
        <v>226</v>
      </c>
      <c r="B16" s="817"/>
      <c r="C16" s="733">
        <f ca="1">SUM(C9:C15)</f>
        <v>60750.138147629426</v>
      </c>
      <c r="D16" s="733">
        <f t="shared" ref="D16:R16" ca="1" si="0">SUM(D9:D15)</f>
        <v>0</v>
      </c>
      <c r="E16" s="733">
        <f t="shared" ca="1" si="0"/>
        <v>25743.016859999996</v>
      </c>
      <c r="F16" s="733">
        <f t="shared" si="0"/>
        <v>12121.661883048453</v>
      </c>
      <c r="G16" s="733">
        <f t="shared" ca="1" si="0"/>
        <v>62187.784477803209</v>
      </c>
      <c r="H16" s="733">
        <f t="shared" si="0"/>
        <v>0</v>
      </c>
      <c r="I16" s="733">
        <f t="shared" si="0"/>
        <v>0</v>
      </c>
      <c r="J16" s="733">
        <f t="shared" si="0"/>
        <v>0</v>
      </c>
      <c r="K16" s="733">
        <f t="shared" si="0"/>
        <v>374.326260343255</v>
      </c>
      <c r="L16" s="733">
        <f t="shared" si="0"/>
        <v>0</v>
      </c>
      <c r="M16" s="733">
        <f t="shared" ca="1" si="0"/>
        <v>0</v>
      </c>
      <c r="N16" s="733">
        <f t="shared" si="0"/>
        <v>0</v>
      </c>
      <c r="O16" s="733">
        <f t="shared" ca="1" si="0"/>
        <v>25092.441778133107</v>
      </c>
      <c r="P16" s="733">
        <f t="shared" si="0"/>
        <v>110.99666666666667</v>
      </c>
      <c r="Q16" s="733">
        <f t="shared" si="0"/>
        <v>476.66666666666669</v>
      </c>
      <c r="R16" s="733">
        <f t="shared" ca="1" si="0"/>
        <v>186857.03274029077</v>
      </c>
      <c r="S16" s="67"/>
    </row>
    <row r="17" spans="1:19" s="474" customFormat="1" ht="15.75">
      <c r="A17" s="812" t="s">
        <v>227</v>
      </c>
      <c r="B17" s="737"/>
      <c r="C17" s="1152"/>
      <c r="D17" s="1152"/>
      <c r="E17" s="1152"/>
      <c r="F17" s="1152"/>
      <c r="G17" s="1152"/>
      <c r="H17" s="1152"/>
      <c r="I17" s="1152"/>
      <c r="J17" s="1152"/>
      <c r="K17" s="1152"/>
      <c r="L17" s="1152"/>
      <c r="M17" s="1152"/>
      <c r="N17" s="1152"/>
      <c r="O17" s="1152"/>
      <c r="P17" s="1152"/>
      <c r="Q17" s="1152"/>
      <c r="R17" s="703"/>
      <c r="S17" s="67"/>
    </row>
    <row r="18" spans="1:19" s="474" customFormat="1">
      <c r="A18" s="810" t="s">
        <v>228</v>
      </c>
      <c r="B18" s="815"/>
      <c r="C18" s="1025">
        <f>'Eigen vloot'!B27</f>
        <v>0</v>
      </c>
      <c r="D18" s="1025">
        <f>'Eigen vloot'!C27</f>
        <v>0</v>
      </c>
      <c r="E18" s="1025">
        <f>'Eigen vloot'!D27</f>
        <v>0</v>
      </c>
      <c r="F18" s="1025">
        <f>'Eigen vloot'!E27</f>
        <v>0</v>
      </c>
      <c r="G18" s="1025">
        <f>'Eigen vloot'!F27</f>
        <v>0</v>
      </c>
      <c r="H18" s="1025">
        <f>'Eigen vloot'!G27</f>
        <v>0</v>
      </c>
      <c r="I18" s="1025">
        <f>'Eigen vloot'!H27</f>
        <v>0</v>
      </c>
      <c r="J18" s="1025">
        <f>'Eigen vloot'!I27</f>
        <v>0</v>
      </c>
      <c r="K18" s="1025">
        <f>'Eigen vloot'!J27</f>
        <v>0</v>
      </c>
      <c r="L18" s="1025">
        <f>'Eigen vloot'!K27</f>
        <v>0</v>
      </c>
      <c r="M18" s="1025">
        <f>'Eigen vloot'!L27</f>
        <v>0</v>
      </c>
      <c r="N18" s="1025">
        <f>'Eigen vloot'!M27</f>
        <v>0</v>
      </c>
      <c r="O18" s="1025">
        <f>'Eigen vloot'!N27</f>
        <v>0</v>
      </c>
      <c r="P18" s="1025">
        <f>'Eigen vloot'!O27</f>
        <v>0</v>
      </c>
      <c r="Q18" s="1026">
        <f>'Eigen vloot'!P27</f>
        <v>0</v>
      </c>
      <c r="R18" s="701">
        <f>SUM(C18:Q18)</f>
        <v>0</v>
      </c>
      <c r="S18" s="67"/>
    </row>
    <row r="19" spans="1:19" s="474" customFormat="1">
      <c r="A19" s="810" t="s">
        <v>229</v>
      </c>
      <c r="B19" s="815"/>
      <c r="C19" s="1025">
        <f>transport!B54</f>
        <v>0</v>
      </c>
      <c r="D19" s="1025">
        <f>transport!C54</f>
        <v>0</v>
      </c>
      <c r="E19" s="1025">
        <f>transport!D54</f>
        <v>0</v>
      </c>
      <c r="F19" s="1025">
        <f>transport!E54</f>
        <v>0</v>
      </c>
      <c r="G19" s="1025">
        <f>transport!F54</f>
        <v>0</v>
      </c>
      <c r="H19" s="1025">
        <f>transport!G54</f>
        <v>421.45474030275119</v>
      </c>
      <c r="I19" s="1025">
        <f>transport!H54</f>
        <v>0</v>
      </c>
      <c r="J19" s="1025">
        <f>transport!I54</f>
        <v>0</v>
      </c>
      <c r="K19" s="1025">
        <f>transport!J54</f>
        <v>0</v>
      </c>
      <c r="L19" s="1025">
        <f>transport!K54</f>
        <v>0</v>
      </c>
      <c r="M19" s="1025">
        <f>transport!L54</f>
        <v>0</v>
      </c>
      <c r="N19" s="1025">
        <f>transport!M54</f>
        <v>24.034335232528878</v>
      </c>
      <c r="O19" s="1025">
        <f>transport!N54</f>
        <v>0</v>
      </c>
      <c r="P19" s="1025">
        <f>transport!O54</f>
        <v>0</v>
      </c>
      <c r="Q19" s="1026">
        <f>transport!P54</f>
        <v>0</v>
      </c>
      <c r="R19" s="701">
        <f>SUM(C19:Q19)</f>
        <v>445.48907553528005</v>
      </c>
      <c r="S19" s="67"/>
    </row>
    <row r="20" spans="1:19" s="474" customFormat="1">
      <c r="A20" s="810" t="s">
        <v>307</v>
      </c>
      <c r="B20" s="815"/>
      <c r="C20" s="1025">
        <f>transport!B14</f>
        <v>4.9680040210265215</v>
      </c>
      <c r="D20" s="1025">
        <f>transport!C14</f>
        <v>0</v>
      </c>
      <c r="E20" s="1025">
        <f>transport!D14</f>
        <v>13.385346618294973</v>
      </c>
      <c r="F20" s="1025">
        <f>transport!E14</f>
        <v>84.969624919485057</v>
      </c>
      <c r="G20" s="1025">
        <f>transport!F14</f>
        <v>0</v>
      </c>
      <c r="H20" s="1025">
        <f>transport!G14</f>
        <v>23225.276240638719</v>
      </c>
      <c r="I20" s="1025">
        <f>transport!H14</f>
        <v>5050.856514157711</v>
      </c>
      <c r="J20" s="1025">
        <f>transport!I14</f>
        <v>0</v>
      </c>
      <c r="K20" s="1025">
        <f>transport!J14</f>
        <v>0</v>
      </c>
      <c r="L20" s="1025">
        <f>transport!K14</f>
        <v>0</v>
      </c>
      <c r="M20" s="1025">
        <f>transport!L14</f>
        <v>0</v>
      </c>
      <c r="N20" s="1025">
        <f>transport!M14</f>
        <v>1498.9617122470991</v>
      </c>
      <c r="O20" s="1025">
        <f>transport!N14</f>
        <v>0</v>
      </c>
      <c r="P20" s="1025">
        <f>transport!O14</f>
        <v>0</v>
      </c>
      <c r="Q20" s="1026">
        <f>transport!P14</f>
        <v>0</v>
      </c>
      <c r="R20" s="701">
        <f>SUM(C20:Q20)</f>
        <v>29878.417442602335</v>
      </c>
      <c r="S20" s="67"/>
    </row>
    <row r="21" spans="1:19" s="474" customFormat="1" ht="15" thickBot="1">
      <c r="A21" s="832" t="s">
        <v>863</v>
      </c>
      <c r="B21" s="1028"/>
      <c r="C21" s="1029"/>
      <c r="D21" s="1029"/>
      <c r="E21" s="1029"/>
      <c r="F21" s="1029"/>
      <c r="G21" s="1029"/>
      <c r="H21" s="1029"/>
      <c r="I21" s="1029"/>
      <c r="J21" s="1029"/>
      <c r="K21" s="1029"/>
      <c r="L21" s="1029"/>
      <c r="M21" s="1029"/>
      <c r="N21" s="1029"/>
      <c r="O21" s="1029"/>
      <c r="P21" s="1029"/>
      <c r="Q21" s="1030"/>
      <c r="R21" s="700"/>
      <c r="S21" s="67"/>
    </row>
    <row r="22" spans="1:19" s="474" customFormat="1" ht="15.75" thickBot="1">
      <c r="A22" s="706" t="s">
        <v>230</v>
      </c>
      <c r="B22" s="818"/>
      <c r="C22" s="813">
        <f>SUM(C18:C21)</f>
        <v>4.9680040210265215</v>
      </c>
      <c r="D22" s="813">
        <f t="shared" ref="D22:R22" si="1">SUM(D18:D21)</f>
        <v>0</v>
      </c>
      <c r="E22" s="813">
        <f t="shared" si="1"/>
        <v>13.385346618294973</v>
      </c>
      <c r="F22" s="813">
        <f t="shared" si="1"/>
        <v>84.969624919485057</v>
      </c>
      <c r="G22" s="813">
        <f t="shared" si="1"/>
        <v>0</v>
      </c>
      <c r="H22" s="813">
        <f t="shared" si="1"/>
        <v>23646.730980941469</v>
      </c>
      <c r="I22" s="813">
        <f t="shared" si="1"/>
        <v>5050.856514157711</v>
      </c>
      <c r="J22" s="813">
        <f t="shared" si="1"/>
        <v>0</v>
      </c>
      <c r="K22" s="813">
        <f t="shared" si="1"/>
        <v>0</v>
      </c>
      <c r="L22" s="813">
        <f t="shared" si="1"/>
        <v>0</v>
      </c>
      <c r="M22" s="813">
        <f t="shared" si="1"/>
        <v>0</v>
      </c>
      <c r="N22" s="813">
        <f t="shared" si="1"/>
        <v>1522.996047479628</v>
      </c>
      <c r="O22" s="813">
        <f t="shared" si="1"/>
        <v>0</v>
      </c>
      <c r="P22" s="813">
        <f t="shared" si="1"/>
        <v>0</v>
      </c>
      <c r="Q22" s="813">
        <f t="shared" si="1"/>
        <v>0</v>
      </c>
      <c r="R22" s="813">
        <f t="shared" si="1"/>
        <v>30323.906518137614</v>
      </c>
      <c r="S22" s="67"/>
    </row>
    <row r="23" spans="1:19" s="474" customFormat="1" ht="15.75">
      <c r="A23" s="812" t="s">
        <v>237</v>
      </c>
      <c r="B23" s="737"/>
      <c r="C23" s="1152"/>
      <c r="D23" s="1152"/>
      <c r="E23" s="1152"/>
      <c r="F23" s="1152"/>
      <c r="G23" s="1152"/>
      <c r="H23" s="1152"/>
      <c r="I23" s="1152"/>
      <c r="J23" s="1152"/>
      <c r="K23" s="1152"/>
      <c r="L23" s="1152"/>
      <c r="M23" s="1152"/>
      <c r="N23" s="1152"/>
      <c r="O23" s="1152"/>
      <c r="P23" s="1152"/>
      <c r="Q23" s="1152"/>
      <c r="R23" s="703"/>
      <c r="S23" s="67"/>
    </row>
    <row r="24" spans="1:19" s="474" customFormat="1">
      <c r="A24" s="810" t="s">
        <v>648</v>
      </c>
      <c r="B24" s="815"/>
      <c r="C24" s="1025">
        <f>+landbouw!B8</f>
        <v>1638.596</v>
      </c>
      <c r="D24" s="1025">
        <f>+landbouw!C8</f>
        <v>0</v>
      </c>
      <c r="E24" s="1025">
        <f>+landbouw!D8</f>
        <v>2415.23128</v>
      </c>
      <c r="F24" s="1025">
        <f>+landbouw!E8</f>
        <v>15.177362459091469</v>
      </c>
      <c r="G24" s="1025">
        <f>+landbouw!F8</f>
        <v>4157.4302042176632</v>
      </c>
      <c r="H24" s="1025">
        <f>+landbouw!G8</f>
        <v>0</v>
      </c>
      <c r="I24" s="1025">
        <f>+landbouw!H8</f>
        <v>0</v>
      </c>
      <c r="J24" s="1025">
        <f>+landbouw!I8</f>
        <v>0</v>
      </c>
      <c r="K24" s="1025">
        <f>+landbouw!J8</f>
        <v>251.21505358473172</v>
      </c>
      <c r="L24" s="1025">
        <f>+landbouw!K8</f>
        <v>0</v>
      </c>
      <c r="M24" s="1025">
        <f>+landbouw!L8</f>
        <v>0</v>
      </c>
      <c r="N24" s="1025">
        <f>+landbouw!M8</f>
        <v>0</v>
      </c>
      <c r="O24" s="1025">
        <f>+landbouw!N8</f>
        <v>0</v>
      </c>
      <c r="P24" s="1025">
        <f>+landbouw!O8</f>
        <v>0</v>
      </c>
      <c r="Q24" s="1026">
        <f>+landbouw!P8</f>
        <v>0</v>
      </c>
      <c r="R24" s="701">
        <f>SUM(C24:Q24)</f>
        <v>8477.6499002614873</v>
      </c>
      <c r="S24" s="67"/>
    </row>
    <row r="25" spans="1:19" s="474" customFormat="1" ht="15" thickBot="1">
      <c r="A25" s="832" t="s">
        <v>864</v>
      </c>
      <c r="B25" s="1028"/>
      <c r="C25" s="1029">
        <f>IF(Onbekend_ele_kWh="---",0,Onbekend_ele_kWh)/1000+IF(REST_rest_ele_kWh="---",0,REST_rest_ele_kWh)/1000</f>
        <v>184.78100000000001</v>
      </c>
      <c r="D25" s="1029"/>
      <c r="E25" s="1029">
        <f>IF(onbekend_gas_kWh="---",0,onbekend_gas_kWh)/1000+IF(REST_rest_gas_kWh="---",0,REST_rest_gas_kWh)/1000</f>
        <v>146.30799999999999</v>
      </c>
      <c r="F25" s="1029"/>
      <c r="G25" s="1029"/>
      <c r="H25" s="1029"/>
      <c r="I25" s="1029"/>
      <c r="J25" s="1029"/>
      <c r="K25" s="1029"/>
      <c r="L25" s="1029"/>
      <c r="M25" s="1029"/>
      <c r="N25" s="1029"/>
      <c r="O25" s="1029"/>
      <c r="P25" s="1029"/>
      <c r="Q25" s="1030"/>
      <c r="R25" s="701">
        <f>SUM(C25:Q25)</f>
        <v>331.089</v>
      </c>
      <c r="S25" s="67"/>
    </row>
    <row r="26" spans="1:19" s="474" customFormat="1" ht="15.75" thickBot="1">
      <c r="A26" s="706" t="s">
        <v>865</v>
      </c>
      <c r="B26" s="818"/>
      <c r="C26" s="813">
        <f>SUM(C24:C25)</f>
        <v>1823.377</v>
      </c>
      <c r="D26" s="813">
        <f t="shared" ref="D26:R26" si="2">SUM(D24:D25)</f>
        <v>0</v>
      </c>
      <c r="E26" s="813">
        <f t="shared" si="2"/>
        <v>2561.53928</v>
      </c>
      <c r="F26" s="813">
        <f t="shared" si="2"/>
        <v>15.177362459091469</v>
      </c>
      <c r="G26" s="813">
        <f t="shared" si="2"/>
        <v>4157.4302042176632</v>
      </c>
      <c r="H26" s="813">
        <f t="shared" si="2"/>
        <v>0</v>
      </c>
      <c r="I26" s="813">
        <f t="shared" si="2"/>
        <v>0</v>
      </c>
      <c r="J26" s="813">
        <f t="shared" si="2"/>
        <v>0</v>
      </c>
      <c r="K26" s="813">
        <f t="shared" si="2"/>
        <v>251.21505358473172</v>
      </c>
      <c r="L26" s="813">
        <f t="shared" si="2"/>
        <v>0</v>
      </c>
      <c r="M26" s="813">
        <f t="shared" si="2"/>
        <v>0</v>
      </c>
      <c r="N26" s="813">
        <f t="shared" si="2"/>
        <v>0</v>
      </c>
      <c r="O26" s="813">
        <f t="shared" si="2"/>
        <v>0</v>
      </c>
      <c r="P26" s="813">
        <f t="shared" si="2"/>
        <v>0</v>
      </c>
      <c r="Q26" s="813">
        <f t="shared" si="2"/>
        <v>0</v>
      </c>
      <c r="R26" s="813">
        <f t="shared" si="2"/>
        <v>8808.7389002614873</v>
      </c>
      <c r="S26" s="67"/>
    </row>
    <row r="27" spans="1:19" s="474" customFormat="1" ht="17.25" thickTop="1" thickBot="1">
      <c r="A27" s="707" t="s">
        <v>116</v>
      </c>
      <c r="B27" s="806"/>
      <c r="C27" s="708">
        <f ca="1">C22+C16+C26</f>
        <v>62578.483151650456</v>
      </c>
      <c r="D27" s="708">
        <f t="shared" ref="D27:R27" ca="1" si="3">D22+D16+D26</f>
        <v>0</v>
      </c>
      <c r="E27" s="708">
        <f t="shared" ca="1" si="3"/>
        <v>28317.941486618292</v>
      </c>
      <c r="F27" s="708">
        <f t="shared" si="3"/>
        <v>12221.80887042703</v>
      </c>
      <c r="G27" s="708">
        <f t="shared" ca="1" si="3"/>
        <v>66345.214682020873</v>
      </c>
      <c r="H27" s="708">
        <f t="shared" si="3"/>
        <v>23646.730980941469</v>
      </c>
      <c r="I27" s="708">
        <f t="shared" si="3"/>
        <v>5050.856514157711</v>
      </c>
      <c r="J27" s="708">
        <f t="shared" si="3"/>
        <v>0</v>
      </c>
      <c r="K27" s="708">
        <f t="shared" si="3"/>
        <v>625.54131392798672</v>
      </c>
      <c r="L27" s="708">
        <f t="shared" si="3"/>
        <v>0</v>
      </c>
      <c r="M27" s="708">
        <f t="shared" ca="1" si="3"/>
        <v>0</v>
      </c>
      <c r="N27" s="708">
        <f t="shared" si="3"/>
        <v>1522.996047479628</v>
      </c>
      <c r="O27" s="708">
        <f t="shared" ca="1" si="3"/>
        <v>25092.441778133107</v>
      </c>
      <c r="P27" s="708">
        <f t="shared" si="3"/>
        <v>110.99666666666667</v>
      </c>
      <c r="Q27" s="708">
        <f t="shared" si="3"/>
        <v>476.66666666666669</v>
      </c>
      <c r="R27" s="708">
        <f t="shared" ca="1" si="3"/>
        <v>225989.67815868987</v>
      </c>
      <c r="S27" s="67"/>
    </row>
    <row r="28" spans="1:19" ht="15.75" customHeight="1" thickBot="1">
      <c r="A28" s="709"/>
      <c r="B28" s="709"/>
      <c r="C28" s="710"/>
      <c r="D28" s="710"/>
      <c r="E28" s="710"/>
      <c r="F28" s="710"/>
      <c r="G28" s="710"/>
      <c r="H28" s="710"/>
      <c r="I28" s="710"/>
      <c r="J28" s="710"/>
      <c r="K28" s="710"/>
      <c r="L28" s="710"/>
      <c r="M28" s="710"/>
      <c r="N28" s="710"/>
      <c r="O28" s="710"/>
      <c r="P28" s="710"/>
      <c r="Q28" s="710"/>
      <c r="R28" s="710"/>
    </row>
    <row r="29" spans="1:19" ht="41.25" customHeight="1" thickTop="1" thickBot="1">
      <c r="A29" s="711" t="s">
        <v>345</v>
      </c>
      <c r="B29" s="711"/>
      <c r="C29" s="712">
        <f>'EF ele_warmte'!B5</f>
        <v>0</v>
      </c>
      <c r="D29" s="713"/>
      <c r="E29" s="714"/>
      <c r="F29" s="713"/>
      <c r="G29" s="713"/>
      <c r="H29" s="713"/>
      <c r="I29" s="713"/>
      <c r="J29" s="713"/>
      <c r="K29" s="713"/>
      <c r="L29" s="713"/>
      <c r="M29" s="713"/>
      <c r="N29" s="713"/>
      <c r="O29" s="713"/>
      <c r="P29" s="713"/>
      <c r="Q29" s="713"/>
      <c r="R29" s="713"/>
    </row>
    <row r="30" spans="1:19" ht="31.5" thickTop="1" thickBot="1">
      <c r="A30" s="715" t="s">
        <v>346</v>
      </c>
      <c r="B30" s="715"/>
      <c r="C30" s="716" t="s">
        <v>211</v>
      </c>
      <c r="D30" s="717"/>
      <c r="E30" s="717"/>
      <c r="F30" s="717"/>
      <c r="G30" s="717"/>
      <c r="H30" s="718"/>
      <c r="I30" s="719"/>
      <c r="J30" s="719"/>
      <c r="K30" s="719"/>
      <c r="L30" s="719"/>
      <c r="M30" s="719"/>
      <c r="N30" s="719"/>
      <c r="O30" s="719"/>
      <c r="P30" s="719"/>
      <c r="Q30" s="719"/>
      <c r="R30" s="719"/>
    </row>
    <row r="31" spans="1:19" ht="15" thickTop="1">
      <c r="A31" s="1153"/>
      <c r="B31" s="1153"/>
      <c r="C31" s="1153"/>
      <c r="D31" s="720"/>
      <c r="E31" s="719"/>
      <c r="F31" s="719"/>
      <c r="G31" s="719"/>
      <c r="H31" s="719"/>
      <c r="I31" s="719"/>
      <c r="J31" s="719"/>
      <c r="K31" s="719"/>
      <c r="L31" s="719"/>
      <c r="M31" s="719"/>
      <c r="N31" s="719"/>
      <c r="O31" s="719"/>
      <c r="P31" s="719"/>
      <c r="Q31" s="719"/>
      <c r="R31" s="719"/>
    </row>
    <row r="32" spans="1:19" ht="15.75">
      <c r="A32" s="721" t="s">
        <v>231</v>
      </c>
      <c r="B32" s="721"/>
      <c r="C32" s="720"/>
      <c r="D32" s="720"/>
      <c r="E32" s="719"/>
      <c r="F32" s="719"/>
      <c r="G32" s="719"/>
      <c r="H32" s="719"/>
      <c r="I32" s="719"/>
      <c r="J32" s="719"/>
      <c r="K32" s="719"/>
      <c r="L32" s="719"/>
      <c r="M32" s="719"/>
      <c r="N32" s="719"/>
      <c r="O32" s="719"/>
      <c r="P32" s="719"/>
      <c r="Q32" s="719"/>
      <c r="R32" s="719"/>
    </row>
    <row r="33" spans="1:18">
      <c r="A33" s="1116"/>
      <c r="B33" s="1116"/>
      <c r="C33" s="1116"/>
      <c r="D33" s="1116"/>
      <c r="E33" s="1116"/>
      <c r="F33" s="1116"/>
      <c r="G33" s="1116"/>
      <c r="H33" s="1116"/>
      <c r="I33" s="1116"/>
      <c r="J33" s="1116"/>
      <c r="K33" s="1116"/>
      <c r="L33" s="1116"/>
      <c r="M33" s="1116"/>
      <c r="N33" s="1116"/>
      <c r="O33" s="1116"/>
      <c r="P33" s="1116"/>
      <c r="Q33" s="1116"/>
      <c r="R33" s="1116"/>
    </row>
    <row r="34" spans="1:18" ht="15.75" thickBot="1">
      <c r="A34" s="722"/>
      <c r="B34" s="722"/>
      <c r="C34" s="723"/>
      <c r="D34" s="723"/>
      <c r="E34" s="723"/>
      <c r="F34" s="723"/>
      <c r="G34" s="723"/>
      <c r="H34" s="723"/>
      <c r="I34" s="723"/>
      <c r="J34" s="723"/>
      <c r="K34" s="723"/>
      <c r="L34" s="723"/>
      <c r="M34" s="723"/>
      <c r="N34" s="723"/>
      <c r="O34" s="723"/>
      <c r="P34" s="723"/>
      <c r="Q34" s="723"/>
      <c r="R34" s="723"/>
    </row>
    <row r="35" spans="1:18" ht="17.25" thickTop="1" thickBot="1">
      <c r="A35" s="1154"/>
      <c r="B35" s="820"/>
      <c r="C35" s="1156" t="s">
        <v>347</v>
      </c>
      <c r="D35" s="1157"/>
      <c r="E35" s="1157"/>
      <c r="F35" s="1157"/>
      <c r="G35" s="1157"/>
      <c r="H35" s="1157"/>
      <c r="I35" s="1157"/>
      <c r="J35" s="1157"/>
      <c r="K35" s="1157"/>
      <c r="L35" s="1157"/>
      <c r="M35" s="1157"/>
      <c r="N35" s="1157"/>
      <c r="O35" s="1157"/>
      <c r="P35" s="1157"/>
      <c r="Q35" s="1157"/>
      <c r="R35" s="1158"/>
    </row>
    <row r="36" spans="1:18" ht="16.5" thickTop="1">
      <c r="A36" s="1155"/>
      <c r="B36" s="821"/>
      <c r="C36" s="1159" t="s">
        <v>21</v>
      </c>
      <c r="D36" s="1102" t="s">
        <v>232</v>
      </c>
      <c r="E36" s="1161" t="s">
        <v>197</v>
      </c>
      <c r="F36" s="1162"/>
      <c r="G36" s="1162"/>
      <c r="H36" s="1162"/>
      <c r="I36" s="1162"/>
      <c r="J36" s="1162"/>
      <c r="K36" s="1162"/>
      <c r="L36" s="1163"/>
      <c r="M36" s="1161" t="s">
        <v>198</v>
      </c>
      <c r="N36" s="1162"/>
      <c r="O36" s="1162"/>
      <c r="P36" s="1162"/>
      <c r="Q36" s="1162"/>
      <c r="R36" s="1117" t="s">
        <v>116</v>
      </c>
    </row>
    <row r="37" spans="1:18" ht="45.75" thickBot="1">
      <c r="A37" s="1155"/>
      <c r="B37" s="821"/>
      <c r="C37" s="1160"/>
      <c r="D37" s="1105"/>
      <c r="E37" s="724" t="s">
        <v>199</v>
      </c>
      <c r="F37" s="724" t="s">
        <v>200</v>
      </c>
      <c r="G37" s="724" t="s">
        <v>201</v>
      </c>
      <c r="H37" s="724" t="s">
        <v>202</v>
      </c>
      <c r="I37" s="724" t="s">
        <v>120</v>
      </c>
      <c r="J37" s="724" t="s">
        <v>203</v>
      </c>
      <c r="K37" s="725" t="s">
        <v>233</v>
      </c>
      <c r="L37" s="725" t="s">
        <v>205</v>
      </c>
      <c r="M37" s="64" t="s">
        <v>206</v>
      </c>
      <c r="N37" s="65" t="s">
        <v>207</v>
      </c>
      <c r="O37" s="724" t="s">
        <v>234</v>
      </c>
      <c r="P37" s="724" t="s">
        <v>235</v>
      </c>
      <c r="Q37" s="725" t="s">
        <v>210</v>
      </c>
      <c r="R37" s="1119"/>
    </row>
    <row r="38" spans="1:18" ht="17.25" thickTop="1" thickBot="1">
      <c r="A38" s="833" t="s">
        <v>344</v>
      </c>
      <c r="B38" s="834"/>
      <c r="C38" s="726" t="s">
        <v>236</v>
      </c>
      <c r="D38" s="727"/>
      <c r="E38" s="728"/>
      <c r="F38" s="728"/>
      <c r="G38" s="728"/>
      <c r="H38" s="728"/>
      <c r="I38" s="728"/>
      <c r="J38" s="728"/>
      <c r="K38" s="728"/>
      <c r="L38" s="728"/>
      <c r="M38" s="1031"/>
      <c r="N38" s="1031"/>
      <c r="O38" s="728"/>
      <c r="P38" s="1031"/>
      <c r="Q38" s="729"/>
      <c r="R38" s="730"/>
    </row>
    <row r="39" spans="1:18" ht="15" thickTop="1">
      <c r="A39" s="1032" t="s">
        <v>223</v>
      </c>
      <c r="B39" s="830"/>
      <c r="C39" s="1025">
        <f ca="1">'Eigen gebouwen'!B19</f>
        <v>0</v>
      </c>
      <c r="D39" s="1025">
        <f ca="1">'Eigen gebouwen'!C19</f>
        <v>0</v>
      </c>
      <c r="E39" s="1025">
        <f>'Eigen gebouwen'!D19</f>
        <v>0</v>
      </c>
      <c r="F39" s="1025">
        <f>'Eigen gebouwen'!E19</f>
        <v>0</v>
      </c>
      <c r="G39" s="1025">
        <f>'Eigen gebouwen'!F19</f>
        <v>0</v>
      </c>
      <c r="H39" s="1025">
        <f>'Eigen gebouwen'!G19</f>
        <v>0</v>
      </c>
      <c r="I39" s="1025">
        <f>'Eigen gebouwen'!H19</f>
        <v>0</v>
      </c>
      <c r="J39" s="1025">
        <f>'Eigen gebouwen'!I19</f>
        <v>0</v>
      </c>
      <c r="K39" s="1025">
        <f>'Eigen gebouwen'!J19</f>
        <v>0</v>
      </c>
      <c r="L39" s="1025">
        <f>'Eigen gebouwen'!K19</f>
        <v>0</v>
      </c>
      <c r="M39" s="1025">
        <f>'Eigen gebouwen'!L19</f>
        <v>0</v>
      </c>
      <c r="N39" s="1025">
        <f>'Eigen gebouwen'!M19</f>
        <v>0</v>
      </c>
      <c r="O39" s="1025">
        <f>'Eigen gebouwen'!N19</f>
        <v>0</v>
      </c>
      <c r="P39" s="1025">
        <f>'Eigen gebouwen'!O19</f>
        <v>0</v>
      </c>
      <c r="Q39" s="775">
        <f>'Eigen gebouwen'!P19</f>
        <v>0</v>
      </c>
      <c r="R39" s="1033">
        <f t="shared" ref="R39:R44" ca="1" si="4">SUM(C39:Q39)</f>
        <v>0</v>
      </c>
    </row>
    <row r="40" spans="1:18">
      <c r="A40" s="811" t="s">
        <v>224</v>
      </c>
      <c r="B40" s="831"/>
      <c r="C40" s="1025">
        <f ca="1">tertiair!B20+'openbare verlichting'!B12</f>
        <v>1261.8101040480199</v>
      </c>
      <c r="D40" s="1025">
        <f ca="1">tertiair!C20</f>
        <v>0</v>
      </c>
      <c r="E40" s="1025">
        <f ca="1">tertiair!D20</f>
        <v>742.50771957999996</v>
      </c>
      <c r="F40" s="1025">
        <f>tertiair!E20</f>
        <v>12.320005117521571</v>
      </c>
      <c r="G40" s="1025">
        <f ca="1">tertiair!F20</f>
        <v>224.95912743034714</v>
      </c>
      <c r="H40" s="1025">
        <f>tertiair!G20</f>
        <v>0</v>
      </c>
      <c r="I40" s="1025">
        <f>tertiair!H20</f>
        <v>0</v>
      </c>
      <c r="J40" s="1025">
        <f>tertiair!I20</f>
        <v>0</v>
      </c>
      <c r="K40" s="1025">
        <f>tertiair!J20</f>
        <v>0</v>
      </c>
      <c r="L40" s="1025">
        <f>tertiair!K20</f>
        <v>0</v>
      </c>
      <c r="M40" s="1025">
        <f ca="1">tertiair!L20</f>
        <v>0</v>
      </c>
      <c r="N40" s="1025">
        <f>tertiair!M20</f>
        <v>0</v>
      </c>
      <c r="O40" s="1025">
        <f ca="1">tertiair!N20</f>
        <v>0</v>
      </c>
      <c r="P40" s="1025">
        <f>tertiair!O20</f>
        <v>0</v>
      </c>
      <c r="Q40" s="775">
        <f>tertiair!P20</f>
        <v>0</v>
      </c>
      <c r="R40" s="851">
        <f t="shared" ca="1" si="4"/>
        <v>2241.5969561758884</v>
      </c>
    </row>
    <row r="41" spans="1:18">
      <c r="A41" s="823" t="s">
        <v>225</v>
      </c>
      <c r="B41" s="830"/>
      <c r="C41" s="1025">
        <f ca="1">huishoudens!B12</f>
        <v>2825.7651982694842</v>
      </c>
      <c r="D41" s="1025">
        <f ca="1">huishoudens!C12</f>
        <v>0</v>
      </c>
      <c r="E41" s="1025">
        <f>huishoudens!D12</f>
        <v>3275.5906304</v>
      </c>
      <c r="F41" s="1025">
        <f>huishoudens!E12</f>
        <v>304.35312417998489</v>
      </c>
      <c r="G41" s="1025">
        <f>huishoudens!F12</f>
        <v>7976.5094822277351</v>
      </c>
      <c r="H41" s="1025">
        <f>huishoudens!G12</f>
        <v>0</v>
      </c>
      <c r="I41" s="1025">
        <f>huishoudens!H12</f>
        <v>0</v>
      </c>
      <c r="J41" s="1025">
        <f>huishoudens!I12</f>
        <v>0</v>
      </c>
      <c r="K41" s="1025">
        <f>huishoudens!J12</f>
        <v>129.49742216655582</v>
      </c>
      <c r="L41" s="1025">
        <f>huishoudens!K12</f>
        <v>0</v>
      </c>
      <c r="M41" s="1025">
        <f>huishoudens!L12</f>
        <v>0</v>
      </c>
      <c r="N41" s="1025">
        <f>huishoudens!M12</f>
        <v>0</v>
      </c>
      <c r="O41" s="1025">
        <f>huishoudens!N12</f>
        <v>0</v>
      </c>
      <c r="P41" s="1025">
        <f>huishoudens!O12</f>
        <v>0</v>
      </c>
      <c r="Q41" s="775">
        <f>huishoudens!P12</f>
        <v>0</v>
      </c>
      <c r="R41" s="851">
        <f t="shared" ca="1" si="4"/>
        <v>14511.71585724376</v>
      </c>
    </row>
    <row r="42" spans="1:18">
      <c r="A42" s="823" t="s">
        <v>507</v>
      </c>
      <c r="B42" s="830"/>
      <c r="C42" s="1025">
        <f ca="1">'Eigen openbare verlichting'!B19</f>
        <v>0</v>
      </c>
      <c r="D42" s="1025"/>
      <c r="E42" s="1025"/>
      <c r="F42" s="1025"/>
      <c r="G42" s="1025"/>
      <c r="H42" s="1025"/>
      <c r="I42" s="1025"/>
      <c r="J42" s="1025"/>
      <c r="K42" s="1025"/>
      <c r="L42" s="1025"/>
      <c r="M42" s="1025"/>
      <c r="N42" s="1025"/>
      <c r="O42" s="1025"/>
      <c r="P42" s="1025"/>
      <c r="Q42" s="775"/>
      <c r="R42" s="851">
        <f t="shared" ca="1" si="4"/>
        <v>0</v>
      </c>
    </row>
    <row r="43" spans="1:18">
      <c r="A43" s="823" t="s">
        <v>654</v>
      </c>
      <c r="B43" s="838" t="s">
        <v>651</v>
      </c>
      <c r="C43" s="1025">
        <f ca="1">industrie!B22</f>
        <v>8368.7371933445065</v>
      </c>
      <c r="D43" s="1025">
        <f ca="1">industrie!C22</f>
        <v>0</v>
      </c>
      <c r="E43" s="1025">
        <f>industrie!D22</f>
        <v>1181.9910557400001</v>
      </c>
      <c r="F43" s="1025">
        <f>industrie!E22</f>
        <v>2434.9441181544926</v>
      </c>
      <c r="G43" s="1025">
        <f>industrie!F22</f>
        <v>8402.6698459153758</v>
      </c>
      <c r="H43" s="1025">
        <f>industrie!G22</f>
        <v>0</v>
      </c>
      <c r="I43" s="1025">
        <f>industrie!H22</f>
        <v>0</v>
      </c>
      <c r="J43" s="1025">
        <f>industrie!I22</f>
        <v>0</v>
      </c>
      <c r="K43" s="1025">
        <f>industrie!J22</f>
        <v>3.0140739949564521</v>
      </c>
      <c r="L43" s="1025">
        <f>industrie!K22</f>
        <v>0</v>
      </c>
      <c r="M43" s="1025">
        <f>industrie!L22</f>
        <v>0</v>
      </c>
      <c r="N43" s="1025">
        <f>industrie!M22</f>
        <v>0</v>
      </c>
      <c r="O43" s="1025">
        <f>industrie!N22</f>
        <v>0</v>
      </c>
      <c r="P43" s="1025">
        <f>industrie!O22</f>
        <v>0</v>
      </c>
      <c r="Q43" s="775">
        <f>industrie!P22</f>
        <v>0</v>
      </c>
      <c r="R43" s="850">
        <f t="shared" ca="1" si="4"/>
        <v>20391.356287149334</v>
      </c>
    </row>
    <row r="44" spans="1:18">
      <c r="A44" s="823"/>
      <c r="B44" s="830" t="s">
        <v>652</v>
      </c>
      <c r="C44" s="1025"/>
      <c r="D44" s="1025"/>
      <c r="E44" s="1025"/>
      <c r="F44" s="1025"/>
      <c r="G44" s="1025"/>
      <c r="H44" s="1025"/>
      <c r="I44" s="1025"/>
      <c r="J44" s="1025"/>
      <c r="K44" s="1025"/>
      <c r="L44" s="1025"/>
      <c r="M44" s="1025"/>
      <c r="N44" s="1025"/>
      <c r="O44" s="1025"/>
      <c r="P44" s="1025"/>
      <c r="Q44" s="775"/>
      <c r="R44" s="851">
        <f t="shared" si="4"/>
        <v>0</v>
      </c>
    </row>
    <row r="45" spans="1:18" ht="15" thickBot="1">
      <c r="A45" s="1027" t="s">
        <v>862</v>
      </c>
      <c r="B45" s="1034"/>
      <c r="C45" s="1029"/>
      <c r="D45" s="1029"/>
      <c r="E45" s="1029"/>
      <c r="F45" s="1029"/>
      <c r="G45" s="1029"/>
      <c r="H45" s="1029"/>
      <c r="I45" s="1029"/>
      <c r="J45" s="1029"/>
      <c r="K45" s="1029"/>
      <c r="L45" s="1029"/>
      <c r="M45" s="1029"/>
      <c r="N45" s="1029"/>
      <c r="O45" s="1029"/>
      <c r="P45" s="1029"/>
      <c r="Q45" s="1030"/>
      <c r="R45" s="1035"/>
    </row>
    <row r="46" spans="1:18" ht="15.75" thickBot="1">
      <c r="A46" s="824" t="s">
        <v>226</v>
      </c>
      <c r="B46" s="837"/>
      <c r="C46" s="733">
        <f ca="1">SUM(C39:C45)</f>
        <v>12456.31249566201</v>
      </c>
      <c r="D46" s="733">
        <f t="shared" ref="D46:Q46" ca="1" si="5">SUM(D39:D45)</f>
        <v>0</v>
      </c>
      <c r="E46" s="733">
        <f t="shared" ca="1" si="5"/>
        <v>5200.0894057200003</v>
      </c>
      <c r="F46" s="733">
        <f t="shared" si="5"/>
        <v>2751.617247451999</v>
      </c>
      <c r="G46" s="733">
        <f t="shared" ca="1" si="5"/>
        <v>16604.138455573458</v>
      </c>
      <c r="H46" s="733">
        <f t="shared" si="5"/>
        <v>0</v>
      </c>
      <c r="I46" s="733">
        <f t="shared" si="5"/>
        <v>0</v>
      </c>
      <c r="J46" s="733">
        <f t="shared" si="5"/>
        <v>0</v>
      </c>
      <c r="K46" s="733">
        <f t="shared" si="5"/>
        <v>132.51149616151227</v>
      </c>
      <c r="L46" s="733">
        <f t="shared" si="5"/>
        <v>0</v>
      </c>
      <c r="M46" s="733">
        <f t="shared" ca="1" si="5"/>
        <v>0</v>
      </c>
      <c r="N46" s="733">
        <f t="shared" si="5"/>
        <v>0</v>
      </c>
      <c r="O46" s="733">
        <f t="shared" ca="1" si="5"/>
        <v>0</v>
      </c>
      <c r="P46" s="733">
        <f t="shared" si="5"/>
        <v>0</v>
      </c>
      <c r="Q46" s="733">
        <f t="shared" si="5"/>
        <v>0</v>
      </c>
      <c r="R46" s="733">
        <f ca="1">SUM(R39:R45)</f>
        <v>37144.669100568979</v>
      </c>
    </row>
    <row r="47" spans="1:18" ht="15.75">
      <c r="A47" s="825" t="s">
        <v>227</v>
      </c>
      <c r="B47" s="835"/>
      <c r="C47" s="726"/>
      <c r="D47" s="727"/>
      <c r="E47" s="727"/>
      <c r="F47" s="727"/>
      <c r="G47" s="727"/>
      <c r="H47" s="727"/>
      <c r="I47" s="727"/>
      <c r="J47" s="727"/>
      <c r="K47" s="727"/>
      <c r="L47" s="727"/>
      <c r="M47" s="736"/>
      <c r="N47" s="736"/>
      <c r="O47" s="727"/>
      <c r="P47" s="736"/>
      <c r="Q47" s="736"/>
      <c r="R47" s="730"/>
    </row>
    <row r="48" spans="1:18">
      <c r="A48" s="823" t="s">
        <v>228</v>
      </c>
      <c r="B48" s="830"/>
      <c r="C48" s="1025">
        <f ca="1">'Eigen vloot'!B31</f>
        <v>0</v>
      </c>
      <c r="D48" s="1025">
        <f>'Eigen vloot'!C31</f>
        <v>0</v>
      </c>
      <c r="E48" s="1025">
        <f>'Eigen vloot'!D31</f>
        <v>0</v>
      </c>
      <c r="F48" s="1025">
        <f>'Eigen vloot'!E31</f>
        <v>0</v>
      </c>
      <c r="G48" s="1025">
        <f>'Eigen vloot'!F31</f>
        <v>0</v>
      </c>
      <c r="H48" s="1025">
        <f>'Eigen vloot'!G31</f>
        <v>0</v>
      </c>
      <c r="I48" s="1025">
        <f>'Eigen vloot'!H31</f>
        <v>0</v>
      </c>
      <c r="J48" s="1025">
        <f>'Eigen vloot'!I31</f>
        <v>0</v>
      </c>
      <c r="K48" s="1025">
        <f>'Eigen vloot'!J31</f>
        <v>0</v>
      </c>
      <c r="L48" s="1025">
        <f>'Eigen vloot'!K31</f>
        <v>0</v>
      </c>
      <c r="M48" s="1025">
        <f>'Eigen vloot'!L31</f>
        <v>0</v>
      </c>
      <c r="N48" s="1025">
        <f>'Eigen vloot'!M31</f>
        <v>0</v>
      </c>
      <c r="O48" s="1025">
        <f>'Eigen vloot'!N31</f>
        <v>0</v>
      </c>
      <c r="P48" s="1025">
        <f>'Eigen vloot'!O31</f>
        <v>0</v>
      </c>
      <c r="Q48" s="1025">
        <f>'Eigen vloot'!P31</f>
        <v>0</v>
      </c>
      <c r="R48" s="731">
        <f ca="1">SUM(C48:Q48)</f>
        <v>0</v>
      </c>
    </row>
    <row r="49" spans="1:18">
      <c r="A49" s="823" t="s">
        <v>229</v>
      </c>
      <c r="B49" s="830"/>
      <c r="C49" s="1025">
        <f ca="1">transport!B58</f>
        <v>0</v>
      </c>
      <c r="D49" s="1025">
        <f ca="1">transport!C58</f>
        <v>0</v>
      </c>
      <c r="E49" s="1025">
        <f>transport!D58</f>
        <v>0</v>
      </c>
      <c r="F49" s="1025">
        <f>transport!E58</f>
        <v>0</v>
      </c>
      <c r="G49" s="1025">
        <f>transport!F58</f>
        <v>0</v>
      </c>
      <c r="H49" s="1025">
        <f>transport!G58</f>
        <v>112.52841566083457</v>
      </c>
      <c r="I49" s="1025">
        <f>transport!H58</f>
        <v>0</v>
      </c>
      <c r="J49" s="1025">
        <f>transport!I58</f>
        <v>0</v>
      </c>
      <c r="K49" s="1025">
        <f>transport!J58</f>
        <v>0</v>
      </c>
      <c r="L49" s="1025">
        <f>transport!K58</f>
        <v>0</v>
      </c>
      <c r="M49" s="1025">
        <f>transport!L58</f>
        <v>0</v>
      </c>
      <c r="N49" s="1025">
        <f>transport!M58</f>
        <v>0</v>
      </c>
      <c r="O49" s="1025">
        <f>transport!N58</f>
        <v>0</v>
      </c>
      <c r="P49" s="1025">
        <f>transport!O58</f>
        <v>0</v>
      </c>
      <c r="Q49" s="1026">
        <f>transport!P58</f>
        <v>0</v>
      </c>
      <c r="R49" s="731">
        <f ca="1">SUM(C49:Q49)</f>
        <v>112.52841566083457</v>
      </c>
    </row>
    <row r="50" spans="1:18">
      <c r="A50" s="826" t="s">
        <v>307</v>
      </c>
      <c r="B50" s="836"/>
      <c r="C50" s="704">
        <f ca="1">transport!B18</f>
        <v>1.0186480632394506</v>
      </c>
      <c r="D50" s="704">
        <f>transport!C18</f>
        <v>0</v>
      </c>
      <c r="E50" s="704">
        <f>transport!D18</f>
        <v>2.7038400168955845</v>
      </c>
      <c r="F50" s="704">
        <f>transport!E18</f>
        <v>19.288104856723109</v>
      </c>
      <c r="G50" s="704">
        <f>transport!F18</f>
        <v>0</v>
      </c>
      <c r="H50" s="704">
        <f>transport!G18</f>
        <v>6201.1487562505381</v>
      </c>
      <c r="I50" s="704">
        <f>transport!H18</f>
        <v>1257.6632720252701</v>
      </c>
      <c r="J50" s="704">
        <f>transport!I18</f>
        <v>0</v>
      </c>
      <c r="K50" s="704">
        <f>transport!J18</f>
        <v>0</v>
      </c>
      <c r="L50" s="704">
        <f>transport!K18</f>
        <v>0</v>
      </c>
      <c r="M50" s="704">
        <f>transport!L18</f>
        <v>0</v>
      </c>
      <c r="N50" s="704">
        <f>transport!M18</f>
        <v>0</v>
      </c>
      <c r="O50" s="704">
        <f>transport!N18</f>
        <v>0</v>
      </c>
      <c r="P50" s="704">
        <f>transport!O18</f>
        <v>0</v>
      </c>
      <c r="Q50" s="705">
        <f>transport!P18</f>
        <v>0</v>
      </c>
      <c r="R50" s="732">
        <f ca="1">SUM(C50:Q50)</f>
        <v>7481.8226212126665</v>
      </c>
    </row>
    <row r="51" spans="1:18" ht="15" thickBot="1">
      <c r="A51" s="823" t="s">
        <v>863</v>
      </c>
      <c r="B51" s="830"/>
      <c r="C51" s="1025"/>
      <c r="D51" s="1025"/>
      <c r="E51" s="1025"/>
      <c r="F51" s="1025"/>
      <c r="G51" s="1025"/>
      <c r="H51" s="1025"/>
      <c r="I51" s="1025"/>
      <c r="J51" s="1025"/>
      <c r="K51" s="1025"/>
      <c r="L51" s="1025"/>
      <c r="M51" s="1025"/>
      <c r="N51" s="1025"/>
      <c r="O51" s="1025"/>
      <c r="P51" s="1025"/>
      <c r="Q51" s="1026"/>
      <c r="R51" s="731"/>
    </row>
    <row r="52" spans="1:18" ht="15.75" thickBot="1">
      <c r="A52" s="824" t="s">
        <v>230</v>
      </c>
      <c r="B52" s="837"/>
      <c r="C52" s="733">
        <f ca="1">SUM(C48:C51)</f>
        <v>1.0186480632394506</v>
      </c>
      <c r="D52" s="733">
        <f t="shared" ref="D52:Q52" ca="1" si="6">SUM(D48:D51)</f>
        <v>0</v>
      </c>
      <c r="E52" s="733">
        <f t="shared" si="6"/>
        <v>2.7038400168955845</v>
      </c>
      <c r="F52" s="733">
        <f t="shared" si="6"/>
        <v>19.288104856723109</v>
      </c>
      <c r="G52" s="733">
        <f t="shared" si="6"/>
        <v>0</v>
      </c>
      <c r="H52" s="733">
        <f t="shared" si="6"/>
        <v>6313.6771719113731</v>
      </c>
      <c r="I52" s="733">
        <f t="shared" si="6"/>
        <v>1257.6632720252701</v>
      </c>
      <c r="J52" s="733">
        <f t="shared" si="6"/>
        <v>0</v>
      </c>
      <c r="K52" s="733">
        <f t="shared" si="6"/>
        <v>0</v>
      </c>
      <c r="L52" s="733">
        <f t="shared" si="6"/>
        <v>0</v>
      </c>
      <c r="M52" s="733">
        <f t="shared" si="6"/>
        <v>0</v>
      </c>
      <c r="N52" s="733">
        <f t="shared" si="6"/>
        <v>0</v>
      </c>
      <c r="O52" s="733">
        <f t="shared" si="6"/>
        <v>0</v>
      </c>
      <c r="P52" s="733">
        <f t="shared" si="6"/>
        <v>0</v>
      </c>
      <c r="Q52" s="733">
        <f t="shared" si="6"/>
        <v>0</v>
      </c>
      <c r="R52" s="733">
        <f ca="1">SUM(R48:R51)</f>
        <v>7594.3510368735015</v>
      </c>
    </row>
    <row r="53" spans="1:18" ht="15.75">
      <c r="A53" s="825" t="s">
        <v>237</v>
      </c>
      <c r="B53" s="805"/>
      <c r="C53" s="726"/>
      <c r="D53" s="727"/>
      <c r="E53" s="727"/>
      <c r="F53" s="727"/>
      <c r="G53" s="727"/>
      <c r="H53" s="727"/>
      <c r="I53" s="727"/>
      <c r="J53" s="727"/>
      <c r="K53" s="727"/>
      <c r="L53" s="727"/>
      <c r="M53" s="736"/>
      <c r="N53" s="736"/>
      <c r="O53" s="727"/>
      <c r="P53" s="736"/>
      <c r="Q53" s="736"/>
      <c r="R53" s="730"/>
    </row>
    <row r="54" spans="1:18">
      <c r="A54" s="826" t="s">
        <v>648</v>
      </c>
      <c r="B54" s="836"/>
      <c r="C54" s="704">
        <f ca="1">+landbouw!B12</f>
        <v>335.98053358399244</v>
      </c>
      <c r="D54" s="704">
        <f ca="1">+landbouw!C12</f>
        <v>0</v>
      </c>
      <c r="E54" s="704">
        <f>+landbouw!D12</f>
        <v>487.87671856000003</v>
      </c>
      <c r="F54" s="704">
        <f>+landbouw!E12</f>
        <v>3.4452612782137635</v>
      </c>
      <c r="G54" s="704">
        <f>+landbouw!F12</f>
        <v>1110.0338645261161</v>
      </c>
      <c r="H54" s="704">
        <f>+landbouw!G12</f>
        <v>0</v>
      </c>
      <c r="I54" s="704">
        <f>+landbouw!H12</f>
        <v>0</v>
      </c>
      <c r="J54" s="704">
        <f>+landbouw!I12</f>
        <v>0</v>
      </c>
      <c r="K54" s="704">
        <f>+landbouw!J12</f>
        <v>88.930128968995021</v>
      </c>
      <c r="L54" s="704">
        <f>+landbouw!K12</f>
        <v>0</v>
      </c>
      <c r="M54" s="704">
        <f>+landbouw!L12</f>
        <v>0</v>
      </c>
      <c r="N54" s="704">
        <f>+landbouw!M12</f>
        <v>0</v>
      </c>
      <c r="O54" s="704">
        <f>+landbouw!N12</f>
        <v>0</v>
      </c>
      <c r="P54" s="704">
        <f>+landbouw!O12</f>
        <v>0</v>
      </c>
      <c r="Q54" s="705">
        <f>+landbouw!P12</f>
        <v>0</v>
      </c>
      <c r="R54" s="732">
        <f ca="1">SUM(C54:Q54)</f>
        <v>2026.2665069173172</v>
      </c>
    </row>
    <row r="55" spans="1:18" ht="15" thickBot="1">
      <c r="A55" s="826" t="s">
        <v>864</v>
      </c>
      <c r="B55" s="836"/>
      <c r="C55" s="704">
        <f ca="1">C25*'EF ele_warmte'!B12</f>
        <v>37.887813088878346</v>
      </c>
      <c r="D55" s="704"/>
      <c r="E55" s="704">
        <f>E25*EF_CO2_aardgas</f>
        <v>29.554216</v>
      </c>
      <c r="F55" s="704"/>
      <c r="G55" s="704"/>
      <c r="H55" s="704"/>
      <c r="I55" s="704"/>
      <c r="J55" s="704"/>
      <c r="K55" s="704"/>
      <c r="L55" s="704"/>
      <c r="M55" s="704"/>
      <c r="N55" s="704"/>
      <c r="O55" s="704"/>
      <c r="P55" s="704"/>
      <c r="Q55" s="705"/>
      <c r="R55" s="732">
        <f ca="1">SUM(C55:Q55)</f>
        <v>67.442029088878343</v>
      </c>
    </row>
    <row r="56" spans="1:18" ht="15.75" thickBot="1">
      <c r="A56" s="824" t="s">
        <v>865</v>
      </c>
      <c r="B56" s="837"/>
      <c r="C56" s="733">
        <f ca="1">SUM(C54:C55)</f>
        <v>373.86834667287076</v>
      </c>
      <c r="D56" s="733">
        <f t="shared" ref="D56:Q56" ca="1" si="7">SUM(D54:D55)</f>
        <v>0</v>
      </c>
      <c r="E56" s="733">
        <f t="shared" si="7"/>
        <v>517.43093456000008</v>
      </c>
      <c r="F56" s="733">
        <f t="shared" si="7"/>
        <v>3.4452612782137635</v>
      </c>
      <c r="G56" s="733">
        <f t="shared" si="7"/>
        <v>1110.0338645261161</v>
      </c>
      <c r="H56" s="733">
        <f t="shared" si="7"/>
        <v>0</v>
      </c>
      <c r="I56" s="733">
        <f t="shared" si="7"/>
        <v>0</v>
      </c>
      <c r="J56" s="733">
        <f t="shared" si="7"/>
        <v>0</v>
      </c>
      <c r="K56" s="733">
        <f t="shared" si="7"/>
        <v>88.930128968995021</v>
      </c>
      <c r="L56" s="733">
        <f t="shared" si="7"/>
        <v>0</v>
      </c>
      <c r="M56" s="733">
        <f t="shared" si="7"/>
        <v>0</v>
      </c>
      <c r="N56" s="733">
        <f t="shared" si="7"/>
        <v>0</v>
      </c>
      <c r="O56" s="733">
        <f t="shared" si="7"/>
        <v>0</v>
      </c>
      <c r="P56" s="733">
        <f t="shared" si="7"/>
        <v>0</v>
      </c>
      <c r="Q56" s="734">
        <f t="shared" si="7"/>
        <v>0</v>
      </c>
      <c r="R56" s="735">
        <f ca="1">SUM(R54:R55)</f>
        <v>2093.7085360061956</v>
      </c>
    </row>
    <row r="57" spans="1:18" ht="15.75">
      <c r="A57" s="805" t="s">
        <v>649</v>
      </c>
      <c r="B57" s="805"/>
      <c r="C57" s="738"/>
      <c r="D57" s="727"/>
      <c r="E57" s="727"/>
      <c r="F57" s="727"/>
      <c r="G57" s="727"/>
      <c r="H57" s="727"/>
      <c r="I57" s="727"/>
      <c r="J57" s="727"/>
      <c r="K57" s="727"/>
      <c r="L57" s="727"/>
      <c r="M57" s="736"/>
      <c r="N57" s="736"/>
      <c r="O57" s="727"/>
      <c r="P57" s="736"/>
      <c r="Q57" s="736"/>
      <c r="R57" s="730"/>
    </row>
    <row r="58" spans="1:18" ht="15">
      <c r="A58" s="827" t="s">
        <v>238</v>
      </c>
      <c r="B58" s="841"/>
      <c r="C58" s="1147"/>
      <c r="D58" s="1148"/>
      <c r="E58" s="1148"/>
      <c r="F58" s="1148"/>
      <c r="G58" s="1148"/>
      <c r="H58" s="1148"/>
      <c r="I58" s="1148"/>
      <c r="J58" s="1148"/>
      <c r="K58" s="1148"/>
      <c r="L58" s="1148"/>
      <c r="M58" s="1148"/>
      <c r="N58" s="1148"/>
      <c r="O58" s="1148"/>
      <c r="P58" s="1148"/>
      <c r="Q58" s="1148"/>
      <c r="R58" s="739"/>
    </row>
    <row r="59" spans="1:18" ht="15">
      <c r="A59" s="828" t="s">
        <v>239</v>
      </c>
      <c r="B59" s="815"/>
      <c r="C59" s="1149"/>
      <c r="D59" s="1150"/>
      <c r="E59" s="1150"/>
      <c r="F59" s="1150"/>
      <c r="G59" s="1150"/>
      <c r="H59" s="1150"/>
      <c r="I59" s="1150"/>
      <c r="J59" s="1150"/>
      <c r="K59" s="1150"/>
      <c r="L59" s="1150"/>
      <c r="M59" s="1150"/>
      <c r="N59" s="1150"/>
      <c r="O59" s="1150"/>
      <c r="P59" s="1150"/>
      <c r="Q59" s="1150"/>
      <c r="R59" s="740"/>
    </row>
    <row r="60" spans="1:18" ht="15" thickBot="1">
      <c r="A60" s="839" t="s">
        <v>240</v>
      </c>
      <c r="B60" s="840"/>
      <c r="C60" s="1149"/>
      <c r="D60" s="1150"/>
      <c r="E60" s="1150"/>
      <c r="F60" s="1150"/>
      <c r="G60" s="1150"/>
      <c r="H60" s="1150"/>
      <c r="I60" s="1150"/>
      <c r="J60" s="1150"/>
      <c r="K60" s="1150"/>
      <c r="L60" s="1150"/>
      <c r="M60" s="1150"/>
      <c r="N60" s="1150"/>
      <c r="O60" s="1150"/>
      <c r="P60" s="1150"/>
      <c r="Q60" s="1150"/>
      <c r="R60" s="732"/>
    </row>
    <row r="61" spans="1:18" ht="16.5" thickBot="1">
      <c r="A61" s="842" t="s">
        <v>116</v>
      </c>
      <c r="B61" s="843"/>
      <c r="C61" s="741">
        <f ca="1">C46+C52+C56</f>
        <v>12831.199490398121</v>
      </c>
      <c r="D61" s="741">
        <f t="shared" ref="D61:Q61" ca="1" si="8">D46+D52+D56</f>
        <v>0</v>
      </c>
      <c r="E61" s="741">
        <f t="shared" ca="1" si="8"/>
        <v>5720.2241802968965</v>
      </c>
      <c r="F61" s="741">
        <f t="shared" si="8"/>
        <v>2774.3506135869361</v>
      </c>
      <c r="G61" s="741">
        <f t="shared" ca="1" si="8"/>
        <v>17714.172320099573</v>
      </c>
      <c r="H61" s="741">
        <f t="shared" si="8"/>
        <v>6313.6771719113731</v>
      </c>
      <c r="I61" s="741">
        <f t="shared" si="8"/>
        <v>1257.6632720252701</v>
      </c>
      <c r="J61" s="741">
        <f t="shared" si="8"/>
        <v>0</v>
      </c>
      <c r="K61" s="741">
        <f t="shared" si="8"/>
        <v>221.4416251305073</v>
      </c>
      <c r="L61" s="741">
        <f t="shared" si="8"/>
        <v>0</v>
      </c>
      <c r="M61" s="741">
        <f t="shared" ca="1" si="8"/>
        <v>0</v>
      </c>
      <c r="N61" s="741">
        <f t="shared" si="8"/>
        <v>0</v>
      </c>
      <c r="O61" s="741">
        <f t="shared" ca="1" si="8"/>
        <v>0</v>
      </c>
      <c r="P61" s="741">
        <f t="shared" si="8"/>
        <v>0</v>
      </c>
      <c r="Q61" s="741">
        <f t="shared" si="8"/>
        <v>0</v>
      </c>
      <c r="R61" s="741">
        <f ca="1">R46+R52+R56</f>
        <v>46832.728673448677</v>
      </c>
    </row>
    <row r="62" spans="1:18" ht="15.75" thickTop="1" thickBot="1">
      <c r="A62" s="1015"/>
      <c r="B62" s="1015"/>
      <c r="C62" s="742"/>
      <c r="D62" s="742"/>
      <c r="E62" s="743"/>
      <c r="F62" s="743"/>
      <c r="G62" s="743"/>
      <c r="H62" s="743"/>
      <c r="I62" s="743"/>
      <c r="J62" s="743"/>
      <c r="K62" s="743"/>
      <c r="L62" s="743"/>
      <c r="M62" s="743"/>
      <c r="N62" s="743"/>
      <c r="O62" s="743"/>
      <c r="P62" s="743"/>
      <c r="Q62" s="743"/>
      <c r="R62" s="743"/>
    </row>
    <row r="63" spans="1:18" ht="20.25" thickTop="1" thickBot="1">
      <c r="A63" s="744" t="s">
        <v>348</v>
      </c>
      <c r="B63" s="822"/>
      <c r="C63" s="782">
        <f t="shared" ref="C63:Q63" ca="1" si="9">IF(ISERROR(C61/C27),0,C61/C27)</f>
        <v>0.20504171472650515</v>
      </c>
      <c r="D63" s="782">
        <f t="shared" ca="1" si="9"/>
        <v>0</v>
      </c>
      <c r="E63" s="1036">
        <f t="shared" ca="1" si="9"/>
        <v>0.20200000000000004</v>
      </c>
      <c r="F63" s="782">
        <f t="shared" si="9"/>
        <v>0.22700000000000001</v>
      </c>
      <c r="G63" s="782">
        <f t="shared" ca="1" si="9"/>
        <v>0.26700000000000002</v>
      </c>
      <c r="H63" s="782">
        <f t="shared" si="9"/>
        <v>0.26700000000000002</v>
      </c>
      <c r="I63" s="782">
        <f t="shared" si="9"/>
        <v>0.249</v>
      </c>
      <c r="J63" s="782">
        <f t="shared" si="9"/>
        <v>0</v>
      </c>
      <c r="K63" s="782">
        <f t="shared" si="9"/>
        <v>0.35399999999999998</v>
      </c>
      <c r="L63" s="782">
        <f t="shared" si="9"/>
        <v>0</v>
      </c>
      <c r="M63" s="782">
        <f t="shared" ca="1" si="9"/>
        <v>0</v>
      </c>
      <c r="N63" s="782">
        <f t="shared" si="9"/>
        <v>0</v>
      </c>
      <c r="O63" s="782">
        <f t="shared" ca="1" si="9"/>
        <v>0</v>
      </c>
      <c r="P63" s="782">
        <f t="shared" si="9"/>
        <v>0</v>
      </c>
      <c r="Q63" s="782">
        <f t="shared" si="9"/>
        <v>0</v>
      </c>
      <c r="R63" s="743"/>
    </row>
    <row r="64" spans="1:18" ht="33" thickTop="1" thickBot="1">
      <c r="A64" s="829" t="s">
        <v>349</v>
      </c>
      <c r="B64" s="807"/>
      <c r="C64" s="783">
        <f>'EF ele_warmte'!B6</f>
        <v>0.221</v>
      </c>
      <c r="D64" s="784"/>
      <c r="E64" s="785"/>
      <c r="F64" s="786"/>
      <c r="G64" s="786"/>
      <c r="H64" s="786"/>
      <c r="I64" s="786"/>
      <c r="J64" s="786"/>
      <c r="K64" s="786"/>
      <c r="L64" s="786"/>
      <c r="M64" s="786"/>
      <c r="N64" s="786"/>
      <c r="O64" s="786"/>
      <c r="P64" s="786"/>
      <c r="Q64" s="786"/>
      <c r="R64" s="743"/>
    </row>
    <row r="65" spans="1:18" ht="15" thickTop="1">
      <c r="A65" s="745"/>
      <c r="B65" s="745"/>
      <c r="C65" s="743"/>
      <c r="D65" s="743"/>
      <c r="E65" s="743"/>
      <c r="F65" s="743"/>
      <c r="G65" s="743"/>
      <c r="H65" s="743"/>
      <c r="I65" s="743"/>
      <c r="J65" s="743"/>
      <c r="K65" s="743"/>
      <c r="L65" s="743"/>
      <c r="M65" s="743"/>
      <c r="N65" s="743"/>
      <c r="O65" s="743"/>
      <c r="P65" s="743"/>
      <c r="Q65" s="743"/>
      <c r="R65" s="743"/>
    </row>
    <row r="66" spans="1:18" ht="18.75">
      <c r="A66" s="746" t="s">
        <v>350</v>
      </c>
      <c r="B66" s="746"/>
      <c r="C66" s="719"/>
      <c r="D66" s="747"/>
      <c r="E66" s="719"/>
      <c r="F66" s="719"/>
      <c r="G66" s="719"/>
      <c r="H66" s="719"/>
      <c r="I66" s="719"/>
      <c r="J66" s="719"/>
      <c r="K66" s="719"/>
      <c r="L66" s="719"/>
      <c r="M66" s="719"/>
      <c r="N66" s="719"/>
      <c r="O66" s="719"/>
      <c r="P66" s="748"/>
      <c r="Q66" s="748"/>
      <c r="R66" s="748"/>
    </row>
    <row r="67" spans="1:18">
      <c r="A67" s="1116"/>
      <c r="B67" s="1116"/>
      <c r="C67" s="1116"/>
      <c r="D67" s="1116"/>
      <c r="E67" s="1116"/>
      <c r="F67" s="1116"/>
      <c r="G67" s="1116"/>
      <c r="H67" s="1116"/>
      <c r="I67" s="1116"/>
      <c r="J67" s="1116"/>
      <c r="K67" s="1116"/>
      <c r="L67" s="1116"/>
      <c r="M67" s="1116"/>
      <c r="N67" s="1116"/>
      <c r="O67" s="1116"/>
      <c r="P67" s="1116"/>
      <c r="Q67" s="1116"/>
      <c r="R67" s="749"/>
    </row>
    <row r="68" spans="1:18" ht="16.5" customHeight="1" thickBot="1">
      <c r="A68" s="722"/>
      <c r="B68" s="722"/>
      <c r="C68" s="723"/>
      <c r="D68" s="723"/>
      <c r="E68" s="723"/>
      <c r="F68" s="723"/>
      <c r="G68" s="723"/>
      <c r="H68" s="723"/>
      <c r="I68" s="723"/>
      <c r="J68" s="723"/>
      <c r="K68" s="723"/>
      <c r="L68" s="723"/>
      <c r="M68" s="723"/>
      <c r="N68" s="723"/>
      <c r="O68" s="723"/>
      <c r="P68" s="723"/>
      <c r="Q68" s="723"/>
      <c r="R68" s="723"/>
    </row>
    <row r="69" spans="1:18" ht="48.75" customHeight="1" thickTop="1" thickBot="1">
      <c r="A69" s="1117" t="s">
        <v>241</v>
      </c>
      <c r="B69" s="1095" t="s">
        <v>351</v>
      </c>
      <c r="C69" s="1096"/>
      <c r="D69" s="1139" t="s">
        <v>352</v>
      </c>
      <c r="E69" s="1140"/>
      <c r="F69" s="1140"/>
      <c r="G69" s="1140"/>
      <c r="H69" s="1140"/>
      <c r="I69" s="1140"/>
      <c r="J69" s="1140"/>
      <c r="K69" s="1140"/>
      <c r="L69" s="1140"/>
      <c r="M69" s="1140"/>
      <c r="N69" s="1140"/>
      <c r="O69" s="1141"/>
      <c r="P69" s="1037" t="s">
        <v>657</v>
      </c>
      <c r="Q69" s="1142" t="s">
        <v>656</v>
      </c>
      <c r="R69" s="1143"/>
    </row>
    <row r="70" spans="1:18" ht="61.5" thickTop="1" thickBot="1">
      <c r="A70" s="1118"/>
      <c r="B70" s="1137"/>
      <c r="C70" s="1138"/>
      <c r="D70" s="1144" t="s">
        <v>197</v>
      </c>
      <c r="E70" s="1145"/>
      <c r="F70" s="1145"/>
      <c r="G70" s="1145"/>
      <c r="H70" s="1146"/>
      <c r="I70" s="1008" t="s">
        <v>246</v>
      </c>
      <c r="J70" s="1008" t="s">
        <v>234</v>
      </c>
      <c r="K70" s="1008" t="s">
        <v>209</v>
      </c>
      <c r="L70" s="1008" t="s">
        <v>210</v>
      </c>
      <c r="M70" s="750" t="s">
        <v>245</v>
      </c>
      <c r="N70" s="1008" t="s">
        <v>247</v>
      </c>
      <c r="O70" s="1010" t="s">
        <v>127</v>
      </c>
      <c r="P70" s="1038"/>
      <c r="Q70" s="857"/>
      <c r="R70" s="858"/>
    </row>
    <row r="71" spans="1:18" ht="95.25" customHeight="1" thickTop="1" thickBot="1">
      <c r="A71" s="1119"/>
      <c r="B71" s="1013" t="s">
        <v>655</v>
      </c>
      <c r="C71" s="1013" t="s">
        <v>866</v>
      </c>
      <c r="D71" s="1039" t="s">
        <v>199</v>
      </c>
      <c r="E71" s="1040" t="s">
        <v>200</v>
      </c>
      <c r="F71" s="1008" t="s">
        <v>201</v>
      </c>
      <c r="G71" s="1005" t="s">
        <v>203</v>
      </c>
      <c r="H71" s="1041" t="s">
        <v>204</v>
      </c>
      <c r="I71" s="1009"/>
      <c r="J71" s="1009"/>
      <c r="K71" s="1009"/>
      <c r="L71" s="1009"/>
      <c r="M71" s="1006"/>
      <c r="N71" s="1009"/>
      <c r="O71" s="1014"/>
      <c r="P71" s="1042"/>
      <c r="Q71" s="1016" t="s">
        <v>658</v>
      </c>
      <c r="R71" s="1014" t="s">
        <v>659</v>
      </c>
    </row>
    <row r="72" spans="1:18" ht="15.75" thickTop="1">
      <c r="A72" s="751" t="s">
        <v>249</v>
      </c>
      <c r="B72" s="844">
        <f>'lokale energieproductie'!B4</f>
        <v>0</v>
      </c>
      <c r="C72" s="1135"/>
      <c r="D72" s="1135"/>
      <c r="E72" s="1136"/>
      <c r="F72" s="1136"/>
      <c r="G72" s="1126"/>
      <c r="H72" s="1129"/>
      <c r="I72" s="1132"/>
      <c r="J72" s="1011"/>
      <c r="K72" s="1110"/>
      <c r="L72" s="1110"/>
      <c r="M72" s="1110"/>
      <c r="N72" s="1110"/>
      <c r="O72" s="1113"/>
      <c r="P72" s="852">
        <v>0</v>
      </c>
      <c r="Q72" s="1043"/>
      <c r="R72" s="852">
        <v>0</v>
      </c>
    </row>
    <row r="73" spans="1:18" ht="15">
      <c r="A73" s="752" t="s">
        <v>250</v>
      </c>
      <c r="B73" s="751">
        <f>'lokale energieproductie'!B5</f>
        <v>0</v>
      </c>
      <c r="C73" s="1133"/>
      <c r="D73" s="1133"/>
      <c r="E73" s="1111"/>
      <c r="F73" s="1111"/>
      <c r="G73" s="1127"/>
      <c r="H73" s="1130"/>
      <c r="I73" s="1133"/>
      <c r="J73" s="1012"/>
      <c r="K73" s="1111"/>
      <c r="L73" s="1111"/>
      <c r="M73" s="1111"/>
      <c r="N73" s="1111"/>
      <c r="O73" s="1114"/>
      <c r="P73" s="853">
        <v>0</v>
      </c>
      <c r="Q73" s="859"/>
      <c r="R73" s="853">
        <v>0</v>
      </c>
    </row>
    <row r="74" spans="1:18" ht="15">
      <c r="A74" s="752" t="s">
        <v>251</v>
      </c>
      <c r="B74" s="751">
        <f>'lokale energieproductie'!B6</f>
        <v>4518.756950753982</v>
      </c>
      <c r="C74" s="1133"/>
      <c r="D74" s="1133"/>
      <c r="E74" s="1111"/>
      <c r="F74" s="1111"/>
      <c r="G74" s="1127"/>
      <c r="H74" s="1130"/>
      <c r="I74" s="1133"/>
      <c r="J74" s="1012"/>
      <c r="K74" s="1111"/>
      <c r="L74" s="1111"/>
      <c r="M74" s="1111"/>
      <c r="N74" s="1111"/>
      <c r="O74" s="1114"/>
      <c r="P74" s="853">
        <v>0</v>
      </c>
      <c r="Q74" s="859"/>
      <c r="R74" s="853">
        <v>0</v>
      </c>
    </row>
    <row r="75" spans="1:18" ht="15.75" thickBot="1">
      <c r="A75" s="752" t="s">
        <v>867</v>
      </c>
      <c r="B75" s="751">
        <f>'lokale energieproductie'!B7</f>
        <v>0</v>
      </c>
      <c r="C75" s="1134"/>
      <c r="D75" s="1134"/>
      <c r="E75" s="1112"/>
      <c r="F75" s="1112"/>
      <c r="G75" s="1128"/>
      <c r="H75" s="1131"/>
      <c r="I75" s="1134"/>
      <c r="J75" s="1044"/>
      <c r="K75" s="1112"/>
      <c r="L75" s="1112"/>
      <c r="M75" s="1112"/>
      <c r="N75" s="1112"/>
      <c r="O75" s="1115"/>
      <c r="P75" s="853">
        <v>0</v>
      </c>
      <c r="Q75" s="1045"/>
      <c r="R75" s="853">
        <v>0</v>
      </c>
    </row>
    <row r="76" spans="1:18" ht="15">
      <c r="A76" s="753" t="s">
        <v>252</v>
      </c>
      <c r="B76" s="751">
        <f>'lokale energieproductie'!B8*IFERROR(SUM(I76:O76)/SUM(D76:O76),0)</f>
        <v>0</v>
      </c>
      <c r="C76" s="751">
        <f>'lokale energieproductie'!B8*IFERROR(SUM(D76:H76)/SUM(D76:O76),0)</f>
        <v>0</v>
      </c>
      <c r="D76" s="1046">
        <f>'lokale energieproductie'!C8</f>
        <v>0</v>
      </c>
      <c r="E76" s="1047">
        <f>'lokale energieproductie'!D8</f>
        <v>0</v>
      </c>
      <c r="F76" s="1047">
        <f>'lokale energieproductie'!E8</f>
        <v>0</v>
      </c>
      <c r="G76" s="1047">
        <f>'lokale energieproductie'!F8</f>
        <v>0</v>
      </c>
      <c r="H76" s="1047">
        <f>'lokale energieproductie'!G8</f>
        <v>0</v>
      </c>
      <c r="I76" s="1047">
        <f>'lokale energieproductie'!I8</f>
        <v>0</v>
      </c>
      <c r="J76" s="1047">
        <f>'lokale energieproductie'!J8</f>
        <v>0</v>
      </c>
      <c r="K76" s="1047">
        <f>'lokale energieproductie'!M8</f>
        <v>0</v>
      </c>
      <c r="L76" s="1047">
        <f>'lokale energieproductie'!N8</f>
        <v>0</v>
      </c>
      <c r="M76" s="1047">
        <f>'lokale energieproductie'!H8</f>
        <v>0</v>
      </c>
      <c r="N76" s="1047">
        <f>'lokale energieproductie'!K8</f>
        <v>0</v>
      </c>
      <c r="O76" s="1048">
        <f>'lokale energieproductie'!L8</f>
        <v>0</v>
      </c>
      <c r="P76" s="1049"/>
      <c r="Q76" s="854">
        <f>D76*EF_CO2_aardgas+E76*EF_VLgas_CO2+'SEAP template'!F76*EF_stookolie_CO2+EF_bruinkool_CO2*'SEAP template'!G76+'SEAP template'!H76*EF_steenkool_CO2+'EF brandstof'!M4*'SEAP template'!M76+'SEAP template'!O76*EF_anderfossiel_CO2</f>
        <v>0</v>
      </c>
      <c r="R76" s="853">
        <v>0</v>
      </c>
    </row>
    <row r="77" spans="1:18" ht="30.75" thickBot="1">
      <c r="A77" s="754" t="s">
        <v>353</v>
      </c>
      <c r="B77" s="751">
        <f>'lokale energieproductie'!B9*IFERROR(SUM(I77:O77)/SUM(D77:O77),0)</f>
        <v>0</v>
      </c>
      <c r="C77" s="751">
        <f>'lokale energieproductie'!B9*IFERROR(SUM(D77:H77)/SUM(D77:O77),0)</f>
        <v>0</v>
      </c>
      <c r="D77" s="776">
        <f>'lokale energieproductie'!C9</f>
        <v>0</v>
      </c>
      <c r="E77" s="777">
        <f>'lokale energieproductie'!D9</f>
        <v>0</v>
      </c>
      <c r="F77" s="777">
        <f>'lokale energieproductie'!E9</f>
        <v>0</v>
      </c>
      <c r="G77" s="777">
        <f>'lokale energieproductie'!F9</f>
        <v>0</v>
      </c>
      <c r="H77" s="777">
        <f>'lokale energieproductie'!G9</f>
        <v>0</v>
      </c>
      <c r="I77" s="1047">
        <f>'lokale energieproductie'!I9</f>
        <v>0</v>
      </c>
      <c r="J77" s="1047">
        <f>'lokale energieproductie'!J9</f>
        <v>0</v>
      </c>
      <c r="K77" s="1047">
        <f>'lokale energieproductie'!M9</f>
        <v>0</v>
      </c>
      <c r="L77" s="1047">
        <f>'lokale energieproductie'!N9</f>
        <v>0</v>
      </c>
      <c r="M77" s="1047">
        <f>'lokale energieproductie'!H9</f>
        <v>0</v>
      </c>
      <c r="N77" s="1047">
        <f>'lokale energieproductie'!K9</f>
        <v>0</v>
      </c>
      <c r="O77" s="1048">
        <f>'lokale energieproductie'!L9</f>
        <v>0</v>
      </c>
      <c r="P77" s="846"/>
      <c r="Q77" s="854">
        <f>D77*EF_CO2_aardgas+E77*EF_VLgas_CO2+'SEAP template'!F77*EF_stookolie_CO2+EF_bruinkool_CO2*'SEAP template'!G77+'SEAP template'!H77*EF_steenkool_CO2+'EF brandstof'!M4*'SEAP template'!M77+'SEAP template'!O77*EF_anderfossiel_CO2</f>
        <v>0</v>
      </c>
      <c r="R77" s="856">
        <v>0</v>
      </c>
    </row>
    <row r="78" spans="1:18" ht="16.5" thickTop="1" thickBot="1">
      <c r="A78" s="755" t="s">
        <v>116</v>
      </c>
      <c r="B78" s="756">
        <f>SUM(B72:B77)</f>
        <v>4518.756950753982</v>
      </c>
      <c r="C78" s="756">
        <f>SUM(C72:C77)</f>
        <v>0</v>
      </c>
      <c r="D78" s="757">
        <f t="shared" ref="D78:H78" si="10">SUM(D76:D77)</f>
        <v>0</v>
      </c>
      <c r="E78" s="757">
        <f t="shared" si="10"/>
        <v>0</v>
      </c>
      <c r="F78" s="757">
        <f t="shared" si="10"/>
        <v>0</v>
      </c>
      <c r="G78" s="757">
        <f t="shared" si="10"/>
        <v>0</v>
      </c>
      <c r="H78" s="757">
        <f t="shared" si="10"/>
        <v>0</v>
      </c>
      <c r="I78" s="757">
        <f>SUM(I76:I77)</f>
        <v>0</v>
      </c>
      <c r="J78" s="757">
        <f>SUM(J76:J77)</f>
        <v>0</v>
      </c>
      <c r="K78" s="757">
        <f t="shared" ref="K78:L78" si="11">SUM(K76:K77)</f>
        <v>0</v>
      </c>
      <c r="L78" s="757">
        <f t="shared" si="11"/>
        <v>0</v>
      </c>
      <c r="M78" s="757">
        <f>SUM(M76:M77)</f>
        <v>0</v>
      </c>
      <c r="N78" s="757">
        <f>SUM(N76:N77)</f>
        <v>0</v>
      </c>
      <c r="O78" s="861">
        <f>SUM(O76:O77)</f>
        <v>0</v>
      </c>
      <c r="P78" s="758">
        <v>0</v>
      </c>
      <c r="Q78" s="758">
        <f>SUM(Q76:Q77)</f>
        <v>0</v>
      </c>
      <c r="R78" s="758">
        <f>SUM(R72:R77)</f>
        <v>0</v>
      </c>
    </row>
    <row r="79" spans="1:18" ht="15.75" thickTop="1">
      <c r="A79" s="759"/>
      <c r="B79" s="808"/>
      <c r="C79" s="760"/>
      <c r="D79" s="760"/>
      <c r="E79" s="720"/>
      <c r="F79" s="719"/>
      <c r="G79" s="719"/>
      <c r="H79" s="719"/>
      <c r="I79" s="761"/>
      <c r="J79" s="719"/>
      <c r="K79" s="719"/>
      <c r="L79" s="719"/>
      <c r="M79" s="719"/>
      <c r="N79" s="762"/>
      <c r="O79" s="719"/>
      <c r="P79" s="719"/>
      <c r="Q79" s="719"/>
      <c r="R79" s="719"/>
    </row>
    <row r="80" spans="1:18" ht="15">
      <c r="A80" s="1015"/>
      <c r="B80" s="1015"/>
      <c r="C80" s="760"/>
      <c r="D80" s="760"/>
      <c r="E80" s="719"/>
      <c r="F80" s="719"/>
      <c r="G80" s="719"/>
      <c r="H80" s="719"/>
      <c r="I80" s="719"/>
      <c r="J80" s="719"/>
      <c r="K80" s="719"/>
      <c r="L80" s="719"/>
      <c r="M80" s="719"/>
      <c r="N80" s="719"/>
      <c r="O80" s="719"/>
      <c r="P80" s="719"/>
      <c r="Q80" s="719"/>
      <c r="R80" s="719"/>
    </row>
    <row r="81" spans="1:19" ht="18.75">
      <c r="A81" s="763" t="s">
        <v>354</v>
      </c>
      <c r="B81" s="763"/>
      <c r="C81" s="764"/>
      <c r="D81" s="747"/>
      <c r="E81" s="719"/>
      <c r="F81" s="719"/>
      <c r="G81" s="719"/>
      <c r="H81" s="719"/>
      <c r="I81" s="719"/>
      <c r="J81" s="719"/>
      <c r="K81" s="719"/>
      <c r="L81" s="719"/>
      <c r="M81" s="719"/>
      <c r="N81" s="719"/>
      <c r="O81" s="719"/>
      <c r="P81" s="719"/>
      <c r="Q81" s="719"/>
      <c r="R81" s="719"/>
    </row>
    <row r="82" spans="1:19">
      <c r="A82" s="1116"/>
      <c r="B82" s="1116"/>
      <c r="C82" s="1116"/>
      <c r="D82" s="1116"/>
      <c r="E82" s="1116"/>
      <c r="F82" s="1116"/>
      <c r="G82" s="1116"/>
      <c r="H82" s="1116"/>
      <c r="I82" s="1116"/>
      <c r="J82" s="1116"/>
      <c r="K82" s="1116"/>
      <c r="L82" s="1116"/>
      <c r="M82" s="1116"/>
      <c r="N82" s="1116"/>
      <c r="O82" s="1116"/>
      <c r="P82" s="1116"/>
      <c r="Q82" s="749"/>
      <c r="R82" s="749"/>
    </row>
    <row r="83" spans="1:19" ht="15.75" thickBot="1">
      <c r="A83" s="722"/>
      <c r="B83" s="722"/>
      <c r="C83" s="723"/>
      <c r="D83" s="723"/>
      <c r="E83" s="723"/>
      <c r="F83" s="723"/>
      <c r="G83" s="723"/>
      <c r="H83" s="723"/>
      <c r="I83" s="723"/>
      <c r="J83" s="723"/>
      <c r="K83" s="723"/>
      <c r="L83" s="723"/>
      <c r="M83" s="723"/>
      <c r="N83" s="723"/>
      <c r="O83" s="723"/>
      <c r="P83" s="723"/>
      <c r="Q83" s="723"/>
      <c r="R83" s="723"/>
    </row>
    <row r="84" spans="1:19" ht="48.2" customHeight="1" thickTop="1" thickBot="1">
      <c r="A84" s="1117" t="s">
        <v>253</v>
      </c>
      <c r="B84" s="1095" t="s">
        <v>355</v>
      </c>
      <c r="C84" s="1120"/>
      <c r="D84" s="1123" t="s">
        <v>356</v>
      </c>
      <c r="E84" s="1124"/>
      <c r="F84" s="1124"/>
      <c r="G84" s="1124"/>
      <c r="H84" s="1124"/>
      <c r="I84" s="1124"/>
      <c r="J84" s="1124"/>
      <c r="K84" s="1124"/>
      <c r="L84" s="1124"/>
      <c r="M84" s="1124"/>
      <c r="N84" s="1124"/>
      <c r="O84" s="1125"/>
      <c r="P84" s="1037" t="s">
        <v>657</v>
      </c>
      <c r="Q84" s="1095" t="s">
        <v>656</v>
      </c>
      <c r="R84" s="1096"/>
    </row>
    <row r="85" spans="1:19" ht="16.5" customHeight="1" thickTop="1" thickBot="1">
      <c r="A85" s="1118"/>
      <c r="B85" s="1121"/>
      <c r="C85" s="1122"/>
      <c r="D85" s="1097" t="s">
        <v>197</v>
      </c>
      <c r="E85" s="1098"/>
      <c r="F85" s="1098"/>
      <c r="G85" s="1098"/>
      <c r="H85" s="1099"/>
      <c r="I85" s="1100" t="s">
        <v>246</v>
      </c>
      <c r="J85" s="1102" t="s">
        <v>234</v>
      </c>
      <c r="K85" s="1104" t="s">
        <v>209</v>
      </c>
      <c r="L85" s="1104" t="s">
        <v>210</v>
      </c>
      <c r="M85" s="1106" t="s">
        <v>245</v>
      </c>
      <c r="N85" s="1104" t="s">
        <v>257</v>
      </c>
      <c r="O85" s="1108" t="s">
        <v>127</v>
      </c>
      <c r="P85" s="1038"/>
      <c r="Q85" s="857"/>
      <c r="R85" s="858"/>
    </row>
    <row r="86" spans="1:19" ht="110.25" customHeight="1" thickTop="1" thickBot="1">
      <c r="A86" s="1119"/>
      <c r="B86" s="845" t="s">
        <v>655</v>
      </c>
      <c r="C86" s="845" t="s">
        <v>866</v>
      </c>
      <c r="D86" s="1016" t="s">
        <v>199</v>
      </c>
      <c r="E86" s="1009" t="s">
        <v>200</v>
      </c>
      <c r="F86" s="1007" t="s">
        <v>201</v>
      </c>
      <c r="G86" s="1009" t="s">
        <v>203</v>
      </c>
      <c r="H86" s="765" t="s">
        <v>204</v>
      </c>
      <c r="I86" s="1101"/>
      <c r="J86" s="1103"/>
      <c r="K86" s="1105"/>
      <c r="L86" s="1105"/>
      <c r="M86" s="1107"/>
      <c r="N86" s="1105"/>
      <c r="O86" s="1109"/>
      <c r="P86" s="1042"/>
      <c r="Q86" s="1016" t="s">
        <v>658</v>
      </c>
      <c r="R86" s="1014" t="s">
        <v>659</v>
      </c>
    </row>
    <row r="87" spans="1:19" ht="15.75" thickTop="1">
      <c r="A87" s="766" t="s">
        <v>252</v>
      </c>
      <c r="B87" s="767">
        <f>'lokale energieproductie'!B17*IFERROR(SUM(I87:O87)/SUM(D87:O87),0)</f>
        <v>0</v>
      </c>
      <c r="C87" s="767">
        <f>'lokale energieproductie'!B17*IFERROR(SUM(D87:H87)/SUM(D87:O87),0)</f>
        <v>0</v>
      </c>
      <c r="D87" s="778">
        <f>'lokale energieproductie'!C17</f>
        <v>0</v>
      </c>
      <c r="E87" s="778">
        <f>'lokale energieproductie'!D17</f>
        <v>0</v>
      </c>
      <c r="F87" s="778">
        <f>'lokale energieproductie'!E17</f>
        <v>0</v>
      </c>
      <c r="G87" s="778">
        <f>'lokale energieproductie'!F17</f>
        <v>0</v>
      </c>
      <c r="H87" s="778">
        <f>'lokale energieproductie'!G17</f>
        <v>0</v>
      </c>
      <c r="I87" s="778">
        <f>'lokale energieproductie'!I17</f>
        <v>0</v>
      </c>
      <c r="J87" s="778">
        <f>'lokale energieproductie'!J17</f>
        <v>0</v>
      </c>
      <c r="K87" s="778">
        <f>'lokale energieproductie'!M17</f>
        <v>0</v>
      </c>
      <c r="L87" s="778">
        <f>'lokale energieproductie'!N17</f>
        <v>0</v>
      </c>
      <c r="M87" s="778">
        <f>'lokale energieproductie'!H17</f>
        <v>0</v>
      </c>
      <c r="N87" s="778">
        <f>'lokale energieproductie'!K17</f>
        <v>0</v>
      </c>
      <c r="O87" s="778">
        <f>'lokale energieproductie'!L17</f>
        <v>0</v>
      </c>
      <c r="P87" s="1092"/>
      <c r="Q87" s="860">
        <f>D87*EF_CO2_aardgas+E87*EF_VLgas_CO2+'SEAP template'!F87*EF_stookolie_CO2+EF_bruinkool_CO2*'SEAP template'!G87+'SEAP template'!H87*EF_steenkool_CO2+'EF brandstof'!M4*'SEAP template'!M87+'SEAP template'!O87*EF_anderfossiel_CO2</f>
        <v>0</v>
      </c>
      <c r="R87" s="847">
        <v>0</v>
      </c>
    </row>
    <row r="88" spans="1:19" ht="15">
      <c r="A88" s="768" t="s">
        <v>258</v>
      </c>
      <c r="B88" s="767">
        <f>'lokale energieproductie'!B18*IFERROR(SUM(I88:O88)/SUM(D88:O88),0)</f>
        <v>0</v>
      </c>
      <c r="C88" s="767">
        <f>'lokale energieproductie'!B18*IFERROR(SUM(D88:H88)/SUM(D88:O88),0)</f>
        <v>0</v>
      </c>
      <c r="D88" s="778">
        <f>'lokale energieproductie'!C18</f>
        <v>0</v>
      </c>
      <c r="E88" s="778">
        <f>'lokale energieproductie'!D18</f>
        <v>0</v>
      </c>
      <c r="F88" s="778">
        <f>'lokale energieproductie'!E18</f>
        <v>0</v>
      </c>
      <c r="G88" s="778">
        <f>'lokale energieproductie'!F18</f>
        <v>0</v>
      </c>
      <c r="H88" s="778">
        <f>'lokale energieproductie'!G18</f>
        <v>0</v>
      </c>
      <c r="I88" s="778">
        <f>'lokale energieproductie'!I18</f>
        <v>0</v>
      </c>
      <c r="J88" s="778">
        <f>'lokale energieproductie'!J18</f>
        <v>0</v>
      </c>
      <c r="K88" s="778">
        <f>'lokale energieproductie'!M18</f>
        <v>0</v>
      </c>
      <c r="L88" s="778">
        <f>'lokale energieproductie'!N18</f>
        <v>0</v>
      </c>
      <c r="M88" s="778">
        <f>'lokale energieproductie'!H18</f>
        <v>0</v>
      </c>
      <c r="N88" s="778">
        <f>'lokale energieproductie'!K18</f>
        <v>0</v>
      </c>
      <c r="O88" s="778">
        <f>'lokale energieproductie'!L18</f>
        <v>0</v>
      </c>
      <c r="P88" s="1093"/>
      <c r="Q88" s="854">
        <f>D88*EF_CO2_aardgas+E88*EF_VLgas_CO2+'SEAP template'!F88*EF_stookolie_CO2+EF_bruinkool_CO2*'SEAP template'!G88+'SEAP template'!H88*EF_steenkool_CO2+'EF brandstof'!M4*'SEAP template'!M88+'SEAP template'!O88*EF_anderfossiel_CO2</f>
        <v>0</v>
      </c>
      <c r="R88" s="848">
        <v>0</v>
      </c>
    </row>
    <row r="89" spans="1:19" ht="30" thickBot="1">
      <c r="A89" s="754" t="s">
        <v>353</v>
      </c>
      <c r="B89" s="767">
        <f>'lokale energieproductie'!B19*IFERROR(SUM(I89:O89)/SUM(D89:O89),0)</f>
        <v>0</v>
      </c>
      <c r="C89" s="767">
        <f>'lokale energieproductie'!B19*IFERROR(SUM(D89:H89)/SUM(D89:O89),0)</f>
        <v>0</v>
      </c>
      <c r="D89" s="778">
        <f>'lokale energieproductie'!C19</f>
        <v>0</v>
      </c>
      <c r="E89" s="778">
        <f>'lokale energieproductie'!D19</f>
        <v>0</v>
      </c>
      <c r="F89" s="778">
        <f>'lokale energieproductie'!E19</f>
        <v>0</v>
      </c>
      <c r="G89" s="778">
        <f>'lokale energieproductie'!F19</f>
        <v>0</v>
      </c>
      <c r="H89" s="778">
        <f>'lokale energieproductie'!G19</f>
        <v>0</v>
      </c>
      <c r="I89" s="778">
        <f>'lokale energieproductie'!I19</f>
        <v>0</v>
      </c>
      <c r="J89" s="778">
        <f>'lokale energieproductie'!J19</f>
        <v>0</v>
      </c>
      <c r="K89" s="778">
        <f>'lokale energieproductie'!M19</f>
        <v>0</v>
      </c>
      <c r="L89" s="778">
        <f>'lokale energieproductie'!N19</f>
        <v>0</v>
      </c>
      <c r="M89" s="778">
        <f>'lokale energieproductie'!H19</f>
        <v>0</v>
      </c>
      <c r="N89" s="778">
        <f>'lokale energieproductie'!K19</f>
        <v>0</v>
      </c>
      <c r="O89" s="778">
        <f>'lokale energieproductie'!L19</f>
        <v>0</v>
      </c>
      <c r="P89" s="1094"/>
      <c r="Q89" s="855">
        <f>D89*EF_CO2_aardgas+E89*EF_VLgas_CO2+'SEAP template'!F89*EF_stookolie_CO2+EF_bruinkool_CO2*'SEAP template'!G89+'SEAP template'!H89*EF_steenkool_CO2+'EF brandstof'!M4*'SEAP template'!M89+'SEAP template'!O89*EF_anderfossiel_CO2</f>
        <v>0</v>
      </c>
      <c r="R89" s="849">
        <v>0</v>
      </c>
    </row>
    <row r="90" spans="1:19" ht="16.5" thickTop="1" thickBot="1">
      <c r="A90" s="769" t="s">
        <v>116</v>
      </c>
      <c r="B90" s="756">
        <f>SUM(B87:B89)</f>
        <v>0</v>
      </c>
      <c r="C90" s="756">
        <f>SUM(C87:C89)</f>
        <v>0</v>
      </c>
      <c r="D90" s="756">
        <f t="shared" ref="D90:H90" si="12">SUM(D87:D89)</f>
        <v>0</v>
      </c>
      <c r="E90" s="756">
        <f t="shared" si="12"/>
        <v>0</v>
      </c>
      <c r="F90" s="756">
        <f t="shared" si="12"/>
        <v>0</v>
      </c>
      <c r="G90" s="756">
        <f t="shared" si="12"/>
        <v>0</v>
      </c>
      <c r="H90" s="756">
        <f t="shared" si="12"/>
        <v>0</v>
      </c>
      <c r="I90" s="756">
        <f>SUM(I87:I89)</f>
        <v>0</v>
      </c>
      <c r="J90" s="756">
        <f>SUM(J87:J89)</f>
        <v>0</v>
      </c>
      <c r="K90" s="756">
        <f t="shared" ref="K90:L90" si="13">SUM(K87:K89)</f>
        <v>0</v>
      </c>
      <c r="L90" s="756">
        <f t="shared" si="13"/>
        <v>0</v>
      </c>
      <c r="M90" s="756">
        <f>SUM(M87:M89)</f>
        <v>0</v>
      </c>
      <c r="N90" s="756">
        <f>SUM(N87:N89)</f>
        <v>0</v>
      </c>
      <c r="O90" s="756">
        <f>SUM(O87:O89)</f>
        <v>0</v>
      </c>
      <c r="P90" s="756">
        <v>0</v>
      </c>
      <c r="Q90" s="756">
        <f>SUM(Q87:Q89)</f>
        <v>0</v>
      </c>
      <c r="R90" s="861">
        <f>SUM(R87:R89)</f>
        <v>0</v>
      </c>
    </row>
    <row r="91" spans="1:19" ht="15.75" thickTop="1">
      <c r="A91" s="770"/>
      <c r="B91" s="770"/>
      <c r="C91" s="771"/>
      <c r="D91" s="772"/>
      <c r="E91" s="773"/>
      <c r="F91" s="761"/>
      <c r="G91" s="761"/>
      <c r="H91" s="761"/>
      <c r="I91" s="761"/>
      <c r="J91" s="761"/>
      <c r="K91" s="761"/>
      <c r="L91" s="761"/>
      <c r="M91" s="719"/>
      <c r="Q91" s="761"/>
      <c r="R91" s="719"/>
      <c r="S91" s="748"/>
    </row>
  </sheetData>
  <mergeCells count="54">
    <mergeCell ref="A2:C2"/>
    <mergeCell ref="A3:R3"/>
    <mergeCell ref="A5:A7"/>
    <mergeCell ref="C5:R5"/>
    <mergeCell ref="C6:C7"/>
    <mergeCell ref="D6:D7"/>
    <mergeCell ref="E6:L6"/>
    <mergeCell ref="M6:Q6"/>
    <mergeCell ref="R6:R7"/>
    <mergeCell ref="C58:Q60"/>
    <mergeCell ref="C8:Q8"/>
    <mergeCell ref="C17:Q17"/>
    <mergeCell ref="C23:Q23"/>
    <mergeCell ref="A31:C31"/>
    <mergeCell ref="A33:R33"/>
    <mergeCell ref="A35:A37"/>
    <mergeCell ref="C35:R35"/>
    <mergeCell ref="C36:C37"/>
    <mergeCell ref="D36:D37"/>
    <mergeCell ref="E36:L36"/>
    <mergeCell ref="M36:Q36"/>
    <mergeCell ref="R36:R37"/>
    <mergeCell ref="A67:Q67"/>
    <mergeCell ref="A69:A71"/>
    <mergeCell ref="B69:C70"/>
    <mergeCell ref="D69:O69"/>
    <mergeCell ref="Q69:R69"/>
    <mergeCell ref="D70:H70"/>
    <mergeCell ref="M72:M75"/>
    <mergeCell ref="N72:N75"/>
    <mergeCell ref="O72:O75"/>
    <mergeCell ref="A82:P82"/>
    <mergeCell ref="A84:A86"/>
    <mergeCell ref="B84:C85"/>
    <mergeCell ref="D84:O84"/>
    <mergeCell ref="G72:G75"/>
    <mergeCell ref="H72:H75"/>
    <mergeCell ref="I72:I75"/>
    <mergeCell ref="K72:K75"/>
    <mergeCell ref="L72:L75"/>
    <mergeCell ref="C72:C75"/>
    <mergeCell ref="D72:D75"/>
    <mergeCell ref="E72:E75"/>
    <mergeCell ref="F72:F75"/>
    <mergeCell ref="P87:P89"/>
    <mergeCell ref="Q84:R84"/>
    <mergeCell ref="D85:H85"/>
    <mergeCell ref="I85:I86"/>
    <mergeCell ref="J85:J86"/>
    <mergeCell ref="K85:K86"/>
    <mergeCell ref="L85:L86"/>
    <mergeCell ref="M85:M86"/>
    <mergeCell ref="N85:N86"/>
    <mergeCell ref="O85:O86"/>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sheetPr codeName="Sheet19">
    <tabColor theme="6"/>
  </sheetPr>
  <dimension ref="A1:Q33"/>
  <sheetViews>
    <sheetView workbookViewId="0">
      <selection activeCell="C31" sqref="C31"/>
    </sheetView>
  </sheetViews>
  <sheetFormatPr defaultColWidth="9.140625" defaultRowHeight="15"/>
  <cols>
    <col min="1" max="1" width="35.7109375" style="476" bestFit="1" customWidth="1"/>
    <col min="2" max="2" width="11.28515625" style="476" bestFit="1" customWidth="1"/>
    <col min="3" max="3" width="15.42578125" style="476" bestFit="1" customWidth="1"/>
    <col min="4" max="4" width="9.140625" style="476"/>
    <col min="5" max="5" width="16.28515625" style="476" customWidth="1"/>
    <col min="6" max="8" width="9.140625" style="476"/>
    <col min="9" max="9" width="14.28515625" style="476" customWidth="1"/>
    <col min="10" max="10" width="18.5703125" style="476" customWidth="1"/>
    <col min="11" max="11" width="15.140625" style="476" customWidth="1"/>
    <col min="12" max="12" width="15.42578125" style="476" customWidth="1"/>
    <col min="13" max="13" width="17" style="476" customWidth="1"/>
    <col min="14" max="14" width="16.42578125" style="476" customWidth="1"/>
    <col min="15" max="15" width="13.42578125" style="476" customWidth="1"/>
    <col min="16" max="16" width="18.28515625" style="476" customWidth="1"/>
    <col min="17" max="17" width="10.5703125" style="476" bestFit="1" customWidth="1"/>
    <col min="18" max="18" width="9.5703125" style="476" bestFit="1" customWidth="1"/>
    <col min="19" max="16384" width="9.140625" style="476"/>
  </cols>
  <sheetData>
    <row r="1" spans="1:17" ht="15.75">
      <c r="A1" s="1181" t="s">
        <v>560</v>
      </c>
      <c r="B1" s="1182" t="s">
        <v>556</v>
      </c>
      <c r="C1" s="1182"/>
      <c r="D1" s="1182"/>
      <c r="E1" s="1182"/>
      <c r="F1" s="1182"/>
      <c r="G1" s="1182"/>
      <c r="H1" s="1182"/>
      <c r="I1" s="1182"/>
      <c r="J1" s="1182"/>
      <c r="K1" s="1182"/>
      <c r="L1" s="1182"/>
      <c r="M1" s="1182"/>
      <c r="N1" s="1182"/>
      <c r="O1" s="1182"/>
      <c r="P1" s="1183"/>
      <c r="Q1" s="1050"/>
    </row>
    <row r="2" spans="1:17">
      <c r="A2" s="1181"/>
      <c r="B2" s="1184" t="s">
        <v>21</v>
      </c>
      <c r="C2" s="1186" t="s">
        <v>196</v>
      </c>
      <c r="D2" s="1188" t="s">
        <v>197</v>
      </c>
      <c r="E2" s="1189"/>
      <c r="F2" s="1189"/>
      <c r="G2" s="1189"/>
      <c r="H2" s="1189"/>
      <c r="I2" s="1189"/>
      <c r="J2" s="1189"/>
      <c r="K2" s="1185"/>
      <c r="L2" s="1188" t="s">
        <v>198</v>
      </c>
      <c r="M2" s="1189"/>
      <c r="N2" s="1189"/>
      <c r="O2" s="1189"/>
      <c r="P2" s="1185"/>
      <c r="Q2" s="1050"/>
    </row>
    <row r="3" spans="1:17" ht="45">
      <c r="A3" s="1181"/>
      <c r="B3" s="1185"/>
      <c r="C3" s="1187"/>
      <c r="D3" s="1050" t="s">
        <v>199</v>
      </c>
      <c r="E3" s="1050" t="s">
        <v>200</v>
      </c>
      <c r="F3" s="1050" t="s">
        <v>201</v>
      </c>
      <c r="G3" s="1050" t="s">
        <v>202</v>
      </c>
      <c r="H3" s="1050" t="s">
        <v>120</v>
      </c>
      <c r="I3" s="1050" t="s">
        <v>203</v>
      </c>
      <c r="J3" s="1050" t="s">
        <v>204</v>
      </c>
      <c r="K3" s="1050" t="s">
        <v>205</v>
      </c>
      <c r="L3" s="1050" t="s">
        <v>206</v>
      </c>
      <c r="M3" s="1050" t="s">
        <v>207</v>
      </c>
      <c r="N3" s="1050" t="s">
        <v>208</v>
      </c>
      <c r="O3" s="1050" t="s">
        <v>209</v>
      </c>
      <c r="P3" s="1050" t="s">
        <v>210</v>
      </c>
      <c r="Q3" s="1050" t="s">
        <v>116</v>
      </c>
    </row>
    <row r="4" spans="1:17">
      <c r="A4" s="477" t="s">
        <v>155</v>
      </c>
      <c r="B4" s="478">
        <f>huishoudens!B8</f>
        <v>13781.416147629425</v>
      </c>
      <c r="C4" s="478">
        <f>huishoudens!C8</f>
        <v>0</v>
      </c>
      <c r="D4" s="478">
        <f>huishoudens!D8</f>
        <v>16215.795199999999</v>
      </c>
      <c r="E4" s="478">
        <f>huishoudens!E8</f>
        <v>1340.7626615858364</v>
      </c>
      <c r="F4" s="478">
        <f>huishoudens!F8</f>
        <v>29874.567349167544</v>
      </c>
      <c r="G4" s="478">
        <f>huishoudens!G8</f>
        <v>0</v>
      </c>
      <c r="H4" s="478">
        <f>huishoudens!H8</f>
        <v>0</v>
      </c>
      <c r="I4" s="478">
        <f>huishoudens!I8</f>
        <v>0</v>
      </c>
      <c r="J4" s="478">
        <f>huishoudens!J8</f>
        <v>365.81192702416899</v>
      </c>
      <c r="K4" s="478">
        <f>huishoudens!K8</f>
        <v>0</v>
      </c>
      <c r="L4" s="478">
        <f>huishoudens!L8</f>
        <v>0</v>
      </c>
      <c r="M4" s="478">
        <f>huishoudens!M8</f>
        <v>0</v>
      </c>
      <c r="N4" s="478">
        <f>huishoudens!N8</f>
        <v>11016.463387471211</v>
      </c>
      <c r="O4" s="478">
        <f>huishoudens!O8</f>
        <v>110.99666666666667</v>
      </c>
      <c r="P4" s="479">
        <f>huishoudens!P8</f>
        <v>457.6</v>
      </c>
      <c r="Q4" s="480">
        <f>SUM(B4:P4)</f>
        <v>73163.413339544859</v>
      </c>
    </row>
    <row r="5" spans="1:17">
      <c r="A5" s="477" t="s">
        <v>156</v>
      </c>
      <c r="B5" s="478">
        <f ca="1">tertiair!B16</f>
        <v>5601.6580000000004</v>
      </c>
      <c r="C5" s="478">
        <f ca="1">tertiair!C16</f>
        <v>0</v>
      </c>
      <c r="D5" s="478">
        <f ca="1">tertiair!D16</f>
        <v>3675.7807899999998</v>
      </c>
      <c r="E5" s="478">
        <f>tertiair!E16</f>
        <v>54.273150297451856</v>
      </c>
      <c r="F5" s="478">
        <f ca="1">tertiair!F16</f>
        <v>842.54354842826638</v>
      </c>
      <c r="G5" s="478">
        <f>tertiair!G16</f>
        <v>0</v>
      </c>
      <c r="H5" s="478">
        <f>tertiair!H16</f>
        <v>0</v>
      </c>
      <c r="I5" s="478">
        <f>tertiair!I16</f>
        <v>0</v>
      </c>
      <c r="J5" s="478">
        <f>tertiair!J16</f>
        <v>0</v>
      </c>
      <c r="K5" s="478">
        <f>tertiair!K16</f>
        <v>0</v>
      </c>
      <c r="L5" s="478">
        <f ca="1">tertiair!L16</f>
        <v>0</v>
      </c>
      <c r="M5" s="478">
        <f>tertiair!M16</f>
        <v>0</v>
      </c>
      <c r="N5" s="478">
        <f ca="1">tertiair!N16</f>
        <v>714.72022352989711</v>
      </c>
      <c r="O5" s="478">
        <f>tertiair!O16</f>
        <v>0</v>
      </c>
      <c r="P5" s="479">
        <f>tertiair!P16</f>
        <v>19.066666666666666</v>
      </c>
      <c r="Q5" s="477">
        <f t="shared" ref="Q5:Q14" ca="1" si="0">SUM(B5:P5)</f>
        <v>10908.042378922282</v>
      </c>
    </row>
    <row r="6" spans="1:17">
      <c r="A6" s="477" t="s">
        <v>194</v>
      </c>
      <c r="B6" s="478">
        <f>'openbare verlichting'!B8</f>
        <v>552.26099999999997</v>
      </c>
      <c r="C6" s="478"/>
      <c r="D6" s="478"/>
      <c r="E6" s="478"/>
      <c r="F6" s="478"/>
      <c r="G6" s="478"/>
      <c r="H6" s="478"/>
      <c r="I6" s="478"/>
      <c r="J6" s="478"/>
      <c r="K6" s="478"/>
      <c r="L6" s="478"/>
      <c r="M6" s="478"/>
      <c r="N6" s="478"/>
      <c r="O6" s="478"/>
      <c r="P6" s="479"/>
      <c r="Q6" s="477">
        <f t="shared" si="0"/>
        <v>552.26099999999997</v>
      </c>
    </row>
    <row r="7" spans="1:17">
      <c r="A7" s="477" t="s">
        <v>112</v>
      </c>
      <c r="B7" s="478">
        <f>landbouw!B8</f>
        <v>1638.596</v>
      </c>
      <c r="C7" s="478">
        <f>landbouw!C8</f>
        <v>0</v>
      </c>
      <c r="D7" s="478">
        <f>landbouw!D8</f>
        <v>2415.23128</v>
      </c>
      <c r="E7" s="478">
        <f>landbouw!E8</f>
        <v>15.177362459091469</v>
      </c>
      <c r="F7" s="478">
        <f>landbouw!F8</f>
        <v>4157.4302042176632</v>
      </c>
      <c r="G7" s="478">
        <f>landbouw!G8</f>
        <v>0</v>
      </c>
      <c r="H7" s="478">
        <f>landbouw!H8</f>
        <v>0</v>
      </c>
      <c r="I7" s="478">
        <f>landbouw!I8</f>
        <v>0</v>
      </c>
      <c r="J7" s="478">
        <f>landbouw!J8</f>
        <v>251.21505358473172</v>
      </c>
      <c r="K7" s="478">
        <f>landbouw!K8</f>
        <v>0</v>
      </c>
      <c r="L7" s="478">
        <f>landbouw!L8</f>
        <v>0</v>
      </c>
      <c r="M7" s="478">
        <f>landbouw!M8</f>
        <v>0</v>
      </c>
      <c r="N7" s="478">
        <f>landbouw!N8</f>
        <v>0</v>
      </c>
      <c r="O7" s="478">
        <f>landbouw!O8</f>
        <v>0</v>
      </c>
      <c r="P7" s="479">
        <f>landbouw!P8</f>
        <v>0</v>
      </c>
      <c r="Q7" s="477">
        <f t="shared" si="0"/>
        <v>8477.6499002614873</v>
      </c>
    </row>
    <row r="8" spans="1:17">
      <c r="A8" s="477" t="s">
        <v>650</v>
      </c>
      <c r="B8" s="478">
        <f>industrie!B18</f>
        <v>40814.803</v>
      </c>
      <c r="C8" s="478">
        <f>industrie!C18</f>
        <v>0</v>
      </c>
      <c r="D8" s="478">
        <f>industrie!D18</f>
        <v>5851.4408700000004</v>
      </c>
      <c r="E8" s="478">
        <f>industrie!E18</f>
        <v>10726.626071165165</v>
      </c>
      <c r="F8" s="478">
        <f>industrie!F18</f>
        <v>31470.673580207396</v>
      </c>
      <c r="G8" s="478">
        <f>industrie!G18</f>
        <v>0</v>
      </c>
      <c r="H8" s="478">
        <f>industrie!H18</f>
        <v>0</v>
      </c>
      <c r="I8" s="478">
        <f>industrie!I18</f>
        <v>0</v>
      </c>
      <c r="J8" s="478">
        <f>industrie!J18</f>
        <v>8.514333319086024</v>
      </c>
      <c r="K8" s="478">
        <f>industrie!K18</f>
        <v>0</v>
      </c>
      <c r="L8" s="478">
        <f>industrie!L18</f>
        <v>0</v>
      </c>
      <c r="M8" s="478">
        <f>industrie!M18</f>
        <v>0</v>
      </c>
      <c r="N8" s="478">
        <f>industrie!N18</f>
        <v>13361.258167131999</v>
      </c>
      <c r="O8" s="478">
        <f>industrie!O18</f>
        <v>0</v>
      </c>
      <c r="P8" s="479">
        <f>industrie!P18</f>
        <v>0</v>
      </c>
      <c r="Q8" s="477">
        <f t="shared" si="0"/>
        <v>102233.31602182363</v>
      </c>
    </row>
    <row r="9" spans="1:17" s="483" customFormat="1">
      <c r="A9" s="481" t="s">
        <v>571</v>
      </c>
      <c r="B9" s="482">
        <f>transport!B14</f>
        <v>4.9680040210265215</v>
      </c>
      <c r="C9" s="482">
        <f>transport!C14</f>
        <v>0</v>
      </c>
      <c r="D9" s="482">
        <f>transport!D14</f>
        <v>13.385346618294973</v>
      </c>
      <c r="E9" s="482">
        <f>transport!E14</f>
        <v>84.969624919485057</v>
      </c>
      <c r="F9" s="482">
        <f>transport!F14</f>
        <v>0</v>
      </c>
      <c r="G9" s="482">
        <f>transport!G14</f>
        <v>23225.276240638719</v>
      </c>
      <c r="H9" s="482">
        <f>transport!H14</f>
        <v>5050.856514157711</v>
      </c>
      <c r="I9" s="482">
        <f>transport!I14</f>
        <v>0</v>
      </c>
      <c r="J9" s="482">
        <f>transport!J14</f>
        <v>0</v>
      </c>
      <c r="K9" s="482">
        <f>transport!K14</f>
        <v>0</v>
      </c>
      <c r="L9" s="482">
        <f>transport!L14</f>
        <v>0</v>
      </c>
      <c r="M9" s="482">
        <f>transport!M14</f>
        <v>1498.9617122470991</v>
      </c>
      <c r="N9" s="482">
        <f>transport!N14</f>
        <v>0</v>
      </c>
      <c r="O9" s="482">
        <f>transport!O14</f>
        <v>0</v>
      </c>
      <c r="P9" s="482">
        <f>transport!P14</f>
        <v>0</v>
      </c>
      <c r="Q9" s="481">
        <f>SUM(B9:P9)</f>
        <v>29878.417442602335</v>
      </c>
    </row>
    <row r="10" spans="1:17">
      <c r="A10" s="477" t="s">
        <v>561</v>
      </c>
      <c r="B10" s="478">
        <f>transport!B54</f>
        <v>0</v>
      </c>
      <c r="C10" s="478">
        <f>transport!C54</f>
        <v>0</v>
      </c>
      <c r="D10" s="478">
        <f>transport!D54</f>
        <v>0</v>
      </c>
      <c r="E10" s="478">
        <f>transport!E54</f>
        <v>0</v>
      </c>
      <c r="F10" s="478">
        <f>transport!F54</f>
        <v>0</v>
      </c>
      <c r="G10" s="478">
        <f>transport!G54</f>
        <v>421.45474030275119</v>
      </c>
      <c r="H10" s="478">
        <f>transport!H54</f>
        <v>0</v>
      </c>
      <c r="I10" s="478">
        <f>transport!I54</f>
        <v>0</v>
      </c>
      <c r="J10" s="478">
        <f>transport!J54</f>
        <v>0</v>
      </c>
      <c r="K10" s="478">
        <f>transport!K54</f>
        <v>0</v>
      </c>
      <c r="L10" s="478">
        <f>transport!L54</f>
        <v>0</v>
      </c>
      <c r="M10" s="478">
        <f>transport!M54</f>
        <v>24.034335232528878</v>
      </c>
      <c r="N10" s="478">
        <f>transport!N54</f>
        <v>0</v>
      </c>
      <c r="O10" s="478">
        <f>transport!O54</f>
        <v>0</v>
      </c>
      <c r="P10" s="479">
        <f>transport!P54</f>
        <v>0</v>
      </c>
      <c r="Q10" s="477">
        <f t="shared" si="0"/>
        <v>445.48907553528005</v>
      </c>
    </row>
    <row r="11" spans="1:17">
      <c r="A11" s="477" t="s">
        <v>562</v>
      </c>
      <c r="B11" s="478">
        <f>'Eigen gebouwen'!B15</f>
        <v>0</v>
      </c>
      <c r="C11" s="478">
        <f>'Eigen gebouwen'!C15</f>
        <v>0</v>
      </c>
      <c r="D11" s="478">
        <f>'Eigen gebouwen'!D15</f>
        <v>0</v>
      </c>
      <c r="E11" s="478">
        <f>'Eigen gebouwen'!E15</f>
        <v>0</v>
      </c>
      <c r="F11" s="478">
        <f>'Eigen gebouwen'!F15</f>
        <v>0</v>
      </c>
      <c r="G11" s="478">
        <f>'Eigen gebouwen'!G15</f>
        <v>0</v>
      </c>
      <c r="H11" s="478">
        <f>'Eigen gebouwen'!H15</f>
        <v>0</v>
      </c>
      <c r="I11" s="478">
        <f>'Eigen gebouwen'!I15</f>
        <v>0</v>
      </c>
      <c r="J11" s="478">
        <f>'Eigen gebouwen'!J15</f>
        <v>0</v>
      </c>
      <c r="K11" s="478">
        <f>'Eigen gebouwen'!K15</f>
        <v>0</v>
      </c>
      <c r="L11" s="478">
        <f>'Eigen gebouwen'!L15</f>
        <v>0</v>
      </c>
      <c r="M11" s="478">
        <f>'Eigen gebouwen'!M15</f>
        <v>0</v>
      </c>
      <c r="N11" s="478">
        <f>'Eigen gebouwen'!N15</f>
        <v>0</v>
      </c>
      <c r="O11" s="478">
        <f>'Eigen gebouwen'!O15</f>
        <v>0</v>
      </c>
      <c r="P11" s="479">
        <f>'Eigen gebouwen'!P15</f>
        <v>0</v>
      </c>
      <c r="Q11" s="477">
        <f t="shared" si="0"/>
        <v>0</v>
      </c>
    </row>
    <row r="12" spans="1:17">
      <c r="A12" s="477" t="s">
        <v>563</v>
      </c>
      <c r="B12" s="478">
        <f>'Eigen openbare verlichting'!B15</f>
        <v>0</v>
      </c>
      <c r="C12" s="478"/>
      <c r="D12" s="478"/>
      <c r="E12" s="478"/>
      <c r="F12" s="478"/>
      <c r="G12" s="478"/>
      <c r="H12" s="478"/>
      <c r="I12" s="478"/>
      <c r="J12" s="478"/>
      <c r="K12" s="478"/>
      <c r="L12" s="478"/>
      <c r="M12" s="478"/>
      <c r="N12" s="478"/>
      <c r="O12" s="478"/>
      <c r="P12" s="479"/>
      <c r="Q12" s="477">
        <f t="shared" si="0"/>
        <v>0</v>
      </c>
    </row>
    <row r="13" spans="1:17">
      <c r="A13" s="477" t="s">
        <v>564</v>
      </c>
      <c r="B13" s="478">
        <f>'Eigen vloot'!B27</f>
        <v>0</v>
      </c>
      <c r="C13" s="478">
        <f>'Eigen vloot'!C27</f>
        <v>0</v>
      </c>
      <c r="D13" s="478">
        <f>'Eigen vloot'!D27</f>
        <v>0</v>
      </c>
      <c r="E13" s="478">
        <f>'Eigen vloot'!E27</f>
        <v>0</v>
      </c>
      <c r="F13" s="478">
        <f>'Eigen vloot'!F27</f>
        <v>0</v>
      </c>
      <c r="G13" s="478">
        <f>'Eigen vloot'!G27</f>
        <v>0</v>
      </c>
      <c r="H13" s="478">
        <f>'Eigen vloot'!H27</f>
        <v>0</v>
      </c>
      <c r="I13" s="478">
        <f>'Eigen vloot'!I27</f>
        <v>0</v>
      </c>
      <c r="J13" s="478">
        <f>'Eigen vloot'!J27</f>
        <v>0</v>
      </c>
      <c r="K13" s="478">
        <f>'Eigen vloot'!K27</f>
        <v>0</v>
      </c>
      <c r="L13" s="478">
        <f>'Eigen vloot'!L27</f>
        <v>0</v>
      </c>
      <c r="M13" s="478">
        <f>'Eigen vloot'!M27</f>
        <v>0</v>
      </c>
      <c r="N13" s="478">
        <f>'Eigen vloot'!N27</f>
        <v>0</v>
      </c>
      <c r="O13" s="478">
        <f>'Eigen vloot'!O27</f>
        <v>0</v>
      </c>
      <c r="P13" s="479">
        <f>'Eigen vloot'!P27</f>
        <v>0</v>
      </c>
      <c r="Q13" s="477">
        <f t="shared" si="0"/>
        <v>0</v>
      </c>
    </row>
    <row r="14" spans="1:17">
      <c r="A14" s="484" t="s">
        <v>868</v>
      </c>
      <c r="B14" s="485">
        <f>'SEAP template'!C25</f>
        <v>184.78100000000001</v>
      </c>
      <c r="C14" s="485"/>
      <c r="D14" s="485">
        <f>'SEAP template'!E25</f>
        <v>146.30799999999999</v>
      </c>
      <c r="E14" s="485"/>
      <c r="F14" s="485"/>
      <c r="G14" s="485"/>
      <c r="H14" s="485"/>
      <c r="I14" s="485"/>
      <c r="J14" s="485"/>
      <c r="K14" s="485"/>
      <c r="L14" s="485"/>
      <c r="M14" s="485"/>
      <c r="N14" s="485"/>
      <c r="O14" s="485"/>
      <c r="P14" s="486"/>
      <c r="Q14" s="477">
        <f t="shared" si="0"/>
        <v>331.089</v>
      </c>
    </row>
    <row r="15" spans="1:17" s="487" customFormat="1">
      <c r="A15" s="1051" t="s">
        <v>565</v>
      </c>
      <c r="B15" s="991">
        <f ca="1">SUM(B4:B14)</f>
        <v>62578.483151650456</v>
      </c>
      <c r="C15" s="991">
        <f t="shared" ref="C15:Q15" ca="1" si="1">SUM(C4:C14)</f>
        <v>0</v>
      </c>
      <c r="D15" s="991">
        <f t="shared" ca="1" si="1"/>
        <v>28317.941486618292</v>
      </c>
      <c r="E15" s="991">
        <f t="shared" si="1"/>
        <v>12221.80887042703</v>
      </c>
      <c r="F15" s="991">
        <f t="shared" ca="1" si="1"/>
        <v>66345.214682020873</v>
      </c>
      <c r="G15" s="991">
        <f t="shared" si="1"/>
        <v>23646.730980941469</v>
      </c>
      <c r="H15" s="991">
        <f t="shared" si="1"/>
        <v>5050.856514157711</v>
      </c>
      <c r="I15" s="991">
        <f t="shared" si="1"/>
        <v>0</v>
      </c>
      <c r="J15" s="991">
        <f t="shared" si="1"/>
        <v>625.54131392798672</v>
      </c>
      <c r="K15" s="991">
        <f t="shared" si="1"/>
        <v>0</v>
      </c>
      <c r="L15" s="991">
        <f t="shared" ca="1" si="1"/>
        <v>0</v>
      </c>
      <c r="M15" s="991">
        <f t="shared" si="1"/>
        <v>1522.996047479628</v>
      </c>
      <c r="N15" s="991">
        <f t="shared" ca="1" si="1"/>
        <v>25092.441778133107</v>
      </c>
      <c r="O15" s="991">
        <f t="shared" si="1"/>
        <v>110.99666666666667</v>
      </c>
      <c r="P15" s="991">
        <f t="shared" si="1"/>
        <v>476.66666666666669</v>
      </c>
      <c r="Q15" s="991">
        <f t="shared" ca="1" si="1"/>
        <v>225989.67815868987</v>
      </c>
    </row>
    <row r="17" spans="1:17">
      <c r="A17" s="488" t="s">
        <v>566</v>
      </c>
      <c r="B17" s="787">
        <f ca="1">huishoudens!B10</f>
        <v>0.20504171472650515</v>
      </c>
      <c r="C17" s="787">
        <f ca="1">huishoudens!C10</f>
        <v>0</v>
      </c>
      <c r="D17" s="787">
        <f>huishoudens!D10</f>
        <v>0.20200000000000001</v>
      </c>
      <c r="E17" s="787">
        <f>huishoudens!E10</f>
        <v>0.22700000000000001</v>
      </c>
      <c r="F17" s="787">
        <f>huishoudens!F10</f>
        <v>0.26700000000000002</v>
      </c>
      <c r="G17" s="787">
        <f>huishoudens!G10</f>
        <v>0.26700000000000002</v>
      </c>
      <c r="H17" s="787">
        <f>huishoudens!H10</f>
        <v>0.249</v>
      </c>
      <c r="I17" s="787">
        <f>huishoudens!I10</f>
        <v>0.35099999999999998</v>
      </c>
      <c r="J17" s="787">
        <f>huishoudens!J10</f>
        <v>0.35399999999999998</v>
      </c>
      <c r="K17" s="787">
        <f>huishoudens!K10</f>
        <v>0.26400000000000001</v>
      </c>
      <c r="L17" s="787">
        <f>huishoudens!L10</f>
        <v>0</v>
      </c>
      <c r="M17" s="787">
        <f>huishoudens!M10</f>
        <v>0</v>
      </c>
      <c r="N17" s="787">
        <f>huishoudens!N10</f>
        <v>0</v>
      </c>
      <c r="O17" s="787">
        <f>huishoudens!O10</f>
        <v>0</v>
      </c>
      <c r="P17" s="787">
        <f>huishoudens!P10</f>
        <v>0</v>
      </c>
    </row>
    <row r="18" spans="1:17" ht="15.75" customHeight="1"/>
    <row r="19" spans="1:17" ht="15" customHeight="1">
      <c r="A19" s="1181" t="s">
        <v>568</v>
      </c>
      <c r="B19" s="1182" t="s">
        <v>567</v>
      </c>
      <c r="C19" s="1182"/>
      <c r="D19" s="1182"/>
      <c r="E19" s="1182"/>
      <c r="F19" s="1182"/>
      <c r="G19" s="1182"/>
      <c r="H19" s="1182"/>
      <c r="I19" s="1182"/>
      <c r="J19" s="1182"/>
      <c r="K19" s="1182"/>
      <c r="L19" s="1182"/>
      <c r="M19" s="1182"/>
      <c r="N19" s="1182"/>
      <c r="O19" s="1182"/>
      <c r="P19" s="1183"/>
      <c r="Q19" s="1050"/>
    </row>
    <row r="20" spans="1:17" ht="15" customHeight="1">
      <c r="A20" s="1181"/>
      <c r="B20" s="1184" t="s">
        <v>21</v>
      </c>
      <c r="C20" s="1186" t="s">
        <v>196</v>
      </c>
      <c r="D20" s="1188" t="s">
        <v>197</v>
      </c>
      <c r="E20" s="1189"/>
      <c r="F20" s="1189"/>
      <c r="G20" s="1189"/>
      <c r="H20" s="1189"/>
      <c r="I20" s="1189"/>
      <c r="J20" s="1189"/>
      <c r="K20" s="1185"/>
      <c r="L20" s="1188" t="s">
        <v>198</v>
      </c>
      <c r="M20" s="1189"/>
      <c r="N20" s="1189"/>
      <c r="O20" s="1189"/>
      <c r="P20" s="1185"/>
      <c r="Q20" s="1050"/>
    </row>
    <row r="21" spans="1:17" ht="45">
      <c r="A21" s="1181"/>
      <c r="B21" s="1185"/>
      <c r="C21" s="1187"/>
      <c r="D21" s="1050" t="s">
        <v>199</v>
      </c>
      <c r="E21" s="1050" t="s">
        <v>200</v>
      </c>
      <c r="F21" s="1050" t="s">
        <v>201</v>
      </c>
      <c r="G21" s="1050" t="s">
        <v>202</v>
      </c>
      <c r="H21" s="1050" t="s">
        <v>120</v>
      </c>
      <c r="I21" s="1050" t="s">
        <v>203</v>
      </c>
      <c r="J21" s="1050" t="s">
        <v>204</v>
      </c>
      <c r="K21" s="1050" t="s">
        <v>205</v>
      </c>
      <c r="L21" s="1050" t="s">
        <v>206</v>
      </c>
      <c r="M21" s="1050" t="s">
        <v>207</v>
      </c>
      <c r="N21" s="1050" t="s">
        <v>208</v>
      </c>
      <c r="O21" s="1050" t="s">
        <v>209</v>
      </c>
      <c r="P21" s="1050" t="s">
        <v>210</v>
      </c>
      <c r="Q21" s="1050" t="s">
        <v>116</v>
      </c>
    </row>
    <row r="22" spans="1:17">
      <c r="A22" s="477" t="s">
        <v>155</v>
      </c>
      <c r="B22" s="478">
        <f t="shared" ref="B22:B32" ca="1" si="2">B4*$B$17</f>
        <v>2825.7651982694842</v>
      </c>
      <c r="C22" s="478">
        <f t="shared" ref="C22:C32" ca="1" si="3">C4*$C$17</f>
        <v>0</v>
      </c>
      <c r="D22" s="478">
        <f t="shared" ref="D22:D32" si="4">D4*$D$17</f>
        <v>3275.5906304</v>
      </c>
      <c r="E22" s="478">
        <f t="shared" ref="E22:E32" si="5">E4*$E$17</f>
        <v>304.35312417998489</v>
      </c>
      <c r="F22" s="478">
        <f t="shared" ref="F22:F32" si="6">F4*$F$17</f>
        <v>7976.5094822277351</v>
      </c>
      <c r="G22" s="478">
        <f t="shared" ref="G22:G32" si="7">G4*$G$17</f>
        <v>0</v>
      </c>
      <c r="H22" s="478">
        <f t="shared" ref="H22:H32" si="8">H4*$H$17</f>
        <v>0</v>
      </c>
      <c r="I22" s="478">
        <f t="shared" ref="I22:I32" si="9">I4*$I$17</f>
        <v>0</v>
      </c>
      <c r="J22" s="478">
        <f t="shared" ref="J22:J32" si="10">J4*$J$17</f>
        <v>129.49742216655582</v>
      </c>
      <c r="K22" s="478">
        <f t="shared" ref="K22:K32" si="11">K4*$K$17</f>
        <v>0</v>
      </c>
      <c r="L22" s="478">
        <f t="shared" ref="L22:L32" si="12">L4*$L$17</f>
        <v>0</v>
      </c>
      <c r="M22" s="478">
        <f t="shared" ref="M22:M32" si="13">M4*$M$17</f>
        <v>0</v>
      </c>
      <c r="N22" s="478">
        <f t="shared" ref="N22:N32" si="14">N4*$N$17</f>
        <v>0</v>
      </c>
      <c r="O22" s="478">
        <f t="shared" ref="O22:O32" si="15">O4*$O$17</f>
        <v>0</v>
      </c>
      <c r="P22" s="489">
        <f t="shared" ref="P22:P32" si="16">P4*$P$17</f>
        <v>0</v>
      </c>
      <c r="Q22" s="480">
        <f ca="1">SUM(B22:P22)</f>
        <v>14511.71585724376</v>
      </c>
    </row>
    <row r="23" spans="1:17">
      <c r="A23" s="477" t="s">
        <v>156</v>
      </c>
      <c r="B23" s="478">
        <f t="shared" ca="1" si="2"/>
        <v>1148.5735616314455</v>
      </c>
      <c r="C23" s="478">
        <f t="shared" ca="1" si="3"/>
        <v>0</v>
      </c>
      <c r="D23" s="478">
        <f t="shared" ca="1" si="4"/>
        <v>742.50771957999996</v>
      </c>
      <c r="E23" s="478">
        <f t="shared" si="5"/>
        <v>12.320005117521571</v>
      </c>
      <c r="F23" s="478">
        <f t="shared" ca="1" si="6"/>
        <v>224.95912743034714</v>
      </c>
      <c r="G23" s="478">
        <f t="shared" si="7"/>
        <v>0</v>
      </c>
      <c r="H23" s="478">
        <f t="shared" si="8"/>
        <v>0</v>
      </c>
      <c r="I23" s="478">
        <f t="shared" si="9"/>
        <v>0</v>
      </c>
      <c r="J23" s="478">
        <f t="shared" si="10"/>
        <v>0</v>
      </c>
      <c r="K23" s="478">
        <f t="shared" si="11"/>
        <v>0</v>
      </c>
      <c r="L23" s="478">
        <f t="shared" ca="1" si="12"/>
        <v>0</v>
      </c>
      <c r="M23" s="478">
        <f t="shared" si="13"/>
        <v>0</v>
      </c>
      <c r="N23" s="478">
        <f t="shared" ca="1" si="14"/>
        <v>0</v>
      </c>
      <c r="O23" s="478">
        <f t="shared" si="15"/>
        <v>0</v>
      </c>
      <c r="P23" s="479">
        <f t="shared" si="16"/>
        <v>0</v>
      </c>
      <c r="Q23" s="477">
        <f t="shared" ref="Q23:Q32" ca="1" si="17">SUM(B23:P23)</f>
        <v>2128.3604137593143</v>
      </c>
    </row>
    <row r="24" spans="1:17">
      <c r="A24" s="477" t="s">
        <v>194</v>
      </c>
      <c r="B24" s="478">
        <f t="shared" ca="1" si="2"/>
        <v>113.23654241657445</v>
      </c>
      <c r="C24" s="478">
        <f t="shared" ca="1" si="3"/>
        <v>0</v>
      </c>
      <c r="D24" s="478">
        <f t="shared" si="4"/>
        <v>0</v>
      </c>
      <c r="E24" s="478">
        <f t="shared" si="5"/>
        <v>0</v>
      </c>
      <c r="F24" s="478">
        <f t="shared" si="6"/>
        <v>0</v>
      </c>
      <c r="G24" s="478">
        <f t="shared" si="7"/>
        <v>0</v>
      </c>
      <c r="H24" s="478">
        <f t="shared" si="8"/>
        <v>0</v>
      </c>
      <c r="I24" s="478">
        <f t="shared" si="9"/>
        <v>0</v>
      </c>
      <c r="J24" s="478">
        <f t="shared" si="10"/>
        <v>0</v>
      </c>
      <c r="K24" s="478">
        <f t="shared" si="11"/>
        <v>0</v>
      </c>
      <c r="L24" s="478">
        <f t="shared" si="12"/>
        <v>0</v>
      </c>
      <c r="M24" s="478">
        <f t="shared" si="13"/>
        <v>0</v>
      </c>
      <c r="N24" s="478">
        <f t="shared" si="14"/>
        <v>0</v>
      </c>
      <c r="O24" s="478">
        <f t="shared" si="15"/>
        <v>0</v>
      </c>
      <c r="P24" s="479">
        <f t="shared" si="16"/>
        <v>0</v>
      </c>
      <c r="Q24" s="477">
        <f t="shared" ca="1" si="17"/>
        <v>113.23654241657445</v>
      </c>
    </row>
    <row r="25" spans="1:17">
      <c r="A25" s="477" t="s">
        <v>112</v>
      </c>
      <c r="B25" s="478">
        <f t="shared" ca="1" si="2"/>
        <v>335.98053358399244</v>
      </c>
      <c r="C25" s="478">
        <f t="shared" ca="1" si="3"/>
        <v>0</v>
      </c>
      <c r="D25" s="478">
        <f t="shared" si="4"/>
        <v>487.87671856000003</v>
      </c>
      <c r="E25" s="478">
        <f t="shared" si="5"/>
        <v>3.4452612782137635</v>
      </c>
      <c r="F25" s="478">
        <f t="shared" si="6"/>
        <v>1110.0338645261161</v>
      </c>
      <c r="G25" s="478">
        <f t="shared" si="7"/>
        <v>0</v>
      </c>
      <c r="H25" s="478">
        <f t="shared" si="8"/>
        <v>0</v>
      </c>
      <c r="I25" s="478">
        <f t="shared" si="9"/>
        <v>0</v>
      </c>
      <c r="J25" s="478">
        <f t="shared" si="10"/>
        <v>88.930128968995021</v>
      </c>
      <c r="K25" s="478">
        <f t="shared" si="11"/>
        <v>0</v>
      </c>
      <c r="L25" s="478">
        <f t="shared" si="12"/>
        <v>0</v>
      </c>
      <c r="M25" s="478">
        <f t="shared" si="13"/>
        <v>0</v>
      </c>
      <c r="N25" s="478">
        <f t="shared" si="14"/>
        <v>0</v>
      </c>
      <c r="O25" s="478">
        <f t="shared" si="15"/>
        <v>0</v>
      </c>
      <c r="P25" s="479">
        <f t="shared" si="16"/>
        <v>0</v>
      </c>
      <c r="Q25" s="477">
        <f t="shared" ca="1" si="17"/>
        <v>2026.2665069173172</v>
      </c>
    </row>
    <row r="26" spans="1:17">
      <c r="A26" s="477" t="s">
        <v>650</v>
      </c>
      <c r="B26" s="478">
        <f t="shared" ca="1" si="2"/>
        <v>8368.7371933445065</v>
      </c>
      <c r="C26" s="478">
        <f t="shared" ca="1" si="3"/>
        <v>0</v>
      </c>
      <c r="D26" s="478">
        <f t="shared" si="4"/>
        <v>1181.9910557400001</v>
      </c>
      <c r="E26" s="478">
        <f t="shared" si="5"/>
        <v>2434.9441181544926</v>
      </c>
      <c r="F26" s="478">
        <f t="shared" si="6"/>
        <v>8402.6698459153758</v>
      </c>
      <c r="G26" s="478">
        <f t="shared" si="7"/>
        <v>0</v>
      </c>
      <c r="H26" s="478">
        <f t="shared" si="8"/>
        <v>0</v>
      </c>
      <c r="I26" s="478">
        <f t="shared" si="9"/>
        <v>0</v>
      </c>
      <c r="J26" s="478">
        <f t="shared" si="10"/>
        <v>3.0140739949564521</v>
      </c>
      <c r="K26" s="478">
        <f t="shared" si="11"/>
        <v>0</v>
      </c>
      <c r="L26" s="478">
        <f t="shared" si="12"/>
        <v>0</v>
      </c>
      <c r="M26" s="478">
        <f t="shared" si="13"/>
        <v>0</v>
      </c>
      <c r="N26" s="478">
        <f t="shared" si="14"/>
        <v>0</v>
      </c>
      <c r="O26" s="478">
        <f t="shared" si="15"/>
        <v>0</v>
      </c>
      <c r="P26" s="479">
        <f t="shared" si="16"/>
        <v>0</v>
      </c>
      <c r="Q26" s="477">
        <f t="shared" ca="1" si="17"/>
        <v>20391.356287149334</v>
      </c>
    </row>
    <row r="27" spans="1:17" s="483" customFormat="1">
      <c r="A27" s="481" t="s">
        <v>571</v>
      </c>
      <c r="B27" s="781">
        <f t="shared" ca="1" si="2"/>
        <v>1.0186480632394506</v>
      </c>
      <c r="C27" s="482">
        <f t="shared" ca="1" si="3"/>
        <v>0</v>
      </c>
      <c r="D27" s="482">
        <f t="shared" si="4"/>
        <v>2.7038400168955845</v>
      </c>
      <c r="E27" s="482">
        <f t="shared" si="5"/>
        <v>19.288104856723109</v>
      </c>
      <c r="F27" s="482">
        <f t="shared" si="6"/>
        <v>0</v>
      </c>
      <c r="G27" s="482">
        <f t="shared" si="7"/>
        <v>6201.1487562505381</v>
      </c>
      <c r="H27" s="482">
        <f t="shared" si="8"/>
        <v>1257.6632720252701</v>
      </c>
      <c r="I27" s="482">
        <f t="shared" si="9"/>
        <v>0</v>
      </c>
      <c r="J27" s="482">
        <f t="shared" si="10"/>
        <v>0</v>
      </c>
      <c r="K27" s="482">
        <f t="shared" si="11"/>
        <v>0</v>
      </c>
      <c r="L27" s="482">
        <f t="shared" si="12"/>
        <v>0</v>
      </c>
      <c r="M27" s="482">
        <f t="shared" si="13"/>
        <v>0</v>
      </c>
      <c r="N27" s="482">
        <f t="shared" si="14"/>
        <v>0</v>
      </c>
      <c r="O27" s="482">
        <f t="shared" si="15"/>
        <v>0</v>
      </c>
      <c r="P27" s="490">
        <f t="shared" si="16"/>
        <v>0</v>
      </c>
      <c r="Q27" s="481">
        <f t="shared" ca="1" si="17"/>
        <v>7481.8226212126665</v>
      </c>
    </row>
    <row r="28" spans="1:17">
      <c r="A28" s="477" t="s">
        <v>561</v>
      </c>
      <c r="B28" s="478">
        <f t="shared" ca="1" si="2"/>
        <v>0</v>
      </c>
      <c r="C28" s="478">
        <f t="shared" ca="1" si="3"/>
        <v>0</v>
      </c>
      <c r="D28" s="478">
        <f t="shared" si="4"/>
        <v>0</v>
      </c>
      <c r="E28" s="478">
        <f t="shared" si="5"/>
        <v>0</v>
      </c>
      <c r="F28" s="478">
        <f t="shared" si="6"/>
        <v>0</v>
      </c>
      <c r="G28" s="478">
        <f t="shared" si="7"/>
        <v>112.52841566083457</v>
      </c>
      <c r="H28" s="478">
        <f t="shared" si="8"/>
        <v>0</v>
      </c>
      <c r="I28" s="478">
        <f t="shared" si="9"/>
        <v>0</v>
      </c>
      <c r="J28" s="478">
        <f t="shared" si="10"/>
        <v>0</v>
      </c>
      <c r="K28" s="478">
        <f t="shared" si="11"/>
        <v>0</v>
      </c>
      <c r="L28" s="478">
        <f t="shared" si="12"/>
        <v>0</v>
      </c>
      <c r="M28" s="478">
        <f t="shared" si="13"/>
        <v>0</v>
      </c>
      <c r="N28" s="478">
        <f t="shared" si="14"/>
        <v>0</v>
      </c>
      <c r="O28" s="478">
        <f t="shared" si="15"/>
        <v>0</v>
      </c>
      <c r="P28" s="479">
        <f t="shared" si="16"/>
        <v>0</v>
      </c>
      <c r="Q28" s="477">
        <f t="shared" ca="1" si="17"/>
        <v>112.52841566083457</v>
      </c>
    </row>
    <row r="29" spans="1:17">
      <c r="A29" s="477" t="s">
        <v>562</v>
      </c>
      <c r="B29" s="478">
        <f t="shared" ca="1" si="2"/>
        <v>0</v>
      </c>
      <c r="C29" s="478">
        <f t="shared" ca="1" si="3"/>
        <v>0</v>
      </c>
      <c r="D29" s="478">
        <f t="shared" si="4"/>
        <v>0</v>
      </c>
      <c r="E29" s="478">
        <f t="shared" si="5"/>
        <v>0</v>
      </c>
      <c r="F29" s="478">
        <f t="shared" si="6"/>
        <v>0</v>
      </c>
      <c r="G29" s="478">
        <f t="shared" si="7"/>
        <v>0</v>
      </c>
      <c r="H29" s="478">
        <f t="shared" si="8"/>
        <v>0</v>
      </c>
      <c r="I29" s="478">
        <f t="shared" si="9"/>
        <v>0</v>
      </c>
      <c r="J29" s="478">
        <f t="shared" si="10"/>
        <v>0</v>
      </c>
      <c r="K29" s="478">
        <f t="shared" si="11"/>
        <v>0</v>
      </c>
      <c r="L29" s="478">
        <f t="shared" si="12"/>
        <v>0</v>
      </c>
      <c r="M29" s="478">
        <f t="shared" si="13"/>
        <v>0</v>
      </c>
      <c r="N29" s="478">
        <f t="shared" si="14"/>
        <v>0</v>
      </c>
      <c r="O29" s="478">
        <f t="shared" si="15"/>
        <v>0</v>
      </c>
      <c r="P29" s="479">
        <f t="shared" si="16"/>
        <v>0</v>
      </c>
      <c r="Q29" s="477">
        <f t="shared" ca="1" si="17"/>
        <v>0</v>
      </c>
    </row>
    <row r="30" spans="1:17">
      <c r="A30" s="477" t="s">
        <v>563</v>
      </c>
      <c r="B30" s="478">
        <f t="shared" ca="1" si="2"/>
        <v>0</v>
      </c>
      <c r="C30" s="478">
        <f t="shared" ca="1" si="3"/>
        <v>0</v>
      </c>
      <c r="D30" s="478">
        <f t="shared" si="4"/>
        <v>0</v>
      </c>
      <c r="E30" s="478">
        <f t="shared" si="5"/>
        <v>0</v>
      </c>
      <c r="F30" s="478">
        <f t="shared" si="6"/>
        <v>0</v>
      </c>
      <c r="G30" s="478">
        <f t="shared" si="7"/>
        <v>0</v>
      </c>
      <c r="H30" s="478">
        <f t="shared" si="8"/>
        <v>0</v>
      </c>
      <c r="I30" s="478">
        <f t="shared" si="9"/>
        <v>0</v>
      </c>
      <c r="J30" s="478">
        <f t="shared" si="10"/>
        <v>0</v>
      </c>
      <c r="K30" s="478">
        <f t="shared" si="11"/>
        <v>0</v>
      </c>
      <c r="L30" s="478">
        <f t="shared" si="12"/>
        <v>0</v>
      </c>
      <c r="M30" s="478">
        <f t="shared" si="13"/>
        <v>0</v>
      </c>
      <c r="N30" s="478">
        <f t="shared" si="14"/>
        <v>0</v>
      </c>
      <c r="O30" s="478">
        <f t="shared" si="15"/>
        <v>0</v>
      </c>
      <c r="P30" s="479">
        <f t="shared" si="16"/>
        <v>0</v>
      </c>
      <c r="Q30" s="477">
        <f t="shared" ca="1" si="17"/>
        <v>0</v>
      </c>
    </row>
    <row r="31" spans="1:17">
      <c r="A31" s="477" t="s">
        <v>564</v>
      </c>
      <c r="B31" s="478">
        <f t="shared" ca="1" si="2"/>
        <v>0</v>
      </c>
      <c r="C31" s="478">
        <f t="shared" ca="1" si="3"/>
        <v>0</v>
      </c>
      <c r="D31" s="478">
        <f t="shared" si="4"/>
        <v>0</v>
      </c>
      <c r="E31" s="478">
        <f t="shared" si="5"/>
        <v>0</v>
      </c>
      <c r="F31" s="478">
        <f t="shared" si="6"/>
        <v>0</v>
      </c>
      <c r="G31" s="478">
        <f t="shared" si="7"/>
        <v>0</v>
      </c>
      <c r="H31" s="478">
        <f t="shared" si="8"/>
        <v>0</v>
      </c>
      <c r="I31" s="478">
        <f t="shared" si="9"/>
        <v>0</v>
      </c>
      <c r="J31" s="478">
        <f t="shared" si="10"/>
        <v>0</v>
      </c>
      <c r="K31" s="478">
        <f t="shared" si="11"/>
        <v>0</v>
      </c>
      <c r="L31" s="478">
        <f t="shared" si="12"/>
        <v>0</v>
      </c>
      <c r="M31" s="478">
        <f t="shared" si="13"/>
        <v>0</v>
      </c>
      <c r="N31" s="478">
        <f t="shared" si="14"/>
        <v>0</v>
      </c>
      <c r="O31" s="478">
        <f t="shared" si="15"/>
        <v>0</v>
      </c>
      <c r="P31" s="479">
        <f t="shared" si="16"/>
        <v>0</v>
      </c>
      <c r="Q31" s="477">
        <f t="shared" ca="1" si="17"/>
        <v>0</v>
      </c>
    </row>
    <row r="32" spans="1:17">
      <c r="A32" s="477" t="s">
        <v>868</v>
      </c>
      <c r="B32" s="478">
        <f t="shared" ca="1" si="2"/>
        <v>37.887813088878346</v>
      </c>
      <c r="C32" s="478">
        <f t="shared" ca="1" si="3"/>
        <v>0</v>
      </c>
      <c r="D32" s="478">
        <f t="shared" si="4"/>
        <v>29.554216</v>
      </c>
      <c r="E32" s="478">
        <f t="shared" si="5"/>
        <v>0</v>
      </c>
      <c r="F32" s="478">
        <f t="shared" si="6"/>
        <v>0</v>
      </c>
      <c r="G32" s="478">
        <f t="shared" si="7"/>
        <v>0</v>
      </c>
      <c r="H32" s="478">
        <f t="shared" si="8"/>
        <v>0</v>
      </c>
      <c r="I32" s="478">
        <f t="shared" si="9"/>
        <v>0</v>
      </c>
      <c r="J32" s="478">
        <f t="shared" si="10"/>
        <v>0</v>
      </c>
      <c r="K32" s="478">
        <f t="shared" si="11"/>
        <v>0</v>
      </c>
      <c r="L32" s="478">
        <f t="shared" si="12"/>
        <v>0</v>
      </c>
      <c r="M32" s="478">
        <f t="shared" si="13"/>
        <v>0</v>
      </c>
      <c r="N32" s="478">
        <f t="shared" si="14"/>
        <v>0</v>
      </c>
      <c r="O32" s="478">
        <f t="shared" si="15"/>
        <v>0</v>
      </c>
      <c r="P32" s="479">
        <f t="shared" si="16"/>
        <v>0</v>
      </c>
      <c r="Q32" s="477">
        <f t="shared" ca="1" si="17"/>
        <v>67.442029088878343</v>
      </c>
    </row>
    <row r="33" spans="1:17" s="487" customFormat="1">
      <c r="A33" s="1051" t="s">
        <v>565</v>
      </c>
      <c r="B33" s="991">
        <f ca="1">SUM(B22:B32)</f>
        <v>12831.199490398123</v>
      </c>
      <c r="C33" s="991">
        <f t="shared" ref="C33:Q33" ca="1" si="18">SUM(C22:C32)</f>
        <v>0</v>
      </c>
      <c r="D33" s="991">
        <f t="shared" ca="1" si="18"/>
        <v>5720.2241802968965</v>
      </c>
      <c r="E33" s="991">
        <f t="shared" si="18"/>
        <v>2774.3506135869361</v>
      </c>
      <c r="F33" s="991">
        <f t="shared" ca="1" si="18"/>
        <v>17714.172320099577</v>
      </c>
      <c r="G33" s="991">
        <f t="shared" si="18"/>
        <v>6313.6771719113731</v>
      </c>
      <c r="H33" s="991">
        <f t="shared" si="18"/>
        <v>1257.6632720252701</v>
      </c>
      <c r="I33" s="991">
        <f t="shared" si="18"/>
        <v>0</v>
      </c>
      <c r="J33" s="991">
        <f t="shared" si="18"/>
        <v>221.4416251305073</v>
      </c>
      <c r="K33" s="991">
        <f t="shared" si="18"/>
        <v>0</v>
      </c>
      <c r="L33" s="991">
        <f t="shared" ca="1" si="18"/>
        <v>0</v>
      </c>
      <c r="M33" s="991">
        <f t="shared" si="18"/>
        <v>0</v>
      </c>
      <c r="N33" s="991">
        <f t="shared" ca="1" si="18"/>
        <v>0</v>
      </c>
      <c r="O33" s="991">
        <f t="shared" si="18"/>
        <v>0</v>
      </c>
      <c r="P33" s="991">
        <f t="shared" si="18"/>
        <v>0</v>
      </c>
      <c r="Q33" s="991">
        <f t="shared" ca="1" si="18"/>
        <v>46832.728673448684</v>
      </c>
    </row>
  </sheetData>
  <mergeCells count="12">
    <mergeCell ref="A19:A21"/>
    <mergeCell ref="B19:P19"/>
    <mergeCell ref="B20:B21"/>
    <mergeCell ref="C20:C21"/>
    <mergeCell ref="D20:K20"/>
    <mergeCell ref="L20:P20"/>
    <mergeCell ref="A1:A3"/>
    <mergeCell ref="B1:P1"/>
    <mergeCell ref="B2:B3"/>
    <mergeCell ref="C2:C3"/>
    <mergeCell ref="D2:K2"/>
    <mergeCell ref="L2:P2"/>
  </mergeCells>
  <dataValidations count="1">
    <dataValidation type="list" allowBlank="1" showInputMessage="1" showErrorMessage="1" sqref="B2:D3 B20:D21">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sheetPr>
    <tabColor theme="6"/>
  </sheetPr>
  <dimension ref="A1:Q20"/>
  <sheetViews>
    <sheetView zoomScale="40" zoomScaleNormal="40" workbookViewId="0">
      <selection activeCell="P18" sqref="P18"/>
    </sheetView>
  </sheetViews>
  <sheetFormatPr defaultColWidth="9.140625" defaultRowHeight="15"/>
  <cols>
    <col min="1" max="1" width="51.42578125" style="476" customWidth="1"/>
    <col min="2" max="8" width="26.28515625" style="476" customWidth="1"/>
    <col min="9" max="9" width="32" style="476" customWidth="1"/>
    <col min="10" max="11" width="26.28515625" style="476" customWidth="1"/>
    <col min="12" max="12" width="23.7109375" style="476" customWidth="1"/>
    <col min="13" max="15" width="26.28515625" style="476" customWidth="1"/>
    <col min="16" max="16" width="42" style="476" customWidth="1"/>
    <col min="17" max="17" width="26.28515625" style="476" customWidth="1"/>
    <col min="18" max="18" width="9.5703125" style="476" bestFit="1" customWidth="1"/>
    <col min="19" max="16384" width="9.140625" style="476"/>
  </cols>
  <sheetData>
    <row r="1" spans="1:17" s="958" customFormat="1" ht="21">
      <c r="A1" s="1190" t="s">
        <v>560</v>
      </c>
      <c r="B1" s="1191" t="s">
        <v>827</v>
      </c>
      <c r="C1" s="1191"/>
      <c r="D1" s="1191"/>
      <c r="E1" s="1191"/>
      <c r="F1" s="1191"/>
      <c r="G1" s="1191"/>
      <c r="H1" s="1191"/>
      <c r="I1" s="1191"/>
      <c r="J1" s="1191"/>
      <c r="K1" s="1191"/>
      <c r="L1" s="1191"/>
      <c r="M1" s="1191"/>
      <c r="N1" s="1191"/>
      <c r="O1" s="1191"/>
      <c r="P1" s="1192"/>
      <c r="Q1" s="957"/>
    </row>
    <row r="2" spans="1:17" s="958" customFormat="1" ht="21">
      <c r="A2" s="1190"/>
      <c r="B2" s="1193" t="s">
        <v>21</v>
      </c>
      <c r="C2" s="1195" t="s">
        <v>196</v>
      </c>
      <c r="D2" s="1197" t="s">
        <v>197</v>
      </c>
      <c r="E2" s="1198"/>
      <c r="F2" s="1198"/>
      <c r="G2" s="1198"/>
      <c r="H2" s="1198"/>
      <c r="I2" s="1198"/>
      <c r="J2" s="1198"/>
      <c r="K2" s="1194"/>
      <c r="L2" s="1197" t="s">
        <v>198</v>
      </c>
      <c r="M2" s="1198"/>
      <c r="N2" s="1198"/>
      <c r="O2" s="1198"/>
      <c r="P2" s="1194"/>
      <c r="Q2" s="957"/>
    </row>
    <row r="3" spans="1:17" s="958" customFormat="1" ht="42">
      <c r="A3" s="1190"/>
      <c r="B3" s="1194"/>
      <c r="C3" s="1196"/>
      <c r="D3" s="959" t="s">
        <v>199</v>
      </c>
      <c r="E3" s="959" t="s">
        <v>200</v>
      </c>
      <c r="F3" s="959" t="s">
        <v>201</v>
      </c>
      <c r="G3" s="959" t="s">
        <v>202</v>
      </c>
      <c r="H3" s="959" t="s">
        <v>120</v>
      </c>
      <c r="I3" s="959" t="s">
        <v>203</v>
      </c>
      <c r="J3" s="959" t="s">
        <v>204</v>
      </c>
      <c r="K3" s="959" t="s">
        <v>205</v>
      </c>
      <c r="L3" s="959" t="s">
        <v>206</v>
      </c>
      <c r="M3" s="959" t="s">
        <v>207</v>
      </c>
      <c r="N3" s="959" t="s">
        <v>208</v>
      </c>
      <c r="O3" s="959" t="s">
        <v>209</v>
      </c>
      <c r="P3" s="959" t="s">
        <v>210</v>
      </c>
      <c r="Q3" s="957" t="s">
        <v>116</v>
      </c>
    </row>
    <row r="4" spans="1:17" ht="124.35" customHeight="1">
      <c r="A4" s="960" t="s">
        <v>155</v>
      </c>
      <c r="B4" s="961" t="s">
        <v>828</v>
      </c>
      <c r="C4" s="962" t="s">
        <v>829</v>
      </c>
      <c r="D4" s="963" t="s">
        <v>830</v>
      </c>
      <c r="E4" s="964" t="s">
        <v>831</v>
      </c>
      <c r="F4" s="964" t="s">
        <v>832</v>
      </c>
      <c r="G4" s="965" t="s">
        <v>835</v>
      </c>
      <c r="H4" s="965" t="s">
        <v>835</v>
      </c>
      <c r="I4" s="965" t="s">
        <v>835</v>
      </c>
      <c r="J4" s="964" t="s">
        <v>834</v>
      </c>
      <c r="K4" s="965" t="s">
        <v>835</v>
      </c>
      <c r="L4" s="965" t="s">
        <v>835</v>
      </c>
      <c r="M4" s="965" t="s">
        <v>835</v>
      </c>
      <c r="N4" s="964" t="s">
        <v>836</v>
      </c>
      <c r="O4" s="966" t="s">
        <v>837</v>
      </c>
      <c r="P4" s="967" t="s">
        <v>838</v>
      </c>
      <c r="Q4" s="968"/>
    </row>
    <row r="5" spans="1:17" ht="124.35" customHeight="1">
      <c r="A5" s="969" t="s">
        <v>156</v>
      </c>
      <c r="B5" s="970" t="s">
        <v>839</v>
      </c>
      <c r="C5" s="971" t="s">
        <v>840</v>
      </c>
      <c r="D5" s="971" t="s">
        <v>841</v>
      </c>
      <c r="E5" s="972" t="s">
        <v>842</v>
      </c>
      <c r="F5" s="972" t="s">
        <v>843</v>
      </c>
      <c r="G5" s="973" t="s">
        <v>835</v>
      </c>
      <c r="H5" s="973" t="s">
        <v>835</v>
      </c>
      <c r="I5" s="973" t="s">
        <v>835</v>
      </c>
      <c r="J5" s="972" t="s">
        <v>844</v>
      </c>
      <c r="K5" s="970" t="s">
        <v>845</v>
      </c>
      <c r="L5" s="973" t="s">
        <v>835</v>
      </c>
      <c r="M5" s="973" t="s">
        <v>835</v>
      </c>
      <c r="N5" s="972" t="s">
        <v>846</v>
      </c>
      <c r="O5" s="974" t="s">
        <v>837</v>
      </c>
      <c r="P5" s="975" t="s">
        <v>838</v>
      </c>
      <c r="Q5" s="976"/>
    </row>
    <row r="6" spans="1:17" ht="124.35" customHeight="1">
      <c r="A6" s="969" t="s">
        <v>194</v>
      </c>
      <c r="B6" s="977" t="s">
        <v>847</v>
      </c>
      <c r="C6" s="978" t="s">
        <v>833</v>
      </c>
      <c r="D6" s="973" t="s">
        <v>833</v>
      </c>
      <c r="E6" s="973" t="s">
        <v>833</v>
      </c>
      <c r="F6" s="973" t="s">
        <v>833</v>
      </c>
      <c r="G6" s="973" t="s">
        <v>833</v>
      </c>
      <c r="H6" s="973" t="s">
        <v>833</v>
      </c>
      <c r="I6" s="973" t="s">
        <v>833</v>
      </c>
      <c r="J6" s="973" t="s">
        <v>833</v>
      </c>
      <c r="K6" s="973" t="s">
        <v>833</v>
      </c>
      <c r="L6" s="973" t="s">
        <v>833</v>
      </c>
      <c r="M6" s="973" t="s">
        <v>833</v>
      </c>
      <c r="N6" s="973" t="s">
        <v>833</v>
      </c>
      <c r="O6" s="979" t="s">
        <v>833</v>
      </c>
      <c r="P6" s="980" t="s">
        <v>833</v>
      </c>
      <c r="Q6" s="981"/>
    </row>
    <row r="7" spans="1:17" ht="124.35" customHeight="1">
      <c r="A7" s="969" t="s">
        <v>112</v>
      </c>
      <c r="B7" s="977" t="s">
        <v>847</v>
      </c>
      <c r="C7" s="971" t="s">
        <v>840</v>
      </c>
      <c r="D7" s="971" t="s">
        <v>841</v>
      </c>
      <c r="E7" s="972" t="s">
        <v>842</v>
      </c>
      <c r="F7" s="972" t="s">
        <v>843</v>
      </c>
      <c r="G7" s="973" t="s">
        <v>835</v>
      </c>
      <c r="H7" s="973" t="s">
        <v>835</v>
      </c>
      <c r="I7" s="973" t="s">
        <v>835</v>
      </c>
      <c r="J7" s="972" t="s">
        <v>844</v>
      </c>
      <c r="K7" s="973" t="s">
        <v>835</v>
      </c>
      <c r="L7" s="973" t="s">
        <v>835</v>
      </c>
      <c r="M7" s="973" t="s">
        <v>835</v>
      </c>
      <c r="N7" s="982" t="s">
        <v>835</v>
      </c>
      <c r="O7" s="978" t="s">
        <v>835</v>
      </c>
      <c r="P7" s="983" t="s">
        <v>835</v>
      </c>
      <c r="Q7" s="976"/>
    </row>
    <row r="8" spans="1:17" ht="124.35" customHeight="1">
      <c r="A8" s="969" t="s">
        <v>650</v>
      </c>
      <c r="B8" s="970" t="s">
        <v>848</v>
      </c>
      <c r="C8" s="971" t="s">
        <v>840</v>
      </c>
      <c r="D8" s="971" t="s">
        <v>841</v>
      </c>
      <c r="E8" s="972" t="s">
        <v>842</v>
      </c>
      <c r="F8" s="972" t="s">
        <v>843</v>
      </c>
      <c r="G8" s="973" t="s">
        <v>835</v>
      </c>
      <c r="H8" s="973" t="s">
        <v>835</v>
      </c>
      <c r="I8" s="973" t="s">
        <v>835</v>
      </c>
      <c r="J8" s="972" t="s">
        <v>844</v>
      </c>
      <c r="K8" s="970" t="s">
        <v>845</v>
      </c>
      <c r="L8" s="973" t="s">
        <v>835</v>
      </c>
      <c r="M8" s="973" t="s">
        <v>835</v>
      </c>
      <c r="N8" s="972" t="s">
        <v>846</v>
      </c>
      <c r="O8" s="974" t="s">
        <v>837</v>
      </c>
      <c r="P8" s="975" t="s">
        <v>838</v>
      </c>
      <c r="Q8" s="976"/>
    </row>
    <row r="9" spans="1:17" s="483" customFormat="1" ht="124.35" customHeight="1">
      <c r="A9" s="984" t="s">
        <v>571</v>
      </c>
      <c r="B9" s="972" t="s">
        <v>849</v>
      </c>
      <c r="C9" s="979" t="s">
        <v>833</v>
      </c>
      <c r="D9" s="972" t="s">
        <v>850</v>
      </c>
      <c r="E9" s="972" t="s">
        <v>851</v>
      </c>
      <c r="F9" s="973" t="s">
        <v>833</v>
      </c>
      <c r="G9" s="972" t="s">
        <v>852</v>
      </c>
      <c r="H9" s="972" t="s">
        <v>853</v>
      </c>
      <c r="I9" s="973" t="s">
        <v>833</v>
      </c>
      <c r="J9" s="973" t="s">
        <v>833</v>
      </c>
      <c r="K9" s="973" t="s">
        <v>833</v>
      </c>
      <c r="L9" s="973" t="s">
        <v>833</v>
      </c>
      <c r="M9" s="972" t="s">
        <v>849</v>
      </c>
      <c r="N9" s="973" t="s">
        <v>833</v>
      </c>
      <c r="O9" s="973" t="s">
        <v>833</v>
      </c>
      <c r="P9" s="985" t="s">
        <v>833</v>
      </c>
      <c r="Q9" s="986"/>
    </row>
    <row r="10" spans="1:17" ht="124.35" customHeight="1">
      <c r="A10" s="969" t="s">
        <v>561</v>
      </c>
      <c r="B10" s="970" t="s">
        <v>861</v>
      </c>
      <c r="C10" s="979" t="s">
        <v>833</v>
      </c>
      <c r="D10" s="979" t="s">
        <v>833</v>
      </c>
      <c r="E10" s="979" t="s">
        <v>833</v>
      </c>
      <c r="F10" s="973" t="s">
        <v>833</v>
      </c>
      <c r="G10" s="970" t="s">
        <v>854</v>
      </c>
      <c r="H10" s="973" t="s">
        <v>833</v>
      </c>
      <c r="I10" s="973" t="s">
        <v>833</v>
      </c>
      <c r="J10" s="973" t="s">
        <v>833</v>
      </c>
      <c r="K10" s="973" t="s">
        <v>833</v>
      </c>
      <c r="L10" s="973" t="s">
        <v>833</v>
      </c>
      <c r="M10" s="970" t="s">
        <v>855</v>
      </c>
      <c r="N10" s="973" t="s">
        <v>833</v>
      </c>
      <c r="O10" s="973" t="s">
        <v>833</v>
      </c>
      <c r="P10" s="985" t="s">
        <v>833</v>
      </c>
      <c r="Q10" s="976"/>
    </row>
    <row r="11" spans="1:17" ht="21">
      <c r="A11" s="969" t="s">
        <v>562</v>
      </c>
      <c r="B11" s="987" t="s">
        <v>856</v>
      </c>
      <c r="C11" s="987" t="s">
        <v>856</v>
      </c>
      <c r="D11" s="987" t="s">
        <v>856</v>
      </c>
      <c r="E11" s="987" t="s">
        <v>856</v>
      </c>
      <c r="F11" s="987" t="s">
        <v>856</v>
      </c>
      <c r="G11" s="987" t="s">
        <v>856</v>
      </c>
      <c r="H11" s="987" t="s">
        <v>856</v>
      </c>
      <c r="I11" s="987" t="s">
        <v>856</v>
      </c>
      <c r="J11" s="987" t="s">
        <v>856</v>
      </c>
      <c r="K11" s="987" t="s">
        <v>856</v>
      </c>
      <c r="L11" s="987" t="s">
        <v>856</v>
      </c>
      <c r="M11" s="987" t="s">
        <v>856</v>
      </c>
      <c r="N11" s="987" t="s">
        <v>856</v>
      </c>
      <c r="O11" s="987" t="s">
        <v>856</v>
      </c>
      <c r="P11" s="1003" t="s">
        <v>856</v>
      </c>
      <c r="Q11" s="1004"/>
    </row>
    <row r="12" spans="1:17" ht="21">
      <c r="A12" s="969" t="s">
        <v>563</v>
      </c>
      <c r="B12" s="987" t="s">
        <v>856</v>
      </c>
      <c r="C12" s="987" t="s">
        <v>833</v>
      </c>
      <c r="D12" s="987" t="s">
        <v>833</v>
      </c>
      <c r="E12" s="987" t="s">
        <v>833</v>
      </c>
      <c r="F12" s="987" t="s">
        <v>833</v>
      </c>
      <c r="G12" s="987" t="s">
        <v>833</v>
      </c>
      <c r="H12" s="987" t="s">
        <v>833</v>
      </c>
      <c r="I12" s="987" t="s">
        <v>833</v>
      </c>
      <c r="J12" s="987" t="s">
        <v>833</v>
      </c>
      <c r="K12" s="987" t="s">
        <v>833</v>
      </c>
      <c r="L12" s="987" t="s">
        <v>833</v>
      </c>
      <c r="M12" s="987" t="s">
        <v>833</v>
      </c>
      <c r="N12" s="987" t="s">
        <v>833</v>
      </c>
      <c r="O12" s="987" t="s">
        <v>833</v>
      </c>
      <c r="P12" s="988" t="s">
        <v>833</v>
      </c>
      <c r="Q12" s="479"/>
    </row>
    <row r="13" spans="1:17" ht="21">
      <c r="A13" s="969" t="s">
        <v>564</v>
      </c>
      <c r="B13" s="987" t="s">
        <v>856</v>
      </c>
      <c r="C13" s="987" t="s">
        <v>833</v>
      </c>
      <c r="D13" s="987" t="s">
        <v>856</v>
      </c>
      <c r="E13" s="987" t="s">
        <v>856</v>
      </c>
      <c r="F13" s="987" t="s">
        <v>833</v>
      </c>
      <c r="G13" s="987" t="s">
        <v>856</v>
      </c>
      <c r="H13" s="987" t="s">
        <v>856</v>
      </c>
      <c r="I13" s="987" t="s">
        <v>833</v>
      </c>
      <c r="J13" s="987" t="s">
        <v>833</v>
      </c>
      <c r="K13" s="987" t="s">
        <v>833</v>
      </c>
      <c r="L13" s="987" t="s">
        <v>833</v>
      </c>
      <c r="M13" s="987" t="s">
        <v>856</v>
      </c>
      <c r="N13" s="987" t="s">
        <v>833</v>
      </c>
      <c r="O13" s="987" t="s">
        <v>833</v>
      </c>
      <c r="P13" s="988" t="s">
        <v>833</v>
      </c>
      <c r="Q13" s="479"/>
    </row>
    <row r="14" spans="1:17" ht="30">
      <c r="A14" s="989" t="s">
        <v>868</v>
      </c>
      <c r="B14" s="977" t="s">
        <v>847</v>
      </c>
      <c r="C14" s="987" t="s">
        <v>833</v>
      </c>
      <c r="D14" s="977" t="s">
        <v>847</v>
      </c>
      <c r="E14" s="987" t="s">
        <v>833</v>
      </c>
      <c r="F14" s="987" t="s">
        <v>833</v>
      </c>
      <c r="G14" s="987" t="s">
        <v>833</v>
      </c>
      <c r="H14" s="987" t="s">
        <v>833</v>
      </c>
      <c r="I14" s="987" t="s">
        <v>833</v>
      </c>
      <c r="J14" s="987" t="s">
        <v>833</v>
      </c>
      <c r="K14" s="987" t="s">
        <v>833</v>
      </c>
      <c r="L14" s="987" t="s">
        <v>833</v>
      </c>
      <c r="M14" s="987" t="s">
        <v>833</v>
      </c>
      <c r="N14" s="987" t="s">
        <v>833</v>
      </c>
      <c r="O14" s="987" t="s">
        <v>833</v>
      </c>
      <c r="P14" s="1003" t="s">
        <v>833</v>
      </c>
      <c r="Q14" s="1052"/>
    </row>
    <row r="15" spans="1:17" s="487" customFormat="1" ht="21">
      <c r="A15" s="990" t="s">
        <v>565</v>
      </c>
      <c r="B15" s="991"/>
      <c r="C15" s="991"/>
      <c r="D15" s="991"/>
      <c r="E15" s="991"/>
      <c r="F15" s="991"/>
      <c r="G15" s="991"/>
      <c r="H15" s="991"/>
      <c r="I15" s="991"/>
      <c r="J15" s="991"/>
      <c r="K15" s="991"/>
      <c r="L15" s="991"/>
      <c r="M15" s="992"/>
      <c r="N15" s="991"/>
      <c r="O15" s="991"/>
      <c r="P15" s="993"/>
      <c r="Q15" s="994"/>
    </row>
    <row r="16" spans="1:17">
      <c r="M16" s="995"/>
    </row>
    <row r="17" spans="1:4">
      <c r="B17" s="996">
        <v>1</v>
      </c>
      <c r="C17" s="997">
        <v>2</v>
      </c>
      <c r="D17" s="998">
        <v>3</v>
      </c>
    </row>
    <row r="18" spans="1:4" ht="252">
      <c r="A18" s="999" t="s">
        <v>857</v>
      </c>
      <c r="B18" s="1000" t="s">
        <v>858</v>
      </c>
      <c r="C18" s="1001" t="s">
        <v>859</v>
      </c>
      <c r="D18" s="1002" t="s">
        <v>860</v>
      </c>
    </row>
    <row r="19" spans="1:4" ht="243" customHeight="1"/>
    <row r="20"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formula1>#REF!</formula1>
    </dataValidation>
  </dataValidations>
  <pageMargins left="0.7" right="0.7" top="0.75" bottom="0.75" header="0.3" footer="0.3"/>
</worksheet>
</file>

<file path=xl/worksheets/sheet6.xml><?xml version="1.0" encoding="utf-8"?>
<worksheet xmlns="http://schemas.openxmlformats.org/spreadsheetml/2006/main" xmlns:r="http://schemas.openxmlformats.org/officeDocument/2006/relationships">
  <sheetPr>
    <tabColor theme="6"/>
  </sheetPr>
  <dimension ref="A1:P22"/>
  <sheetViews>
    <sheetView workbookViewId="0">
      <selection sqref="A1:XFD1048576"/>
    </sheetView>
  </sheetViews>
  <sheetFormatPr defaultColWidth="9.140625" defaultRowHeight="15"/>
  <cols>
    <col min="1" max="1" width="51" style="889" bestFit="1" customWidth="1"/>
    <col min="2" max="2" width="27" style="889" customWidth="1"/>
    <col min="3" max="3" width="30.42578125" style="889" customWidth="1"/>
    <col min="4" max="4" width="9.140625" style="889"/>
    <col min="5" max="5" width="15" style="889" customWidth="1"/>
    <col min="6" max="6" width="17" style="889" customWidth="1"/>
    <col min="7" max="7" width="18.140625" style="889" customWidth="1"/>
    <col min="8" max="8" width="16.140625" style="889" customWidth="1"/>
    <col min="9" max="15" width="9.140625" style="889"/>
    <col min="16" max="16" width="26.42578125" style="889" customWidth="1"/>
    <col min="17" max="16384" width="9.140625" style="889"/>
  </cols>
  <sheetData>
    <row r="1" spans="1:16" ht="15.75">
      <c r="A1" s="1199" t="s">
        <v>241</v>
      </c>
      <c r="B1" s="1200" t="s">
        <v>351</v>
      </c>
      <c r="C1" s="1200"/>
      <c r="D1" s="1201" t="s">
        <v>352</v>
      </c>
      <c r="E1" s="1201"/>
      <c r="F1" s="1201"/>
      <c r="G1" s="1201"/>
      <c r="H1" s="1201"/>
      <c r="I1" s="1201"/>
      <c r="J1" s="1201"/>
      <c r="K1" s="1201"/>
      <c r="L1" s="1201"/>
      <c r="M1" s="1201"/>
      <c r="N1" s="1201"/>
      <c r="O1" s="1201"/>
      <c r="P1" s="1200" t="s">
        <v>874</v>
      </c>
    </row>
    <row r="2" spans="1:16" ht="60">
      <c r="A2" s="1199"/>
      <c r="B2" s="1200"/>
      <c r="C2" s="1200"/>
      <c r="D2" s="1201" t="s">
        <v>197</v>
      </c>
      <c r="E2" s="1201"/>
      <c r="F2" s="1201"/>
      <c r="G2" s="1201"/>
      <c r="H2" s="1201"/>
      <c r="I2" s="1066" t="s">
        <v>875</v>
      </c>
      <c r="J2" s="1066" t="s">
        <v>234</v>
      </c>
      <c r="K2" s="1066" t="s">
        <v>876</v>
      </c>
      <c r="L2" s="1066" t="s">
        <v>867</v>
      </c>
      <c r="M2" s="1066" t="s">
        <v>245</v>
      </c>
      <c r="N2" s="1066" t="s">
        <v>877</v>
      </c>
      <c r="O2" s="1066" t="s">
        <v>127</v>
      </c>
      <c r="P2" s="1200"/>
    </row>
    <row r="3" spans="1:16" ht="30">
      <c r="A3" s="1199"/>
      <c r="B3" s="1066" t="s">
        <v>878</v>
      </c>
      <c r="C3" s="1066" t="s">
        <v>879</v>
      </c>
      <c r="D3" s="1066" t="s">
        <v>199</v>
      </c>
      <c r="E3" s="1066" t="s">
        <v>200</v>
      </c>
      <c r="F3" s="1066" t="s">
        <v>201</v>
      </c>
      <c r="G3" s="1066" t="s">
        <v>203</v>
      </c>
      <c r="H3" s="1066" t="s">
        <v>204</v>
      </c>
      <c r="I3" s="1066"/>
      <c r="J3" s="1066"/>
      <c r="K3" s="1066"/>
      <c r="L3" s="1066"/>
      <c r="M3" s="1066"/>
      <c r="N3" s="1066"/>
      <c r="O3" s="1066"/>
      <c r="P3" s="1200"/>
    </row>
    <row r="4" spans="1:16">
      <c r="A4" s="1067" t="s">
        <v>249</v>
      </c>
      <c r="B4" s="1068">
        <f>'SEAP template'!B72</f>
        <v>0</v>
      </c>
      <c r="C4" s="1068"/>
      <c r="D4" s="1068"/>
      <c r="E4" s="1068"/>
      <c r="F4" s="1068"/>
      <c r="G4" s="1068"/>
      <c r="H4" s="1068"/>
      <c r="I4" s="1068"/>
      <c r="J4" s="1068"/>
      <c r="K4" s="1068"/>
      <c r="L4" s="1068"/>
      <c r="M4" s="1068"/>
      <c r="N4" s="1068"/>
      <c r="O4" s="1068"/>
      <c r="P4" s="1069">
        <f>'SEAP template'!Q72</f>
        <v>0</v>
      </c>
    </row>
    <row r="5" spans="1:16">
      <c r="A5" s="1070" t="s">
        <v>250</v>
      </c>
      <c r="B5" s="1068">
        <f>'SEAP template'!B73</f>
        <v>0</v>
      </c>
      <c r="C5" s="1068"/>
      <c r="D5" s="1068"/>
      <c r="E5" s="1068"/>
      <c r="F5" s="1068"/>
      <c r="G5" s="1068"/>
      <c r="H5" s="1068"/>
      <c r="I5" s="1068"/>
      <c r="J5" s="1068"/>
      <c r="K5" s="1068"/>
      <c r="L5" s="1068"/>
      <c r="M5" s="1068"/>
      <c r="N5" s="1068"/>
      <c r="O5" s="1068"/>
      <c r="P5" s="1069">
        <f>'SEAP template'!Q73</f>
        <v>0</v>
      </c>
    </row>
    <row r="6" spans="1:16">
      <c r="A6" s="1070" t="s">
        <v>251</v>
      </c>
      <c r="B6" s="1068">
        <f>'SEAP template'!B74</f>
        <v>4518.756950753982</v>
      </c>
      <c r="C6" s="1068"/>
      <c r="D6" s="1068"/>
      <c r="E6" s="1068"/>
      <c r="F6" s="1068"/>
      <c r="G6" s="1068"/>
      <c r="H6" s="1068"/>
      <c r="I6" s="1068"/>
      <c r="J6" s="1068"/>
      <c r="K6" s="1068"/>
      <c r="L6" s="1068"/>
      <c r="M6" s="1068"/>
      <c r="N6" s="1068"/>
      <c r="O6" s="1068"/>
      <c r="P6" s="1069">
        <f>'SEAP template'!Q74</f>
        <v>0</v>
      </c>
    </row>
    <row r="7" spans="1:16">
      <c r="A7" s="1070" t="s">
        <v>867</v>
      </c>
      <c r="B7" s="1068">
        <f>'SEAP template'!B75</f>
        <v>0</v>
      </c>
      <c r="C7" s="1068"/>
      <c r="D7" s="1068"/>
      <c r="E7" s="1068"/>
      <c r="F7" s="1068"/>
      <c r="G7" s="1068"/>
      <c r="H7" s="1068"/>
      <c r="I7" s="1068"/>
      <c r="J7" s="1068"/>
      <c r="K7" s="1068"/>
      <c r="L7" s="1068"/>
      <c r="M7" s="1068"/>
      <c r="N7" s="1068"/>
      <c r="O7" s="1068"/>
      <c r="P7" s="1069">
        <f>'SEAP template'!Q75</f>
        <v>0</v>
      </c>
    </row>
    <row r="8" spans="1:16">
      <c r="A8" s="1067" t="s">
        <v>252</v>
      </c>
      <c r="B8" s="1068">
        <f>'SEAP template'!B76</f>
        <v>0</v>
      </c>
      <c r="C8" s="1068">
        <f>'SEAP template'!C76</f>
        <v>0</v>
      </c>
      <c r="D8" s="1068">
        <f>'SEAP template'!D76</f>
        <v>0</v>
      </c>
      <c r="E8" s="1068">
        <f>'SEAP template'!E76</f>
        <v>0</v>
      </c>
      <c r="F8" s="1068">
        <f>'SEAP template'!F76</f>
        <v>0</v>
      </c>
      <c r="G8" s="1068">
        <f>'SEAP template'!G76</f>
        <v>0</v>
      </c>
      <c r="H8" s="1068">
        <f>'SEAP template'!H76</f>
        <v>0</v>
      </c>
      <c r="I8" s="1068">
        <f>'SEAP template'!I76</f>
        <v>0</v>
      </c>
      <c r="J8" s="1068">
        <f>'SEAP template'!J76</f>
        <v>0</v>
      </c>
      <c r="K8" s="1068">
        <f>'SEAP template'!K76</f>
        <v>0</v>
      </c>
      <c r="L8" s="1068">
        <f>'SEAP template'!L76</f>
        <v>0</v>
      </c>
      <c r="M8" s="1068">
        <f>'SEAP template'!M76</f>
        <v>0</v>
      </c>
      <c r="N8" s="1068">
        <f>'SEAP template'!N76</f>
        <v>0</v>
      </c>
      <c r="O8" s="1068">
        <f>'SEAP template'!O76</f>
        <v>0</v>
      </c>
      <c r="P8" s="1069">
        <f>'SEAP template'!Q76</f>
        <v>0</v>
      </c>
    </row>
    <row r="9" spans="1:16">
      <c r="A9" s="1071" t="s">
        <v>880</v>
      </c>
      <c r="B9" s="1068">
        <f>'SEAP template'!B77</f>
        <v>0</v>
      </c>
      <c r="C9" s="1068">
        <f>'SEAP template'!C77</f>
        <v>0</v>
      </c>
      <c r="D9" s="1068">
        <f>'SEAP template'!D77</f>
        <v>0</v>
      </c>
      <c r="E9" s="1068">
        <f>'SEAP template'!E77</f>
        <v>0</v>
      </c>
      <c r="F9" s="1068">
        <f>'SEAP template'!F77</f>
        <v>0</v>
      </c>
      <c r="G9" s="1068">
        <f>'SEAP template'!G77</f>
        <v>0</v>
      </c>
      <c r="H9" s="1068">
        <f>'SEAP template'!H77</f>
        <v>0</v>
      </c>
      <c r="I9" s="1068">
        <f>'SEAP template'!I77</f>
        <v>0</v>
      </c>
      <c r="J9" s="1068">
        <f>'SEAP template'!J77</f>
        <v>0</v>
      </c>
      <c r="K9" s="1068">
        <f>'SEAP template'!K77</f>
        <v>0</v>
      </c>
      <c r="L9" s="1068">
        <f>'SEAP template'!L77</f>
        <v>0</v>
      </c>
      <c r="M9" s="1068">
        <f>'SEAP template'!M77</f>
        <v>0</v>
      </c>
      <c r="N9" s="1068">
        <f>'SEAP template'!N77</f>
        <v>0</v>
      </c>
      <c r="O9" s="1068">
        <f>'SEAP template'!O77</f>
        <v>0</v>
      </c>
      <c r="P9" s="1069">
        <f>'SEAP template'!Q77</f>
        <v>0</v>
      </c>
    </row>
    <row r="10" spans="1:16">
      <c r="A10" s="1070" t="s">
        <v>116</v>
      </c>
      <c r="B10" s="1072">
        <f>SUM(B4:B9)</f>
        <v>4518.756950753982</v>
      </c>
      <c r="C10" s="1072">
        <f>SUM(C4:C9)</f>
        <v>0</v>
      </c>
      <c r="D10" s="1072">
        <f t="shared" ref="D10:H10" si="0">SUM(D8:D9)</f>
        <v>0</v>
      </c>
      <c r="E10" s="1072">
        <f t="shared" si="0"/>
        <v>0</v>
      </c>
      <c r="F10" s="1072">
        <f t="shared" si="0"/>
        <v>0</v>
      </c>
      <c r="G10" s="1072">
        <f t="shared" si="0"/>
        <v>0</v>
      </c>
      <c r="H10" s="1072">
        <f t="shared" si="0"/>
        <v>0</v>
      </c>
      <c r="I10" s="1072">
        <f>SUM(I8:I9)</f>
        <v>0</v>
      </c>
      <c r="J10" s="1072">
        <f>SUM(J8:J9)</f>
        <v>0</v>
      </c>
      <c r="K10" s="1072">
        <f t="shared" ref="K10:L10" si="1">SUM(K8:K9)</f>
        <v>0</v>
      </c>
      <c r="L10" s="1072">
        <f t="shared" si="1"/>
        <v>0</v>
      </c>
      <c r="M10" s="1072">
        <f>SUM(M8:M9)</f>
        <v>0</v>
      </c>
      <c r="N10" s="1072">
        <f>SUM(N8:N9)</f>
        <v>0</v>
      </c>
      <c r="O10" s="1072">
        <f>SUM(O8:O9)</f>
        <v>0</v>
      </c>
      <c r="P10" s="1072">
        <f>SUM(P8:P9)</f>
        <v>0</v>
      </c>
    </row>
    <row r="11" spans="1:16">
      <c r="A11" s="897"/>
      <c r="B11" s="897"/>
      <c r="C11" s="897"/>
      <c r="D11" s="897"/>
      <c r="E11" s="897"/>
      <c r="F11" s="897"/>
      <c r="G11" s="897"/>
      <c r="H11" s="897"/>
      <c r="I11" s="897"/>
      <c r="J11" s="897"/>
      <c r="K11" s="897"/>
      <c r="L11" s="897"/>
      <c r="M11" s="897"/>
      <c r="N11" s="897"/>
      <c r="O11" s="897"/>
      <c r="P11" s="897"/>
    </row>
    <row r="12" spans="1:16">
      <c r="A12" s="488" t="s">
        <v>881</v>
      </c>
      <c r="B12" s="787" t="s">
        <v>882</v>
      </c>
      <c r="C12" s="787">
        <f ca="1">'EF ele_warmte'!B12</f>
        <v>0.20504171472650515</v>
      </c>
      <c r="D12" s="897"/>
      <c r="E12" s="897"/>
      <c r="F12" s="897"/>
      <c r="G12" s="897"/>
      <c r="H12" s="897"/>
      <c r="I12" s="897"/>
      <c r="J12" s="897"/>
      <c r="K12" s="897"/>
      <c r="L12" s="897"/>
      <c r="M12" s="897"/>
      <c r="N12" s="897"/>
      <c r="O12" s="897"/>
      <c r="P12" s="897"/>
    </row>
    <row r="13" spans="1:16">
      <c r="A13" s="897"/>
      <c r="B13" s="897"/>
      <c r="C13" s="897"/>
      <c r="D13" s="897"/>
      <c r="E13" s="897"/>
      <c r="F13" s="897"/>
      <c r="G13" s="897"/>
      <c r="H13" s="897"/>
      <c r="I13" s="897"/>
      <c r="J13" s="897"/>
      <c r="K13" s="897"/>
      <c r="L13" s="897"/>
      <c r="M13" s="897"/>
      <c r="N13" s="897"/>
      <c r="O13" s="897"/>
      <c r="P13" s="897"/>
    </row>
    <row r="14" spans="1:16" ht="15.75">
      <c r="A14" s="1199" t="s">
        <v>253</v>
      </c>
      <c r="B14" s="1200" t="s">
        <v>355</v>
      </c>
      <c r="C14" s="1200"/>
      <c r="D14" s="1201" t="s">
        <v>356</v>
      </c>
      <c r="E14" s="1201"/>
      <c r="F14" s="1201"/>
      <c r="G14" s="1201"/>
      <c r="H14" s="1201"/>
      <c r="I14" s="1201"/>
      <c r="J14" s="1201"/>
      <c r="K14" s="1201"/>
      <c r="L14" s="1201"/>
      <c r="M14" s="1201"/>
      <c r="N14" s="1201"/>
      <c r="O14" s="1201"/>
      <c r="P14" s="1200" t="s">
        <v>883</v>
      </c>
    </row>
    <row r="15" spans="1:16">
      <c r="A15" s="1199"/>
      <c r="B15" s="1200"/>
      <c r="C15" s="1200"/>
      <c r="D15" s="1202" t="s">
        <v>197</v>
      </c>
      <c r="E15" s="1202"/>
      <c r="F15" s="1202"/>
      <c r="G15" s="1202"/>
      <c r="H15" s="1202"/>
      <c r="I15" s="1200" t="s">
        <v>875</v>
      </c>
      <c r="J15" s="1200" t="s">
        <v>234</v>
      </c>
      <c r="K15" s="1200" t="s">
        <v>876</v>
      </c>
      <c r="L15" s="1200" t="s">
        <v>867</v>
      </c>
      <c r="M15" s="1200" t="s">
        <v>245</v>
      </c>
      <c r="N15" s="1200" t="s">
        <v>884</v>
      </c>
      <c r="O15" s="1200" t="s">
        <v>127</v>
      </c>
      <c r="P15" s="1200"/>
    </row>
    <row r="16" spans="1:16" ht="30">
      <c r="A16" s="1199"/>
      <c r="B16" s="1066" t="s">
        <v>885</v>
      </c>
      <c r="C16" s="1066" t="s">
        <v>886</v>
      </c>
      <c r="D16" s="1066" t="s">
        <v>199</v>
      </c>
      <c r="E16" s="1066" t="s">
        <v>200</v>
      </c>
      <c r="F16" s="1066" t="s">
        <v>201</v>
      </c>
      <c r="G16" s="1066" t="s">
        <v>203</v>
      </c>
      <c r="H16" s="1066" t="s">
        <v>204</v>
      </c>
      <c r="I16" s="1200"/>
      <c r="J16" s="1200"/>
      <c r="K16" s="1200"/>
      <c r="L16" s="1200"/>
      <c r="M16" s="1200"/>
      <c r="N16" s="1200"/>
      <c r="O16" s="1203"/>
      <c r="P16" s="1200"/>
    </row>
    <row r="17" spans="1:16">
      <c r="A17" s="1073" t="s">
        <v>252</v>
      </c>
      <c r="B17" s="1074">
        <f>'SEAP template'!B87</f>
        <v>0</v>
      </c>
      <c r="C17" s="1074">
        <f>'SEAP template'!C87</f>
        <v>0</v>
      </c>
      <c r="D17" s="1069">
        <f>'SEAP template'!D87</f>
        <v>0</v>
      </c>
      <c r="E17" s="1069">
        <f>'SEAP template'!E87</f>
        <v>0</v>
      </c>
      <c r="F17" s="1069">
        <f>'SEAP template'!F87</f>
        <v>0</v>
      </c>
      <c r="G17" s="1069">
        <f>'SEAP template'!G87</f>
        <v>0</v>
      </c>
      <c r="H17" s="1069">
        <f>'SEAP template'!H87</f>
        <v>0</v>
      </c>
      <c r="I17" s="1069">
        <f>'SEAP template'!I87</f>
        <v>0</v>
      </c>
      <c r="J17" s="1069">
        <f>'SEAP template'!J87</f>
        <v>0</v>
      </c>
      <c r="K17" s="1069">
        <f>'SEAP template'!K87</f>
        <v>0</v>
      </c>
      <c r="L17" s="1069">
        <f>'SEAP template'!L87</f>
        <v>0</v>
      </c>
      <c r="M17" s="1069">
        <f>'SEAP template'!M87</f>
        <v>0</v>
      </c>
      <c r="N17" s="1069">
        <f>'SEAP template'!N87</f>
        <v>0</v>
      </c>
      <c r="O17" s="1069">
        <f>'SEAP template'!O87</f>
        <v>0</v>
      </c>
      <c r="P17" s="1069">
        <f>'SEAP template'!Q87</f>
        <v>0</v>
      </c>
    </row>
    <row r="18" spans="1:16">
      <c r="A18" s="1075" t="s">
        <v>258</v>
      </c>
      <c r="B18" s="1074">
        <f>'SEAP template'!B88</f>
        <v>0</v>
      </c>
      <c r="C18" s="1074">
        <f>'SEAP template'!C88</f>
        <v>0</v>
      </c>
      <c r="D18" s="1069">
        <f>'SEAP template'!D88</f>
        <v>0</v>
      </c>
      <c r="E18" s="1069">
        <f>'SEAP template'!E88</f>
        <v>0</v>
      </c>
      <c r="F18" s="1069">
        <f>'SEAP template'!F88</f>
        <v>0</v>
      </c>
      <c r="G18" s="1069">
        <f>'SEAP template'!G88</f>
        <v>0</v>
      </c>
      <c r="H18" s="1069">
        <f>'SEAP template'!H88</f>
        <v>0</v>
      </c>
      <c r="I18" s="1069">
        <f>'SEAP template'!I88</f>
        <v>0</v>
      </c>
      <c r="J18" s="1069">
        <f>'SEAP template'!J88</f>
        <v>0</v>
      </c>
      <c r="K18" s="1069">
        <f>'SEAP template'!K88</f>
        <v>0</v>
      </c>
      <c r="L18" s="1069">
        <f>'SEAP template'!L88</f>
        <v>0</v>
      </c>
      <c r="M18" s="1069">
        <f>'SEAP template'!M88</f>
        <v>0</v>
      </c>
      <c r="N18" s="1069">
        <f>'SEAP template'!N88</f>
        <v>0</v>
      </c>
      <c r="O18" s="1069">
        <f>'SEAP template'!O88</f>
        <v>0</v>
      </c>
      <c r="P18" s="1069">
        <f>'SEAP template'!Q88</f>
        <v>0</v>
      </c>
    </row>
    <row r="19" spans="1:16">
      <c r="A19" s="1071" t="s">
        <v>887</v>
      </c>
      <c r="B19" s="1074">
        <f>'SEAP template'!B89</f>
        <v>0</v>
      </c>
      <c r="C19" s="1074">
        <f>'SEAP template'!C89</f>
        <v>0</v>
      </c>
      <c r="D19" s="1069">
        <f>'SEAP template'!D89</f>
        <v>0</v>
      </c>
      <c r="E19" s="1069">
        <f>'SEAP template'!E89</f>
        <v>0</v>
      </c>
      <c r="F19" s="1069">
        <f>'SEAP template'!F89</f>
        <v>0</v>
      </c>
      <c r="G19" s="1069">
        <f>'SEAP template'!G89</f>
        <v>0</v>
      </c>
      <c r="H19" s="1069">
        <f>'SEAP template'!H89</f>
        <v>0</v>
      </c>
      <c r="I19" s="1069">
        <f>'SEAP template'!I89</f>
        <v>0</v>
      </c>
      <c r="J19" s="1069">
        <f>'SEAP template'!J89</f>
        <v>0</v>
      </c>
      <c r="K19" s="1069">
        <f>'SEAP template'!K89</f>
        <v>0</v>
      </c>
      <c r="L19" s="1069">
        <f>'SEAP template'!L89</f>
        <v>0</v>
      </c>
      <c r="M19" s="1069">
        <f>'SEAP template'!M89</f>
        <v>0</v>
      </c>
      <c r="N19" s="1069">
        <f>'SEAP template'!N89</f>
        <v>0</v>
      </c>
      <c r="O19" s="1069">
        <f>'SEAP template'!O89</f>
        <v>0</v>
      </c>
      <c r="P19" s="1069">
        <f>'SEAP template'!Q89</f>
        <v>0</v>
      </c>
    </row>
    <row r="20" spans="1:16">
      <c r="A20" s="1076" t="s">
        <v>116</v>
      </c>
      <c r="B20" s="1072">
        <f>SUM(B17:B19)</f>
        <v>0</v>
      </c>
      <c r="C20" s="1072">
        <f>SUM(C17:C19)</f>
        <v>0</v>
      </c>
      <c r="D20" s="1072">
        <f t="shared" ref="D20:H20" si="2">SUM(D17:D19)</f>
        <v>0</v>
      </c>
      <c r="E20" s="1072">
        <f t="shared" si="2"/>
        <v>0</v>
      </c>
      <c r="F20" s="1072">
        <f t="shared" si="2"/>
        <v>0</v>
      </c>
      <c r="G20" s="1072">
        <f t="shared" si="2"/>
        <v>0</v>
      </c>
      <c r="H20" s="1072">
        <f t="shared" si="2"/>
        <v>0</v>
      </c>
      <c r="I20" s="1072">
        <f>SUM(I17:I19)</f>
        <v>0</v>
      </c>
      <c r="J20" s="1072">
        <f>SUM(J17:J19)</f>
        <v>0</v>
      </c>
      <c r="K20" s="1072">
        <f t="shared" ref="K20:L20" si="3">SUM(K17:K19)</f>
        <v>0</v>
      </c>
      <c r="L20" s="1072">
        <f t="shared" si="3"/>
        <v>0</v>
      </c>
      <c r="M20" s="1072">
        <f>SUM(M17:M19)</f>
        <v>0</v>
      </c>
      <c r="N20" s="1072">
        <f>SUM(N17:N19)</f>
        <v>0</v>
      </c>
      <c r="O20" s="1072">
        <f>SUM(O17:O19)</f>
        <v>0</v>
      </c>
      <c r="P20" s="1072">
        <f>SUM(P17:P19)</f>
        <v>0</v>
      </c>
    </row>
    <row r="22" spans="1:16">
      <c r="A22" s="488" t="s">
        <v>888</v>
      </c>
      <c r="B22" s="787" t="s">
        <v>882</v>
      </c>
      <c r="C22" s="787">
        <f ca="1">'EF ele_warmte'!B22</f>
        <v>0</v>
      </c>
    </row>
  </sheetData>
  <mergeCells count="17">
    <mergeCell ref="A1:A3"/>
    <mergeCell ref="B1:C2"/>
    <mergeCell ref="D1:O1"/>
    <mergeCell ref="P1:P3"/>
    <mergeCell ref="D2:H2"/>
    <mergeCell ref="A14:A16"/>
    <mergeCell ref="B14:C15"/>
    <mergeCell ref="D14:O14"/>
    <mergeCell ref="P14:P16"/>
    <mergeCell ref="D15:H15"/>
    <mergeCell ref="O15:O16"/>
    <mergeCell ref="I15:I16"/>
    <mergeCell ref="J15:J16"/>
    <mergeCell ref="K15:K16"/>
    <mergeCell ref="L15:L16"/>
    <mergeCell ref="M15:M16"/>
    <mergeCell ref="N15:N16"/>
  </mergeCells>
  <pageMargins left="0.7" right="0.7" top="0.75" bottom="0.75" header="0.3" footer="0.3"/>
</worksheet>
</file>

<file path=xl/worksheets/sheet7.xml><?xml version="1.0" encoding="utf-8"?>
<worksheet xmlns="http://schemas.openxmlformats.org/spreadsheetml/2006/main" xmlns:r="http://schemas.openxmlformats.org/officeDocument/2006/relationships">
  <sheetPr>
    <tabColor theme="6"/>
  </sheetPr>
  <dimension ref="A1:P22"/>
  <sheetViews>
    <sheetView workbookViewId="0">
      <selection activeCell="A5" sqref="A5"/>
    </sheetView>
  </sheetViews>
  <sheetFormatPr defaultColWidth="9.140625" defaultRowHeight="15"/>
  <cols>
    <col min="1" max="1" width="49.5703125" style="889" customWidth="1"/>
    <col min="2" max="2" width="23.5703125" style="889" customWidth="1"/>
    <col min="3" max="3" width="25.28515625" style="889" customWidth="1"/>
    <col min="4" max="10" width="18.42578125" style="889" bestFit="1" customWidth="1"/>
    <col min="11" max="11" width="24.28515625" style="889" bestFit="1" customWidth="1"/>
    <col min="12" max="12" width="22.42578125" style="889" bestFit="1" customWidth="1"/>
    <col min="13" max="13" width="18.42578125" style="889" bestFit="1" customWidth="1"/>
    <col min="14" max="14" width="28.42578125" style="889" bestFit="1" customWidth="1"/>
    <col min="15" max="15" width="18.42578125" style="889" bestFit="1" customWidth="1"/>
    <col min="16" max="16" width="16.7109375" style="889" customWidth="1"/>
    <col min="17" max="16384" width="9.140625" style="889"/>
  </cols>
  <sheetData>
    <row r="1" spans="1:16" ht="15.75">
      <c r="A1" s="1199" t="s">
        <v>241</v>
      </c>
      <c r="B1" s="1200" t="s">
        <v>351</v>
      </c>
      <c r="C1" s="1200"/>
      <c r="D1" s="1201" t="s">
        <v>352</v>
      </c>
      <c r="E1" s="1201"/>
      <c r="F1" s="1201"/>
      <c r="G1" s="1201"/>
      <c r="H1" s="1201"/>
      <c r="I1" s="1201"/>
      <c r="J1" s="1201"/>
      <c r="K1" s="1201"/>
      <c r="L1" s="1201"/>
      <c r="M1" s="1201"/>
      <c r="N1" s="1201"/>
      <c r="O1" s="1201"/>
      <c r="P1" s="1200" t="s">
        <v>874</v>
      </c>
    </row>
    <row r="2" spans="1:16" ht="15.75">
      <c r="A2" s="1199"/>
      <c r="B2" s="1200"/>
      <c r="C2" s="1200"/>
      <c r="D2" s="1201" t="s">
        <v>197</v>
      </c>
      <c r="E2" s="1201"/>
      <c r="F2" s="1201"/>
      <c r="G2" s="1201"/>
      <c r="H2" s="1201"/>
      <c r="I2" s="1066" t="s">
        <v>875</v>
      </c>
      <c r="J2" s="1066" t="s">
        <v>234</v>
      </c>
      <c r="K2" s="1066" t="s">
        <v>876</v>
      </c>
      <c r="L2" s="1066" t="s">
        <v>867</v>
      </c>
      <c r="M2" s="1066" t="s">
        <v>245</v>
      </c>
      <c r="N2" s="1066" t="s">
        <v>877</v>
      </c>
      <c r="O2" s="1066" t="s">
        <v>127</v>
      </c>
      <c r="P2" s="1200"/>
    </row>
    <row r="3" spans="1:16" ht="30">
      <c r="A3" s="1199"/>
      <c r="B3" s="1066" t="s">
        <v>878</v>
      </c>
      <c r="C3" s="1066" t="s">
        <v>879</v>
      </c>
      <c r="D3" s="1066" t="s">
        <v>199</v>
      </c>
      <c r="E3" s="1066" t="s">
        <v>200</v>
      </c>
      <c r="F3" s="1066" t="s">
        <v>201</v>
      </c>
      <c r="G3" s="1066" t="s">
        <v>203</v>
      </c>
      <c r="H3" s="1066" t="s">
        <v>204</v>
      </c>
      <c r="I3" s="1066"/>
      <c r="J3" s="1066"/>
      <c r="K3" s="1066"/>
      <c r="L3" s="1066"/>
      <c r="M3" s="1066"/>
      <c r="N3" s="1066"/>
      <c r="O3" s="1066"/>
      <c r="P3" s="1200"/>
    </row>
    <row r="4" spans="1:16" ht="135">
      <c r="A4" s="1077" t="s">
        <v>249</v>
      </c>
      <c r="B4" s="1078" t="s">
        <v>889</v>
      </c>
      <c r="C4" s="1079" t="s">
        <v>833</v>
      </c>
      <c r="D4" s="1079" t="s">
        <v>833</v>
      </c>
      <c r="E4" s="1079" t="s">
        <v>833</v>
      </c>
      <c r="F4" s="1079" t="s">
        <v>833</v>
      </c>
      <c r="G4" s="1079" t="s">
        <v>833</v>
      </c>
      <c r="H4" s="1079" t="s">
        <v>833</v>
      </c>
      <c r="I4" s="1079" t="s">
        <v>833</v>
      </c>
      <c r="J4" s="1079" t="s">
        <v>833</v>
      </c>
      <c r="K4" s="1079" t="s">
        <v>833</v>
      </c>
      <c r="L4" s="1079" t="s">
        <v>833</v>
      </c>
      <c r="M4" s="1079" t="s">
        <v>833</v>
      </c>
      <c r="N4" s="1079" t="s">
        <v>833</v>
      </c>
      <c r="O4" s="1079" t="s">
        <v>833</v>
      </c>
      <c r="P4" s="1080" t="s">
        <v>890</v>
      </c>
    </row>
    <row r="5" spans="1:16" ht="135">
      <c r="A5" s="1081" t="s">
        <v>250</v>
      </c>
      <c r="B5" s="1078" t="s">
        <v>889</v>
      </c>
      <c r="C5" s="1079" t="s">
        <v>833</v>
      </c>
      <c r="D5" s="1079" t="s">
        <v>833</v>
      </c>
      <c r="E5" s="1079" t="s">
        <v>833</v>
      </c>
      <c r="F5" s="1079" t="s">
        <v>833</v>
      </c>
      <c r="G5" s="1079" t="s">
        <v>833</v>
      </c>
      <c r="H5" s="1079" t="s">
        <v>833</v>
      </c>
      <c r="I5" s="1079" t="s">
        <v>833</v>
      </c>
      <c r="J5" s="1079" t="s">
        <v>833</v>
      </c>
      <c r="K5" s="1079" t="s">
        <v>833</v>
      </c>
      <c r="L5" s="1079" t="s">
        <v>833</v>
      </c>
      <c r="M5" s="1079" t="s">
        <v>833</v>
      </c>
      <c r="N5" s="1079" t="s">
        <v>833</v>
      </c>
      <c r="O5" s="1079" t="s">
        <v>833</v>
      </c>
      <c r="P5" s="1080" t="s">
        <v>890</v>
      </c>
    </row>
    <row r="6" spans="1:16" ht="135">
      <c r="A6" s="1081" t="s">
        <v>251</v>
      </c>
      <c r="B6" s="1078" t="s">
        <v>889</v>
      </c>
      <c r="C6" s="1079" t="s">
        <v>833</v>
      </c>
      <c r="D6" s="1079" t="s">
        <v>833</v>
      </c>
      <c r="E6" s="1079" t="s">
        <v>833</v>
      </c>
      <c r="F6" s="1079" t="s">
        <v>833</v>
      </c>
      <c r="G6" s="1079" t="s">
        <v>833</v>
      </c>
      <c r="H6" s="1079" t="s">
        <v>833</v>
      </c>
      <c r="I6" s="1079" t="s">
        <v>833</v>
      </c>
      <c r="J6" s="1079" t="s">
        <v>833</v>
      </c>
      <c r="K6" s="1079" t="s">
        <v>833</v>
      </c>
      <c r="L6" s="1079" t="s">
        <v>833</v>
      </c>
      <c r="M6" s="1079" t="s">
        <v>833</v>
      </c>
      <c r="N6" s="1079" t="s">
        <v>833</v>
      </c>
      <c r="O6" s="1079" t="s">
        <v>833</v>
      </c>
      <c r="P6" s="1080" t="s">
        <v>890</v>
      </c>
    </row>
    <row r="7" spans="1:16" ht="135">
      <c r="A7" s="1081" t="s">
        <v>867</v>
      </c>
      <c r="B7" s="1079" t="s">
        <v>833</v>
      </c>
      <c r="C7" s="1079" t="s">
        <v>833</v>
      </c>
      <c r="D7" s="1079" t="s">
        <v>833</v>
      </c>
      <c r="E7" s="1079" t="s">
        <v>833</v>
      </c>
      <c r="F7" s="1079" t="s">
        <v>833</v>
      </c>
      <c r="G7" s="1079" t="s">
        <v>833</v>
      </c>
      <c r="H7" s="1079" t="s">
        <v>833</v>
      </c>
      <c r="I7" s="1079" t="s">
        <v>833</v>
      </c>
      <c r="J7" s="1079" t="s">
        <v>833</v>
      </c>
      <c r="K7" s="1079" t="s">
        <v>833</v>
      </c>
      <c r="L7" s="1079" t="s">
        <v>833</v>
      </c>
      <c r="M7" s="1079" t="s">
        <v>833</v>
      </c>
      <c r="N7" s="1079" t="s">
        <v>833</v>
      </c>
      <c r="O7" s="1079" t="s">
        <v>833</v>
      </c>
      <c r="P7" s="1080" t="s">
        <v>890</v>
      </c>
    </row>
    <row r="8" spans="1:16" ht="210">
      <c r="A8" s="1077" t="s">
        <v>252</v>
      </c>
      <c r="B8" s="1078" t="s">
        <v>891</v>
      </c>
      <c r="C8" s="1078" t="s">
        <v>891</v>
      </c>
      <c r="D8" s="1078" t="s">
        <v>891</v>
      </c>
      <c r="E8" s="1078" t="s">
        <v>891</v>
      </c>
      <c r="F8" s="1078" t="s">
        <v>891</v>
      </c>
      <c r="G8" s="1078" t="s">
        <v>891</v>
      </c>
      <c r="H8" s="1078" t="s">
        <v>891</v>
      </c>
      <c r="I8" s="1078" t="s">
        <v>891</v>
      </c>
      <c r="J8" s="1078" t="s">
        <v>891</v>
      </c>
      <c r="K8" s="1079" t="s">
        <v>833</v>
      </c>
      <c r="L8" s="1079" t="s">
        <v>833</v>
      </c>
      <c r="M8" s="1079" t="s">
        <v>833</v>
      </c>
      <c r="N8" s="1078" t="s">
        <v>892</v>
      </c>
      <c r="O8" s="1078" t="s">
        <v>892</v>
      </c>
      <c r="P8" s="1082"/>
    </row>
    <row r="9" spans="1:16" ht="210">
      <c r="A9" s="1083" t="s">
        <v>880</v>
      </c>
      <c r="B9" s="1078" t="s">
        <v>892</v>
      </c>
      <c r="C9" s="1078" t="s">
        <v>892</v>
      </c>
      <c r="D9" s="1078" t="s">
        <v>892</v>
      </c>
      <c r="E9" s="1078" t="s">
        <v>892</v>
      </c>
      <c r="F9" s="1078" t="s">
        <v>892</v>
      </c>
      <c r="G9" s="1078" t="s">
        <v>892</v>
      </c>
      <c r="H9" s="1078" t="s">
        <v>892</v>
      </c>
      <c r="I9" s="1078" t="s">
        <v>892</v>
      </c>
      <c r="J9" s="1078" t="s">
        <v>892</v>
      </c>
      <c r="K9" s="1079" t="s">
        <v>833</v>
      </c>
      <c r="L9" s="1078" t="s">
        <v>892</v>
      </c>
      <c r="M9" s="1078" t="s">
        <v>892</v>
      </c>
      <c r="N9" s="1078" t="s">
        <v>892</v>
      </c>
      <c r="O9" s="1078" t="s">
        <v>892</v>
      </c>
      <c r="P9" s="1082"/>
    </row>
    <row r="10" spans="1:16">
      <c r="A10" s="1081" t="s">
        <v>116</v>
      </c>
      <c r="B10" s="1084"/>
      <c r="C10" s="1084"/>
      <c r="D10" s="1084"/>
      <c r="E10" s="1084"/>
      <c r="F10" s="1084"/>
      <c r="G10" s="1084"/>
      <c r="H10" s="1084"/>
      <c r="I10" s="1084"/>
      <c r="J10" s="1084"/>
      <c r="K10" s="1084"/>
      <c r="L10" s="1084"/>
      <c r="M10" s="1084"/>
      <c r="N10" s="1084"/>
      <c r="O10" s="1084"/>
      <c r="P10" s="1084"/>
    </row>
    <row r="11" spans="1:16">
      <c r="A11" s="897"/>
      <c r="B11" s="897"/>
      <c r="C11" s="897"/>
      <c r="D11" s="897"/>
      <c r="E11" s="897"/>
      <c r="F11" s="897"/>
      <c r="G11" s="897"/>
      <c r="H11" s="897"/>
      <c r="I11" s="897"/>
      <c r="J11" s="897"/>
      <c r="K11" s="897"/>
      <c r="L11" s="897"/>
      <c r="M11" s="897"/>
      <c r="N11" s="897"/>
      <c r="O11" s="897"/>
      <c r="P11" s="897"/>
    </row>
    <row r="12" spans="1:16" ht="150">
      <c r="A12" s="488" t="s">
        <v>881</v>
      </c>
      <c r="B12" s="787" t="s">
        <v>882</v>
      </c>
      <c r="C12" s="1085" t="s">
        <v>893</v>
      </c>
      <c r="D12" s="897"/>
      <c r="E12" s="897"/>
      <c r="F12" s="897"/>
      <c r="G12" s="897"/>
      <c r="H12" s="897"/>
      <c r="I12" s="897"/>
      <c r="J12" s="897"/>
      <c r="K12" s="897"/>
      <c r="L12" s="897"/>
      <c r="M12" s="897"/>
      <c r="N12" s="897"/>
      <c r="O12" s="897"/>
      <c r="P12" s="897"/>
    </row>
    <row r="13" spans="1:16">
      <c r="A13" s="897"/>
      <c r="B13" s="897"/>
      <c r="C13" s="897"/>
      <c r="D13" s="897"/>
      <c r="E13" s="897"/>
      <c r="F13" s="897"/>
      <c r="G13" s="897"/>
      <c r="H13" s="897"/>
      <c r="I13" s="897"/>
      <c r="J13" s="897"/>
      <c r="K13" s="897"/>
      <c r="L13" s="897"/>
      <c r="M13" s="897"/>
      <c r="N13" s="897"/>
      <c r="O13" s="897"/>
      <c r="P13" s="897"/>
    </row>
    <row r="14" spans="1:16" ht="15.75">
      <c r="A14" s="1199" t="s">
        <v>253</v>
      </c>
      <c r="B14" s="1200" t="s">
        <v>355</v>
      </c>
      <c r="C14" s="1200"/>
      <c r="D14" s="1201" t="s">
        <v>356</v>
      </c>
      <c r="E14" s="1201"/>
      <c r="F14" s="1201"/>
      <c r="G14" s="1201"/>
      <c r="H14" s="1201"/>
      <c r="I14" s="1201"/>
      <c r="J14" s="1201"/>
      <c r="K14" s="1201"/>
      <c r="L14" s="1201"/>
      <c r="M14" s="1201"/>
      <c r="N14" s="1201"/>
      <c r="O14" s="1201"/>
      <c r="P14" s="1200" t="s">
        <v>883</v>
      </c>
    </row>
    <row r="15" spans="1:16">
      <c r="A15" s="1199"/>
      <c r="B15" s="1200"/>
      <c r="C15" s="1200"/>
      <c r="D15" s="1202" t="s">
        <v>197</v>
      </c>
      <c r="E15" s="1202"/>
      <c r="F15" s="1202"/>
      <c r="G15" s="1202"/>
      <c r="H15" s="1202"/>
      <c r="I15" s="1200" t="s">
        <v>875</v>
      </c>
      <c r="J15" s="1200" t="s">
        <v>234</v>
      </c>
      <c r="K15" s="1200" t="s">
        <v>876</v>
      </c>
      <c r="L15" s="1200" t="s">
        <v>867</v>
      </c>
      <c r="M15" s="1200" t="s">
        <v>245</v>
      </c>
      <c r="N15" s="1200" t="s">
        <v>884</v>
      </c>
      <c r="O15" s="1200" t="s">
        <v>127</v>
      </c>
      <c r="P15" s="1200"/>
    </row>
    <row r="16" spans="1:16" ht="30">
      <c r="A16" s="1199"/>
      <c r="B16" s="1066" t="s">
        <v>885</v>
      </c>
      <c r="C16" s="1066" t="s">
        <v>886</v>
      </c>
      <c r="D16" s="1066" t="s">
        <v>199</v>
      </c>
      <c r="E16" s="1066" t="s">
        <v>200</v>
      </c>
      <c r="F16" s="1066" t="s">
        <v>201</v>
      </c>
      <c r="G16" s="1066" t="s">
        <v>203</v>
      </c>
      <c r="H16" s="1066" t="s">
        <v>204</v>
      </c>
      <c r="I16" s="1200"/>
      <c r="J16" s="1200"/>
      <c r="K16" s="1200"/>
      <c r="L16" s="1200"/>
      <c r="M16" s="1200"/>
      <c r="N16" s="1200"/>
      <c r="O16" s="1203"/>
      <c r="P16" s="1200"/>
    </row>
    <row r="17" spans="1:16" ht="210">
      <c r="A17" s="1073" t="s">
        <v>252</v>
      </c>
      <c r="B17" s="1078" t="s">
        <v>892</v>
      </c>
      <c r="C17" s="1078" t="s">
        <v>892</v>
      </c>
      <c r="D17" s="1078" t="s">
        <v>892</v>
      </c>
      <c r="E17" s="1078" t="s">
        <v>892</v>
      </c>
      <c r="F17" s="1078" t="s">
        <v>892</v>
      </c>
      <c r="G17" s="1078" t="s">
        <v>892</v>
      </c>
      <c r="H17" s="1078" t="s">
        <v>892</v>
      </c>
      <c r="I17" s="1078" t="s">
        <v>892</v>
      </c>
      <c r="J17" s="1078" t="s">
        <v>892</v>
      </c>
      <c r="K17" s="1079" t="s">
        <v>833</v>
      </c>
      <c r="L17" s="1079" t="s">
        <v>833</v>
      </c>
      <c r="M17" s="1079" t="s">
        <v>833</v>
      </c>
      <c r="N17" s="1078" t="s">
        <v>892</v>
      </c>
      <c r="O17" s="1078" t="s">
        <v>892</v>
      </c>
      <c r="P17" s="1086"/>
    </row>
    <row r="18" spans="1:16" ht="45">
      <c r="A18" s="1075" t="s">
        <v>258</v>
      </c>
      <c r="B18" s="1080" t="s">
        <v>856</v>
      </c>
      <c r="C18" s="1080" t="s">
        <v>856</v>
      </c>
      <c r="D18" s="1080" t="s">
        <v>856</v>
      </c>
      <c r="E18" s="1080" t="s">
        <v>856</v>
      </c>
      <c r="F18" s="1080" t="s">
        <v>856</v>
      </c>
      <c r="G18" s="1080" t="s">
        <v>856</v>
      </c>
      <c r="H18" s="1080" t="s">
        <v>856</v>
      </c>
      <c r="I18" s="1080" t="s">
        <v>856</v>
      </c>
      <c r="J18" s="1080" t="s">
        <v>856</v>
      </c>
      <c r="K18" s="1080" t="s">
        <v>856</v>
      </c>
      <c r="L18" s="1080" t="s">
        <v>856</v>
      </c>
      <c r="M18" s="1080" t="s">
        <v>856</v>
      </c>
      <c r="N18" s="1080" t="s">
        <v>856</v>
      </c>
      <c r="O18" s="1080" t="s">
        <v>856</v>
      </c>
      <c r="P18" s="1080" t="s">
        <v>856</v>
      </c>
    </row>
    <row r="19" spans="1:16" ht="45">
      <c r="A19" s="1071" t="s">
        <v>887</v>
      </c>
      <c r="B19" s="1080" t="s">
        <v>856</v>
      </c>
      <c r="C19" s="1080" t="s">
        <v>856</v>
      </c>
      <c r="D19" s="1080" t="s">
        <v>856</v>
      </c>
      <c r="E19" s="1080" t="s">
        <v>856</v>
      </c>
      <c r="F19" s="1080" t="s">
        <v>856</v>
      </c>
      <c r="G19" s="1080" t="s">
        <v>856</v>
      </c>
      <c r="H19" s="1080" t="s">
        <v>856</v>
      </c>
      <c r="I19" s="1080" t="s">
        <v>856</v>
      </c>
      <c r="J19" s="1080" t="s">
        <v>856</v>
      </c>
      <c r="K19" s="1080" t="s">
        <v>856</v>
      </c>
      <c r="L19" s="1080" t="s">
        <v>856</v>
      </c>
      <c r="M19" s="1080" t="s">
        <v>856</v>
      </c>
      <c r="N19" s="1080" t="s">
        <v>856</v>
      </c>
      <c r="O19" s="1080" t="s">
        <v>856</v>
      </c>
      <c r="P19" s="1080" t="s">
        <v>856</v>
      </c>
    </row>
    <row r="20" spans="1:16">
      <c r="A20" s="1076" t="s">
        <v>116</v>
      </c>
      <c r="B20" s="1072"/>
      <c r="C20" s="1072"/>
      <c r="D20" s="1072"/>
      <c r="E20" s="1072"/>
      <c r="F20" s="1072"/>
      <c r="G20" s="1072"/>
      <c r="H20" s="1072"/>
      <c r="I20" s="1072"/>
      <c r="J20" s="1072"/>
      <c r="K20" s="1072"/>
      <c r="L20" s="1072"/>
      <c r="M20" s="1072"/>
      <c r="N20" s="1072"/>
      <c r="O20" s="1072"/>
      <c r="P20" s="1072"/>
    </row>
    <row r="22" spans="1:16" ht="90">
      <c r="A22" s="488" t="s">
        <v>888</v>
      </c>
      <c r="B22" s="787" t="s">
        <v>882</v>
      </c>
      <c r="C22" s="1085" t="s">
        <v>894</v>
      </c>
    </row>
  </sheetData>
  <mergeCells count="17">
    <mergeCell ref="A1:A3"/>
    <mergeCell ref="B1:C2"/>
    <mergeCell ref="D1:O1"/>
    <mergeCell ref="P1:P3"/>
    <mergeCell ref="D2:H2"/>
    <mergeCell ref="A14:A16"/>
    <mergeCell ref="B14:C15"/>
    <mergeCell ref="D14:O14"/>
    <mergeCell ref="P14:P16"/>
    <mergeCell ref="D15:H15"/>
    <mergeCell ref="O15:O16"/>
    <mergeCell ref="I15:I16"/>
    <mergeCell ref="J15:J16"/>
    <mergeCell ref="K15:K16"/>
    <mergeCell ref="L15:L16"/>
    <mergeCell ref="M15:M16"/>
    <mergeCell ref="N15:N16"/>
  </mergeCells>
  <pageMargins left="0.7" right="0.7" top="0.75" bottom="0.75" header="0.3" footer="0.3"/>
</worksheet>
</file>

<file path=xl/worksheets/sheet8.xml><?xml version="1.0" encoding="utf-8"?>
<worksheet xmlns="http://schemas.openxmlformats.org/spreadsheetml/2006/main" xmlns:r="http://schemas.openxmlformats.org/officeDocument/2006/relationships">
  <sheetPr codeName="Sheet20">
    <tabColor theme="8"/>
  </sheetPr>
  <dimension ref="A1:C16"/>
  <sheetViews>
    <sheetView showGridLines="0" workbookViewId="0">
      <selection activeCell="C14" sqref="C14"/>
    </sheetView>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383</v>
      </c>
      <c r="B2" s="110"/>
      <c r="C2" s="111"/>
    </row>
    <row r="3" spans="1:3" s="15" customFormat="1" ht="15.75">
      <c r="A3" s="98"/>
      <c r="B3" s="70"/>
      <c r="C3" s="99"/>
    </row>
    <row r="4" spans="1:3">
      <c r="A4" s="95" t="s">
        <v>363</v>
      </c>
      <c r="B4" s="69" t="s">
        <v>375</v>
      </c>
      <c r="C4" s="100" t="s">
        <v>374</v>
      </c>
    </row>
    <row r="5" spans="1:3">
      <c r="A5" s="112"/>
      <c r="B5" s="43"/>
      <c r="C5" s="96"/>
    </row>
    <row r="6" spans="1:3" ht="30">
      <c r="A6" s="113" t="s">
        <v>588</v>
      </c>
      <c r="B6" s="75" t="s">
        <v>589</v>
      </c>
      <c r="C6" s="461" t="s">
        <v>572</v>
      </c>
    </row>
    <row r="7" spans="1:3">
      <c r="A7" s="125"/>
      <c r="B7" s="129"/>
      <c r="C7" s="122"/>
    </row>
    <row r="8" spans="1:3">
      <c r="A8" s="113" t="s">
        <v>591</v>
      </c>
      <c r="B8" s="75" t="s">
        <v>590</v>
      </c>
      <c r="C8" s="461" t="s">
        <v>387</v>
      </c>
    </row>
    <row r="9" spans="1:3">
      <c r="A9" s="125"/>
      <c r="B9" s="129"/>
      <c r="C9" s="122"/>
    </row>
    <row r="10" spans="1:3">
      <c r="A10" s="113" t="s">
        <v>328</v>
      </c>
      <c r="B10" s="75" t="s">
        <v>385</v>
      </c>
      <c r="C10" s="114" t="s">
        <v>387</v>
      </c>
    </row>
    <row r="11" spans="1:3">
      <c r="A11" s="125"/>
      <c r="B11" s="129"/>
      <c r="C11" s="122"/>
    </row>
    <row r="12" spans="1:3" ht="30">
      <c r="A12" s="113" t="s">
        <v>413</v>
      </c>
      <c r="B12" s="75" t="s">
        <v>531</v>
      </c>
      <c r="C12" s="314" t="s">
        <v>625</v>
      </c>
    </row>
    <row r="13" spans="1:3">
      <c r="A13" s="140"/>
      <c r="B13" s="124"/>
      <c r="C13" s="302"/>
    </row>
    <row r="14" spans="1:3" s="11" customFormat="1">
      <c r="A14" s="113" t="s">
        <v>608</v>
      </c>
      <c r="B14" s="130" t="s">
        <v>609</v>
      </c>
      <c r="C14" s="131" t="s">
        <v>610</v>
      </c>
    </row>
    <row r="15" spans="1:3" s="11" customFormat="1">
      <c r="A15" s="140"/>
      <c r="B15" s="158"/>
      <c r="C15" s="159"/>
    </row>
    <row r="16" spans="1:3" ht="21">
      <c r="A16" s="126" t="s">
        <v>476</v>
      </c>
      <c r="B16" s="125"/>
      <c r="C16" s="122"/>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sheetPr codeName="Sheet1">
    <tabColor theme="8"/>
  </sheetPr>
  <dimension ref="A1:P35"/>
  <sheetViews>
    <sheetView showGridLines="0" zoomScale="71" zoomScaleNormal="71" workbookViewId="0">
      <selection activeCell="F40" sqref="F40"/>
    </sheetView>
  </sheetViews>
  <sheetFormatPr defaultColWidth="9.140625" defaultRowHeight="15" outlineLevelRow="1"/>
  <cols>
    <col min="1" max="1" width="51.7109375" style="476" customWidth="1"/>
    <col min="2" max="2" width="15" style="476" customWidth="1"/>
    <col min="3" max="3" width="25.140625" style="476" customWidth="1"/>
    <col min="4" max="4" width="15" style="476" customWidth="1"/>
    <col min="5" max="5" width="40.5703125" style="476" customWidth="1"/>
    <col min="6" max="6" width="14.85546875" style="476" customWidth="1"/>
    <col min="7" max="7" width="8.5703125" style="476" bestFit="1" customWidth="1"/>
    <col min="8" max="8" width="10.85546875" style="476" bestFit="1" customWidth="1"/>
    <col min="9" max="9" width="15.7109375" style="476" customWidth="1"/>
    <col min="10" max="10" width="15.42578125" style="476" customWidth="1"/>
    <col min="11" max="11" width="17.42578125" style="476" customWidth="1"/>
    <col min="12" max="12" width="14.5703125" style="476" customWidth="1"/>
    <col min="13" max="13" width="15.5703125" style="476" customWidth="1"/>
    <col min="14" max="14" width="17.85546875" style="476" customWidth="1"/>
    <col min="15" max="15" width="35.7109375" style="476" customWidth="1"/>
    <col min="16" max="16" width="43.5703125" style="476" customWidth="1"/>
    <col min="17" max="17" width="9.140625" style="476"/>
    <col min="18" max="18" width="20.42578125" style="476" customWidth="1"/>
    <col min="19" max="16384" width="9.140625" style="476"/>
  </cols>
  <sheetData>
    <row r="1" spans="1:16" ht="15.75" customHeight="1" outlineLevel="1" thickTop="1" thickBot="1">
      <c r="A1" s="1204" t="s">
        <v>386</v>
      </c>
      <c r="B1" s="1205" t="s">
        <v>195</v>
      </c>
      <c r="C1" s="1206"/>
      <c r="D1" s="1206"/>
      <c r="E1" s="1206"/>
      <c r="F1" s="1206"/>
      <c r="G1" s="1206"/>
      <c r="H1" s="1206"/>
      <c r="I1" s="1206"/>
      <c r="J1" s="1206"/>
      <c r="K1" s="1206"/>
      <c r="L1" s="1206"/>
      <c r="M1" s="1206"/>
      <c r="N1" s="1206"/>
      <c r="O1" s="1206"/>
      <c r="P1" s="1206"/>
    </row>
    <row r="2" spans="1:16" ht="15" customHeight="1" outlineLevel="1" thickTop="1">
      <c r="A2" s="1204"/>
      <c r="B2" s="1207" t="s">
        <v>21</v>
      </c>
      <c r="C2" s="1207" t="s">
        <v>196</v>
      </c>
      <c r="D2" s="1208" t="s">
        <v>197</v>
      </c>
      <c r="E2" s="1209"/>
      <c r="F2" s="1209"/>
      <c r="G2" s="1209"/>
      <c r="H2" s="1209"/>
      <c r="I2" s="1209"/>
      <c r="J2" s="1209"/>
      <c r="K2" s="1210"/>
      <c r="L2" s="1208" t="s">
        <v>198</v>
      </c>
      <c r="M2" s="1209"/>
      <c r="N2" s="1209"/>
      <c r="O2" s="1209"/>
      <c r="P2" s="1210"/>
    </row>
    <row r="3" spans="1:16" ht="56.25" customHeight="1" outlineLevel="1">
      <c r="A3" s="1204"/>
      <c r="B3" s="1187"/>
      <c r="C3" s="1187"/>
      <c r="D3" s="475" t="s">
        <v>199</v>
      </c>
      <c r="E3" s="475" t="s">
        <v>200</v>
      </c>
      <c r="F3" s="475" t="s">
        <v>201</v>
      </c>
      <c r="G3" s="475" t="s">
        <v>202</v>
      </c>
      <c r="H3" s="475" t="s">
        <v>120</v>
      </c>
      <c r="I3" s="475" t="s">
        <v>203</v>
      </c>
      <c r="J3" s="475" t="s">
        <v>204</v>
      </c>
      <c r="K3" s="475" t="s">
        <v>205</v>
      </c>
      <c r="L3" s="475" t="s">
        <v>206</v>
      </c>
      <c r="M3" s="475" t="s">
        <v>207</v>
      </c>
      <c r="N3" s="475" t="s">
        <v>208</v>
      </c>
      <c r="O3" s="475" t="s">
        <v>209</v>
      </c>
      <c r="P3" s="475" t="s">
        <v>210</v>
      </c>
    </row>
    <row r="4" spans="1:16" outlineLevel="1">
      <c r="A4" s="695" t="s">
        <v>620</v>
      </c>
      <c r="B4" s="491"/>
      <c r="C4" s="491"/>
      <c r="D4" s="491"/>
      <c r="E4" s="491"/>
      <c r="F4" s="491"/>
      <c r="G4" s="523"/>
      <c r="H4" s="523"/>
      <c r="I4" s="491"/>
      <c r="J4" s="491"/>
      <c r="K4" s="491"/>
      <c r="L4" s="491"/>
      <c r="M4" s="491"/>
      <c r="N4" s="491"/>
      <c r="O4" s="491"/>
      <c r="P4" s="491"/>
    </row>
    <row r="5" spans="1:16" outlineLevel="1">
      <c r="A5" s="695" t="s">
        <v>621</v>
      </c>
      <c r="B5" s="491"/>
      <c r="C5" s="491"/>
      <c r="D5" s="491"/>
      <c r="E5" s="491"/>
      <c r="F5" s="491"/>
      <c r="G5" s="523"/>
      <c r="H5" s="523"/>
      <c r="I5" s="491"/>
      <c r="J5" s="491"/>
      <c r="K5" s="491"/>
      <c r="L5" s="491"/>
      <c r="M5" s="491"/>
      <c r="N5" s="491"/>
      <c r="O5" s="491"/>
      <c r="P5" s="491"/>
    </row>
    <row r="6" spans="1:16" outlineLevel="1">
      <c r="A6" s="695" t="s">
        <v>622</v>
      </c>
      <c r="B6" s="491"/>
      <c r="C6" s="491"/>
      <c r="D6" s="491"/>
      <c r="E6" s="491"/>
      <c r="F6" s="491"/>
      <c r="G6" s="523"/>
      <c r="H6" s="523"/>
      <c r="I6" s="491"/>
      <c r="J6" s="491"/>
      <c r="K6" s="491"/>
      <c r="L6" s="491"/>
      <c r="M6" s="491"/>
      <c r="N6" s="491"/>
      <c r="O6" s="491"/>
      <c r="P6" s="491"/>
    </row>
    <row r="7" spans="1:16" outlineLevel="1">
      <c r="A7" s="493"/>
      <c r="B7" s="491"/>
      <c r="C7" s="491"/>
      <c r="D7" s="491"/>
      <c r="E7" s="491"/>
      <c r="F7" s="491"/>
      <c r="G7" s="523"/>
      <c r="H7" s="523"/>
      <c r="I7" s="491"/>
      <c r="J7" s="491"/>
      <c r="K7" s="491"/>
      <c r="L7" s="491"/>
      <c r="M7" s="491"/>
      <c r="N7" s="491"/>
      <c r="O7" s="491"/>
      <c r="P7" s="491"/>
    </row>
    <row r="8" spans="1:16" outlineLevel="1">
      <c r="A8" s="696" t="s">
        <v>623</v>
      </c>
      <c r="B8" s="491"/>
      <c r="C8" s="491"/>
      <c r="D8" s="491"/>
      <c r="E8" s="491"/>
      <c r="F8" s="491"/>
      <c r="G8" s="523"/>
      <c r="H8" s="523"/>
      <c r="I8" s="491"/>
      <c r="J8" s="491"/>
      <c r="K8" s="491"/>
      <c r="L8" s="491"/>
      <c r="M8" s="491"/>
      <c r="N8" s="491"/>
      <c r="O8" s="491"/>
      <c r="P8" s="491"/>
    </row>
    <row r="9" spans="1:16" outlineLevel="1">
      <c r="A9" s="493"/>
      <c r="B9" s="491"/>
      <c r="C9" s="491"/>
      <c r="D9" s="491"/>
      <c r="E9" s="491"/>
      <c r="F9" s="491"/>
      <c r="G9" s="523"/>
      <c r="H9" s="523"/>
      <c r="I9" s="491"/>
      <c r="J9" s="491"/>
      <c r="K9" s="491"/>
      <c r="L9" s="491"/>
      <c r="M9" s="491"/>
      <c r="N9" s="491"/>
      <c r="O9" s="491"/>
      <c r="P9" s="491"/>
    </row>
    <row r="10" spans="1:16" outlineLevel="1">
      <c r="A10" s="493" t="s">
        <v>624</v>
      </c>
      <c r="B10" s="491"/>
      <c r="C10" s="491"/>
      <c r="D10" s="491"/>
      <c r="E10" s="491"/>
      <c r="F10" s="491"/>
      <c r="G10" s="523"/>
      <c r="H10" s="523"/>
      <c r="I10" s="491"/>
      <c r="J10" s="491"/>
      <c r="K10" s="491"/>
      <c r="L10" s="491"/>
      <c r="M10" s="491"/>
      <c r="N10" s="491"/>
      <c r="O10" s="491"/>
      <c r="P10" s="491"/>
    </row>
    <row r="11" spans="1:16" outlineLevel="1">
      <c r="A11" s="493"/>
      <c r="B11" s="491"/>
      <c r="C11" s="491"/>
      <c r="D11" s="491"/>
      <c r="E11" s="491"/>
      <c r="F11" s="491"/>
      <c r="G11" s="523"/>
      <c r="H11" s="523"/>
      <c r="I11" s="491"/>
      <c r="J11" s="491"/>
      <c r="K11" s="491"/>
      <c r="L11" s="491"/>
      <c r="M11" s="491"/>
      <c r="N11" s="491"/>
      <c r="O11" s="491"/>
      <c r="P11" s="491"/>
    </row>
    <row r="12" spans="1:16" ht="15.75" outlineLevel="1" thickBot="1">
      <c r="B12" s="491"/>
      <c r="C12" s="491"/>
      <c r="D12" s="491"/>
      <c r="E12" s="491"/>
      <c r="F12" s="491"/>
      <c r="G12" s="523"/>
      <c r="H12" s="523"/>
      <c r="I12" s="491"/>
      <c r="J12" s="491"/>
      <c r="K12" s="491"/>
      <c r="L12" s="491"/>
      <c r="M12" s="491"/>
      <c r="N12" s="491"/>
      <c r="O12" s="491"/>
      <c r="P12" s="491"/>
    </row>
    <row r="13" spans="1:16" ht="25.5" customHeight="1" outlineLevel="1" thickBot="1">
      <c r="A13" s="494" t="s">
        <v>586</v>
      </c>
      <c r="B13" s="478"/>
      <c r="C13" s="495"/>
      <c r="D13" s="495"/>
      <c r="E13" s="495"/>
      <c r="F13" s="495"/>
      <c r="G13" s="495"/>
      <c r="H13" s="495"/>
      <c r="I13" s="495"/>
      <c r="J13" s="495"/>
      <c r="K13" s="495"/>
      <c r="L13" s="495"/>
      <c r="M13" s="495"/>
      <c r="N13" s="495"/>
      <c r="O13" s="788" t="s">
        <v>644</v>
      </c>
      <c r="P13" s="788" t="s">
        <v>643</v>
      </c>
    </row>
    <row r="14" spans="1:16" outlineLevel="1"/>
    <row r="15" spans="1:16" s="487" customFormat="1" outlineLevel="1">
      <c r="A15" s="496" t="s">
        <v>305</v>
      </c>
      <c r="B15" s="497">
        <f>SUM(B4:B12)</f>
        <v>0</v>
      </c>
      <c r="C15" s="497">
        <f t="shared" ref="C15:P15" si="0">SUM(C4:C13)</f>
        <v>0</v>
      </c>
      <c r="D15" s="497">
        <f t="shared" si="0"/>
        <v>0</v>
      </c>
      <c r="E15" s="497">
        <f t="shared" si="0"/>
        <v>0</v>
      </c>
      <c r="F15" s="497">
        <f t="shared" si="0"/>
        <v>0</v>
      </c>
      <c r="G15" s="497"/>
      <c r="H15" s="497"/>
      <c r="I15" s="497">
        <f t="shared" si="0"/>
        <v>0</v>
      </c>
      <c r="J15" s="497">
        <f t="shared" si="0"/>
        <v>0</v>
      </c>
      <c r="K15" s="497">
        <f t="shared" si="0"/>
        <v>0</v>
      </c>
      <c r="L15" s="497">
        <f t="shared" si="0"/>
        <v>0</v>
      </c>
      <c r="M15" s="497">
        <f>SUM(M4:M13)</f>
        <v>0</v>
      </c>
      <c r="N15" s="497">
        <f t="shared" si="0"/>
        <v>0</v>
      </c>
      <c r="O15" s="497">
        <f>SUM(O4:O13)</f>
        <v>0</v>
      </c>
      <c r="P15" s="497">
        <f t="shared" si="0"/>
        <v>0</v>
      </c>
    </row>
    <row r="16" spans="1:16" outlineLevel="1">
      <c r="B16" s="500"/>
      <c r="C16" s="500"/>
      <c r="D16" s="500"/>
      <c r="E16" s="500"/>
      <c r="F16" s="500"/>
      <c r="G16" s="500"/>
      <c r="H16" s="500"/>
      <c r="I16" s="500"/>
      <c r="J16" s="500"/>
      <c r="K16" s="500"/>
      <c r="L16" s="500"/>
      <c r="M16" s="500"/>
      <c r="N16" s="500"/>
      <c r="O16" s="500"/>
      <c r="P16" s="500"/>
    </row>
    <row r="17" spans="1:16" outlineLevel="1">
      <c r="A17" s="501" t="s">
        <v>613</v>
      </c>
      <c r="B17" s="525">
        <f ca="1">'EF ele_warmte'!B12</f>
        <v>0.20504171472650515</v>
      </c>
      <c r="C17" s="525">
        <f ca="1">'EF ele_warmte'!B22</f>
        <v>0</v>
      </c>
      <c r="D17" s="525">
        <f>EF_CO2_aardgas</f>
        <v>0.20200000000000001</v>
      </c>
      <c r="E17" s="525">
        <f>EF_VLgas_CO2</f>
        <v>0.22700000000000001</v>
      </c>
      <c r="F17" s="525">
        <f>EF_stookolie_CO2</f>
        <v>0.26700000000000002</v>
      </c>
      <c r="G17" s="525"/>
      <c r="H17" s="525"/>
      <c r="I17" s="525">
        <f>EF_bruinkool_CO2</f>
        <v>0.35099999999999998</v>
      </c>
      <c r="J17" s="525">
        <f>EF_steenkool_CO2</f>
        <v>0.35399999999999998</v>
      </c>
      <c r="K17" s="525">
        <f>EF_anderfossiel_CO2</f>
        <v>0.26400000000000001</v>
      </c>
      <c r="L17" s="525">
        <f>'EF brandstof'!J4</f>
        <v>0</v>
      </c>
      <c r="M17" s="525">
        <f>'EF brandstof'!K4</f>
        <v>0</v>
      </c>
      <c r="N17" s="525">
        <f>'EF brandstof'!L4</f>
        <v>0</v>
      </c>
      <c r="O17" s="525">
        <v>0</v>
      </c>
      <c r="P17" s="525">
        <v>0</v>
      </c>
    </row>
    <row r="18" spans="1:16" outlineLevel="1">
      <c r="B18" s="500"/>
      <c r="C18" s="500"/>
      <c r="D18" s="500"/>
      <c r="E18" s="500"/>
      <c r="F18" s="500"/>
      <c r="G18" s="500"/>
      <c r="H18" s="500"/>
      <c r="I18" s="500"/>
      <c r="J18" s="500"/>
      <c r="K18" s="500"/>
      <c r="L18" s="500"/>
      <c r="M18" s="500"/>
      <c r="N18" s="500"/>
      <c r="O18" s="500"/>
      <c r="P18" s="500"/>
    </row>
    <row r="19" spans="1:16" outlineLevel="1">
      <c r="A19" s="496" t="s">
        <v>213</v>
      </c>
      <c r="B19" s="502">
        <f ca="1">B15*B17</f>
        <v>0</v>
      </c>
      <c r="C19" s="502">
        <f ca="1">C15*C17</f>
        <v>0</v>
      </c>
      <c r="D19" s="502">
        <f>D15*D17</f>
        <v>0</v>
      </c>
      <c r="E19" s="502">
        <f>E15*E17</f>
        <v>0</v>
      </c>
      <c r="F19" s="502">
        <f>F15*F17</f>
        <v>0</v>
      </c>
      <c r="G19" s="502"/>
      <c r="H19" s="502"/>
      <c r="I19" s="502">
        <f t="shared" ref="I19:P19" si="1">I15*I17</f>
        <v>0</v>
      </c>
      <c r="J19" s="502">
        <f t="shared" si="1"/>
        <v>0</v>
      </c>
      <c r="K19" s="502">
        <f t="shared" si="1"/>
        <v>0</v>
      </c>
      <c r="L19" s="502">
        <f t="shared" si="1"/>
        <v>0</v>
      </c>
      <c r="M19" s="502">
        <f t="shared" si="1"/>
        <v>0</v>
      </c>
      <c r="N19" s="502">
        <f t="shared" si="1"/>
        <v>0</v>
      </c>
      <c r="O19" s="502">
        <f t="shared" si="1"/>
        <v>0</v>
      </c>
      <c r="P19" s="502">
        <f t="shared" si="1"/>
        <v>0</v>
      </c>
    </row>
    <row r="22" spans="1:16" s="478" customFormat="1" ht="15" customHeight="1" outlineLevel="1">
      <c r="A22" s="503" t="s">
        <v>489</v>
      </c>
      <c r="B22" s="504"/>
      <c r="C22" s="505"/>
      <c r="D22" s="506"/>
      <c r="E22" s="507"/>
    </row>
    <row r="23" spans="1:16" s="48" customFormat="1" ht="15" customHeight="1" outlineLevel="1">
      <c r="A23" s="508"/>
      <c r="B23" s="509"/>
      <c r="C23" s="510" t="s">
        <v>377</v>
      </c>
      <c r="D23" s="510" t="s">
        <v>182</v>
      </c>
      <c r="E23" s="511"/>
    </row>
    <row r="24" spans="1:16" s="478" customFormat="1" ht="15" customHeight="1" outlineLevel="1">
      <c r="A24" s="512" t="s">
        <v>266</v>
      </c>
      <c r="B24" s="47">
        <f>EigenZB</f>
        <v>0</v>
      </c>
      <c r="C24" s="513"/>
      <c r="D24" s="895" t="s">
        <v>668</v>
      </c>
      <c r="E24" s="479"/>
    </row>
    <row r="25" spans="1:16" s="478" customFormat="1" outlineLevel="1">
      <c r="A25" s="512" t="s">
        <v>456</v>
      </c>
      <c r="B25" s="48">
        <v>4.2</v>
      </c>
      <c r="C25" s="513"/>
      <c r="D25" s="514" t="s">
        <v>517</v>
      </c>
      <c r="E25" s="490"/>
    </row>
    <row r="26" spans="1:16" s="478" customFormat="1" outlineLevel="1">
      <c r="A26" s="792" t="s">
        <v>457</v>
      </c>
      <c r="B26" s="793">
        <f>1.34/3.6</f>
        <v>0.37222222222222223</v>
      </c>
      <c r="C26" s="513" t="s">
        <v>218</v>
      </c>
      <c r="D26" s="514" t="s">
        <v>517</v>
      </c>
      <c r="E26" s="490"/>
    </row>
    <row r="27" spans="1:16" s="478" customFormat="1" outlineLevel="1">
      <c r="A27" s="515" t="s">
        <v>632</v>
      </c>
      <c r="B27" s="795">
        <f>B24*B25*B26</f>
        <v>0</v>
      </c>
      <c r="C27" s="516" t="s">
        <v>633</v>
      </c>
      <c r="D27" s="517"/>
      <c r="E27" s="518"/>
    </row>
    <row r="28" spans="1:16" s="478" customFormat="1" outlineLevel="1">
      <c r="A28" s="48"/>
      <c r="B28" s="48"/>
      <c r="C28" s="519"/>
      <c r="D28" s="513"/>
    </row>
    <row r="29" spans="1:16" s="478" customFormat="1" outlineLevel="1">
      <c r="A29" s="520" t="s">
        <v>490</v>
      </c>
      <c r="B29" s="504"/>
      <c r="C29" s="505"/>
      <c r="D29" s="506"/>
      <c r="E29" s="507"/>
    </row>
    <row r="30" spans="1:16" s="48" customFormat="1" outlineLevel="1">
      <c r="A30" s="521"/>
      <c r="B30" s="509"/>
      <c r="C30" s="510" t="s">
        <v>377</v>
      </c>
      <c r="D30" s="510" t="s">
        <v>182</v>
      </c>
      <c r="E30" s="511"/>
    </row>
    <row r="31" spans="1:16" s="478" customFormat="1" outlineLevel="1">
      <c r="A31" s="512" t="s">
        <v>455</v>
      </c>
      <c r="B31" s="47">
        <f>EigenWP</f>
        <v>0</v>
      </c>
      <c r="C31" s="513"/>
      <c r="D31" s="895" t="s">
        <v>668</v>
      </c>
      <c r="E31" s="479"/>
    </row>
    <row r="32" spans="1:16" s="478" customFormat="1" outlineLevel="1">
      <c r="A32" s="512" t="s">
        <v>453</v>
      </c>
      <c r="B32" s="48">
        <v>13</v>
      </c>
      <c r="C32" s="519" t="s">
        <v>263</v>
      </c>
      <c r="D32" s="514" t="s">
        <v>517</v>
      </c>
      <c r="E32" s="479"/>
    </row>
    <row r="33" spans="1:5" s="478" customFormat="1" outlineLevel="1">
      <c r="A33" s="512" t="s">
        <v>454</v>
      </c>
      <c r="B33" s="48">
        <v>2000</v>
      </c>
      <c r="C33" s="519" t="s">
        <v>265</v>
      </c>
      <c r="D33" s="514" t="s">
        <v>517</v>
      </c>
      <c r="E33" s="479"/>
    </row>
    <row r="34" spans="1:5" s="478" customFormat="1" outlineLevel="1">
      <c r="A34" s="792" t="s">
        <v>382</v>
      </c>
      <c r="B34" s="48">
        <v>3.75</v>
      </c>
      <c r="C34" s="519"/>
      <c r="D34" s="514" t="s">
        <v>517</v>
      </c>
      <c r="E34" s="479"/>
    </row>
    <row r="35" spans="1:5" s="478" customFormat="1" outlineLevel="1">
      <c r="A35" s="515" t="s">
        <v>632</v>
      </c>
      <c r="B35" s="794">
        <f>B31*B32*B33/1000-B31*B32*B33/1000/B34</f>
        <v>0</v>
      </c>
      <c r="C35" s="522" t="s">
        <v>633</v>
      </c>
      <c r="D35" s="517"/>
      <c r="E35" s="486"/>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76" customWidth="1"/>
    <col min="2" max="2" width="15" style="476" customWidth="1"/>
    <col min="3" max="3" width="25.140625" style="476" customWidth="1"/>
    <col min="4" max="4" width="15" style="476" customWidth="1"/>
    <col min="5" max="5" width="40.5703125" style="476" customWidth="1"/>
    <col min="6" max="6" width="14.85546875" style="476" customWidth="1"/>
    <col min="7" max="7" width="6.5703125" style="476" bestFit="1" customWidth="1"/>
    <col min="8" max="8" width="8.140625" style="476" bestFit="1" customWidth="1"/>
    <col min="9" max="9" width="15.7109375" style="476" customWidth="1"/>
    <col min="10" max="10" width="15.42578125" style="476" customWidth="1"/>
    <col min="11" max="11" width="17.42578125" style="476" customWidth="1"/>
    <col min="12" max="12" width="14.5703125" style="476" customWidth="1"/>
    <col min="13" max="13" width="15.5703125" style="476" customWidth="1"/>
    <col min="14" max="14" width="17.85546875" style="476" customWidth="1"/>
    <col min="15" max="15" width="26.42578125" style="476" bestFit="1" customWidth="1"/>
    <col min="16" max="16" width="43.5703125" style="476" customWidth="1"/>
    <col min="17" max="17" width="9.140625" style="476"/>
    <col min="18" max="18" width="20.42578125" style="476" customWidth="1"/>
    <col min="19" max="16384" width="9.140625" style="476"/>
  </cols>
  <sheetData>
    <row r="1" spans="1:16" ht="15.75" customHeight="1" outlineLevel="1" thickTop="1" thickBot="1">
      <c r="A1" s="1204" t="s">
        <v>386</v>
      </c>
      <c r="B1" s="1205" t="s">
        <v>195</v>
      </c>
      <c r="C1" s="1206"/>
      <c r="D1" s="1206"/>
      <c r="E1" s="1206"/>
      <c r="F1" s="1206"/>
      <c r="G1" s="1206"/>
      <c r="H1" s="1206"/>
      <c r="I1" s="1206"/>
      <c r="J1" s="1206"/>
      <c r="K1" s="1206"/>
      <c r="L1" s="1206"/>
      <c r="M1" s="1206"/>
      <c r="N1" s="1206"/>
      <c r="O1" s="1206"/>
      <c r="P1" s="1206"/>
    </row>
    <row r="2" spans="1:16" ht="15" customHeight="1" outlineLevel="1" thickTop="1">
      <c r="A2" s="1204"/>
      <c r="B2" s="1207" t="s">
        <v>21</v>
      </c>
      <c r="C2" s="1207" t="s">
        <v>196</v>
      </c>
      <c r="D2" s="1208" t="s">
        <v>197</v>
      </c>
      <c r="E2" s="1209"/>
      <c r="F2" s="1209"/>
      <c r="G2" s="1209"/>
      <c r="H2" s="1209"/>
      <c r="I2" s="1209"/>
      <c r="J2" s="1209"/>
      <c r="K2" s="1210"/>
      <c r="L2" s="1208" t="s">
        <v>198</v>
      </c>
      <c r="M2" s="1209"/>
      <c r="N2" s="1209"/>
      <c r="O2" s="1209"/>
      <c r="P2" s="1210"/>
    </row>
    <row r="3" spans="1:16" ht="56.25" customHeight="1" outlineLevel="1">
      <c r="A3" s="1204"/>
      <c r="B3" s="1187"/>
      <c r="C3" s="1187"/>
      <c r="D3" s="475" t="s">
        <v>199</v>
      </c>
      <c r="E3" s="475" t="s">
        <v>200</v>
      </c>
      <c r="F3" s="475" t="s">
        <v>201</v>
      </c>
      <c r="G3" s="475" t="s">
        <v>202</v>
      </c>
      <c r="H3" s="475" t="s">
        <v>120</v>
      </c>
      <c r="I3" s="475" t="s">
        <v>203</v>
      </c>
      <c r="J3" s="475" t="s">
        <v>204</v>
      </c>
      <c r="K3" s="475" t="s">
        <v>205</v>
      </c>
      <c r="L3" s="475" t="s">
        <v>206</v>
      </c>
      <c r="M3" s="475" t="s">
        <v>207</v>
      </c>
      <c r="N3" s="475" t="s">
        <v>208</v>
      </c>
      <c r="O3" s="475" t="s">
        <v>209</v>
      </c>
      <c r="P3" s="475" t="s">
        <v>210</v>
      </c>
    </row>
    <row r="4" spans="1:16" outlineLevel="1">
      <c r="A4" s="493"/>
      <c r="B4" s="491"/>
      <c r="C4" s="523"/>
      <c r="D4" s="523"/>
      <c r="E4" s="523"/>
      <c r="F4" s="523"/>
      <c r="G4" s="523"/>
      <c r="H4" s="523"/>
      <c r="I4" s="523"/>
      <c r="J4" s="523"/>
      <c r="K4" s="523"/>
      <c r="L4" s="523"/>
      <c r="M4" s="523"/>
      <c r="N4" s="523"/>
      <c r="O4" s="523"/>
      <c r="P4" s="523"/>
    </row>
    <row r="5" spans="1:16" outlineLevel="1">
      <c r="A5" s="493"/>
      <c r="B5" s="491"/>
      <c r="C5" s="523"/>
      <c r="D5" s="523"/>
      <c r="E5" s="523"/>
      <c r="F5" s="523"/>
      <c r="G5" s="523"/>
      <c r="H5" s="523"/>
      <c r="I5" s="523"/>
      <c r="J5" s="523"/>
      <c r="K5" s="523"/>
      <c r="L5" s="523"/>
      <c r="M5" s="523"/>
      <c r="N5" s="523"/>
      <c r="O5" s="523"/>
      <c r="P5" s="523"/>
    </row>
    <row r="6" spans="1:16" outlineLevel="1">
      <c r="A6" s="493"/>
      <c r="B6" s="491"/>
      <c r="C6" s="523"/>
      <c r="D6" s="523"/>
      <c r="E6" s="523"/>
      <c r="F6" s="523"/>
      <c r="G6" s="523"/>
      <c r="H6" s="523"/>
      <c r="I6" s="523"/>
      <c r="J6" s="523"/>
      <c r="K6" s="523"/>
      <c r="L6" s="523"/>
      <c r="M6" s="523"/>
      <c r="N6" s="523"/>
      <c r="O6" s="523"/>
      <c r="P6" s="523"/>
    </row>
    <row r="7" spans="1:16" outlineLevel="1">
      <c r="A7" s="493"/>
      <c r="B7" s="491"/>
      <c r="C7" s="523"/>
      <c r="D7" s="523"/>
      <c r="E7" s="523"/>
      <c r="F7" s="523"/>
      <c r="G7" s="523"/>
      <c r="H7" s="523"/>
      <c r="I7" s="523"/>
      <c r="J7" s="523"/>
      <c r="K7" s="523"/>
      <c r="L7" s="523"/>
      <c r="M7" s="523"/>
      <c r="N7" s="523"/>
      <c r="O7" s="523"/>
      <c r="P7" s="523"/>
    </row>
    <row r="8" spans="1:16" outlineLevel="1">
      <c r="A8" s="696"/>
      <c r="B8" s="491"/>
      <c r="C8" s="523"/>
      <c r="D8" s="523"/>
      <c r="E8" s="523"/>
      <c r="F8" s="523"/>
      <c r="G8" s="523"/>
      <c r="H8" s="523"/>
      <c r="I8" s="523"/>
      <c r="J8" s="523"/>
      <c r="K8" s="523"/>
      <c r="L8" s="523"/>
      <c r="M8" s="523"/>
      <c r="N8" s="523"/>
      <c r="O8" s="523"/>
      <c r="P8" s="523"/>
    </row>
    <row r="9" spans="1:16" outlineLevel="1">
      <c r="A9" s="493"/>
      <c r="B9" s="491"/>
      <c r="C9" s="523"/>
      <c r="D9" s="523"/>
      <c r="E9" s="523"/>
      <c r="F9" s="523"/>
      <c r="G9" s="523"/>
      <c r="H9" s="523"/>
      <c r="I9" s="523"/>
      <c r="J9" s="523"/>
      <c r="K9" s="523"/>
      <c r="L9" s="523"/>
      <c r="M9" s="523"/>
      <c r="N9" s="523"/>
      <c r="O9" s="523"/>
      <c r="P9" s="523"/>
    </row>
    <row r="10" spans="1:16" outlineLevel="1">
      <c r="A10" s="493"/>
      <c r="B10" s="491"/>
      <c r="C10" s="523"/>
      <c r="D10" s="523"/>
      <c r="E10" s="523"/>
      <c r="F10" s="523"/>
      <c r="G10" s="523"/>
      <c r="H10" s="523"/>
      <c r="I10" s="523"/>
      <c r="J10" s="523"/>
      <c r="K10" s="523"/>
      <c r="L10" s="523"/>
      <c r="M10" s="523"/>
      <c r="N10" s="523"/>
      <c r="O10" s="523"/>
      <c r="P10" s="523"/>
    </row>
    <row r="11" spans="1:16" outlineLevel="1">
      <c r="A11" s="493"/>
      <c r="B11" s="491"/>
      <c r="C11" s="523"/>
      <c r="D11" s="523"/>
      <c r="E11" s="523"/>
      <c r="F11" s="523"/>
      <c r="G11" s="523"/>
      <c r="H11" s="523"/>
      <c r="I11" s="523"/>
      <c r="J11" s="523"/>
      <c r="K11" s="523"/>
      <c r="L11" s="523"/>
      <c r="M11" s="523"/>
      <c r="N11" s="523"/>
      <c r="O11" s="523"/>
      <c r="P11" s="523"/>
    </row>
    <row r="12" spans="1:16" ht="15.75" outlineLevel="1" thickBot="1">
      <c r="A12" s="493"/>
      <c r="B12" s="491"/>
      <c r="C12" s="523"/>
      <c r="D12" s="523"/>
      <c r="E12" s="523"/>
      <c r="F12" s="523"/>
      <c r="G12" s="523"/>
      <c r="H12" s="523"/>
      <c r="I12" s="523"/>
      <c r="J12" s="523"/>
      <c r="K12" s="523"/>
      <c r="L12" s="523"/>
      <c r="M12" s="523"/>
      <c r="N12" s="523"/>
      <c r="O12" s="523"/>
      <c r="P12" s="523"/>
    </row>
    <row r="13" spans="1:16" ht="25.5" customHeight="1" outlineLevel="1" thickBot="1">
      <c r="A13" s="494" t="s">
        <v>586</v>
      </c>
      <c r="B13" s="478"/>
      <c r="C13" s="495"/>
      <c r="D13" s="495"/>
      <c r="E13" s="495"/>
      <c r="F13" s="495"/>
      <c r="G13" s="495"/>
      <c r="H13" s="495"/>
      <c r="I13" s="495"/>
      <c r="J13" s="495"/>
      <c r="K13" s="495"/>
      <c r="L13" s="495"/>
      <c r="M13" s="495"/>
      <c r="N13" s="495"/>
      <c r="O13" s="1211"/>
      <c r="P13" s="1211"/>
    </row>
    <row r="14" spans="1:16" outlineLevel="1">
      <c r="A14" s="493"/>
      <c r="B14" s="52"/>
      <c r="C14" s="523"/>
      <c r="D14" s="523"/>
      <c r="E14" s="523"/>
      <c r="F14" s="523"/>
      <c r="G14" s="523"/>
      <c r="H14" s="523"/>
      <c r="I14" s="523"/>
      <c r="J14" s="523"/>
      <c r="K14" s="523"/>
      <c r="L14" s="523"/>
      <c r="M14" s="523"/>
      <c r="N14" s="523"/>
      <c r="O14" s="523"/>
      <c r="P14" s="523"/>
    </row>
    <row r="15" spans="1:16" s="487" customFormat="1" outlineLevel="1">
      <c r="A15" s="496" t="s">
        <v>306</v>
      </c>
      <c r="B15" s="497">
        <f>SUM(B4:B12)</f>
        <v>0</v>
      </c>
      <c r="C15" s="498"/>
      <c r="D15" s="498"/>
      <c r="E15" s="498"/>
      <c r="F15" s="498"/>
      <c r="G15" s="498"/>
      <c r="H15" s="498"/>
      <c r="I15" s="498"/>
      <c r="J15" s="498"/>
      <c r="K15" s="498"/>
      <c r="L15" s="498"/>
      <c r="M15" s="498"/>
      <c r="N15" s="498"/>
      <c r="O15" s="499"/>
      <c r="P15" s="499"/>
    </row>
    <row r="16" spans="1:16" outlineLevel="1">
      <c r="B16" s="500"/>
      <c r="C16" s="500"/>
      <c r="D16" s="500"/>
      <c r="E16" s="500"/>
      <c r="F16" s="500"/>
      <c r="G16" s="500"/>
      <c r="H16" s="500"/>
      <c r="I16" s="500"/>
      <c r="J16" s="500"/>
      <c r="K16" s="500"/>
      <c r="L16" s="500"/>
      <c r="M16" s="500"/>
      <c r="N16" s="500"/>
      <c r="O16" s="500"/>
      <c r="P16" s="500"/>
    </row>
    <row r="17" spans="1:16" outlineLevel="1">
      <c r="A17" s="501" t="s">
        <v>613</v>
      </c>
      <c r="B17" s="525">
        <f ca="1">'EF ele_warmte'!B12</f>
        <v>0.20504171472650515</v>
      </c>
      <c r="C17" s="525">
        <f ca="1">'EF ele_warmte'!B22</f>
        <v>0</v>
      </c>
      <c r="D17" s="525">
        <f>EF_CO2_aardgas</f>
        <v>0.20200000000000001</v>
      </c>
      <c r="E17" s="525">
        <f>EF_VLgas_CO2</f>
        <v>0.22700000000000001</v>
      </c>
      <c r="F17" s="525">
        <f>EF_stookolie_CO2</f>
        <v>0.26700000000000002</v>
      </c>
      <c r="G17" s="525"/>
      <c r="H17" s="525"/>
      <c r="I17" s="525">
        <f>EF_bruinkool_CO2</f>
        <v>0.35099999999999998</v>
      </c>
      <c r="J17" s="525">
        <f>EF_steenkool_CO2</f>
        <v>0.35399999999999998</v>
      </c>
      <c r="K17" s="525">
        <f>EF_anderfossiel_CO2</f>
        <v>0.26400000000000001</v>
      </c>
      <c r="L17" s="525">
        <f>'EF brandstof'!J4</f>
        <v>0</v>
      </c>
      <c r="M17" s="525">
        <f>'EF brandstof'!K4</f>
        <v>0</v>
      </c>
      <c r="N17" s="525">
        <f>'EF brandstof'!L4</f>
        <v>0</v>
      </c>
      <c r="O17" s="525">
        <v>0</v>
      </c>
      <c r="P17" s="525">
        <v>0</v>
      </c>
    </row>
    <row r="18" spans="1:16" outlineLevel="1">
      <c r="B18" s="500"/>
      <c r="C18" s="500"/>
      <c r="D18" s="500"/>
      <c r="E18" s="500"/>
      <c r="F18" s="500"/>
      <c r="G18" s="500"/>
      <c r="H18" s="500"/>
      <c r="I18" s="500"/>
      <c r="J18" s="500"/>
      <c r="K18" s="500"/>
      <c r="L18" s="500"/>
      <c r="M18" s="500"/>
      <c r="N18" s="500"/>
      <c r="O18" s="500"/>
      <c r="P18" s="500"/>
    </row>
    <row r="19" spans="1:16" outlineLevel="1">
      <c r="A19" s="496" t="s">
        <v>213</v>
      </c>
      <c r="B19" s="502">
        <f ca="1">B15*B17</f>
        <v>0</v>
      </c>
      <c r="C19" s="502"/>
      <c r="D19" s="502"/>
      <c r="E19" s="502"/>
      <c r="F19" s="502"/>
      <c r="G19" s="502"/>
      <c r="H19" s="502"/>
      <c r="I19" s="502"/>
      <c r="J19" s="502"/>
      <c r="K19" s="502"/>
      <c r="L19" s="502"/>
      <c r="M19" s="502"/>
      <c r="N19" s="502"/>
      <c r="O19" s="502"/>
      <c r="P19" s="502"/>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sheetPr codeName="Sheet3">
    <tabColor theme="8"/>
  </sheetPr>
  <dimension ref="A1:P31"/>
  <sheetViews>
    <sheetView showGridLines="0" workbookViewId="0">
      <selection activeCell="M27" sqref="M27"/>
    </sheetView>
  </sheetViews>
  <sheetFormatPr defaultColWidth="9.140625" defaultRowHeight="15"/>
  <cols>
    <col min="1" max="1" width="34.7109375" style="476" customWidth="1"/>
    <col min="2" max="2" width="14.140625" style="476" customWidth="1"/>
    <col min="3" max="3" width="16.42578125" style="476" customWidth="1"/>
    <col min="4" max="4" width="15" style="476" customWidth="1"/>
    <col min="5" max="5" width="13.85546875" style="476" customWidth="1"/>
    <col min="6" max="6" width="14.85546875" style="476" customWidth="1"/>
    <col min="7" max="7" width="14.7109375" style="476" customWidth="1"/>
    <col min="8" max="8" width="14.28515625" style="476" customWidth="1"/>
    <col min="9" max="9" width="15.7109375" style="476" customWidth="1"/>
    <col min="10" max="10" width="15.42578125" style="476" customWidth="1"/>
    <col min="11" max="11" width="17.42578125" style="476" customWidth="1"/>
    <col min="12" max="12" width="14.5703125" style="476" customWidth="1"/>
    <col min="13" max="13" width="15.5703125" style="476" customWidth="1"/>
    <col min="14" max="14" width="17.85546875" style="476" customWidth="1"/>
    <col min="15" max="15" width="16.140625" style="476" customWidth="1"/>
    <col min="16" max="16" width="17.5703125" style="476" customWidth="1"/>
    <col min="17" max="17" width="9.140625" style="476"/>
    <col min="18" max="18" width="20.42578125" style="476" customWidth="1"/>
    <col min="19" max="16384" width="9.140625" style="476"/>
  </cols>
  <sheetData>
    <row r="1" spans="1:16" ht="15.75" customHeight="1" thickTop="1" thickBot="1">
      <c r="A1" s="1204" t="s">
        <v>328</v>
      </c>
      <c r="B1" s="1205" t="s">
        <v>195</v>
      </c>
      <c r="C1" s="1206"/>
      <c r="D1" s="1206"/>
      <c r="E1" s="1206"/>
      <c r="F1" s="1206"/>
      <c r="G1" s="1206"/>
      <c r="H1" s="1206"/>
      <c r="I1" s="1206"/>
      <c r="J1" s="1206"/>
      <c r="K1" s="1206"/>
      <c r="L1" s="1206"/>
      <c r="M1" s="1206"/>
      <c r="N1" s="1206"/>
      <c r="O1" s="1206"/>
      <c r="P1" s="1206"/>
    </row>
    <row r="2" spans="1:16" ht="15" customHeight="1" thickTop="1">
      <c r="A2" s="1204"/>
      <c r="B2" s="1207" t="s">
        <v>21</v>
      </c>
      <c r="C2" s="1207" t="s">
        <v>196</v>
      </c>
      <c r="D2" s="1208" t="s">
        <v>197</v>
      </c>
      <c r="E2" s="1209"/>
      <c r="F2" s="1209"/>
      <c r="G2" s="1209"/>
      <c r="H2" s="1209"/>
      <c r="I2" s="1209"/>
      <c r="J2" s="1209"/>
      <c r="K2" s="1210"/>
      <c r="L2" s="1208" t="s">
        <v>198</v>
      </c>
      <c r="M2" s="1209"/>
      <c r="N2" s="1209"/>
      <c r="O2" s="1209"/>
      <c r="P2" s="1210"/>
    </row>
    <row r="3" spans="1:16" ht="56.25" customHeight="1">
      <c r="A3" s="1204"/>
      <c r="B3" s="1187"/>
      <c r="C3" s="1187"/>
      <c r="D3" s="475" t="s">
        <v>199</v>
      </c>
      <c r="E3" s="475" t="s">
        <v>200</v>
      </c>
      <c r="F3" s="475" t="s">
        <v>201</v>
      </c>
      <c r="G3" s="475" t="s">
        <v>202</v>
      </c>
      <c r="H3" s="475" t="s">
        <v>120</v>
      </c>
      <c r="I3" s="475" t="s">
        <v>203</v>
      </c>
      <c r="J3" s="475" t="s">
        <v>204</v>
      </c>
      <c r="K3" s="475" t="s">
        <v>205</v>
      </c>
      <c r="L3" s="475" t="s">
        <v>206</v>
      </c>
      <c r="M3" s="475" t="s">
        <v>207</v>
      </c>
      <c r="N3" s="475" t="s">
        <v>208</v>
      </c>
      <c r="O3" s="475" t="s">
        <v>209</v>
      </c>
      <c r="P3" s="475" t="s">
        <v>210</v>
      </c>
    </row>
    <row r="4" spans="1:16">
      <c r="B4" s="491"/>
      <c r="C4" s="523"/>
      <c r="D4" s="492"/>
      <c r="E4" s="492"/>
      <c r="F4" s="523"/>
      <c r="G4" s="492"/>
      <c r="H4" s="492"/>
      <c r="I4" s="523"/>
      <c r="J4" s="523"/>
      <c r="K4" s="523"/>
      <c r="L4" s="523"/>
      <c r="M4" s="523"/>
      <c r="N4" s="523"/>
      <c r="O4" s="523"/>
      <c r="P4" s="523"/>
    </row>
    <row r="5" spans="1:16">
      <c r="B5" s="491"/>
      <c r="C5" s="52"/>
      <c r="D5" s="491"/>
      <c r="E5" s="491"/>
      <c r="F5" s="52"/>
      <c r="G5" s="491"/>
      <c r="H5" s="491"/>
      <c r="I5" s="52"/>
      <c r="J5" s="52"/>
      <c r="K5" s="52"/>
      <c r="L5" s="52"/>
      <c r="M5" s="52"/>
      <c r="N5" s="52"/>
      <c r="O5" s="52"/>
      <c r="P5" s="52"/>
    </row>
    <row r="6" spans="1:16">
      <c r="B6" s="491"/>
      <c r="C6" s="52"/>
      <c r="D6" s="491"/>
      <c r="E6" s="491"/>
      <c r="F6" s="52"/>
      <c r="G6" s="491"/>
      <c r="H6" s="491"/>
      <c r="I6" s="52"/>
      <c r="J6" s="52"/>
      <c r="K6" s="52"/>
      <c r="L6" s="52"/>
      <c r="M6" s="52"/>
      <c r="N6" s="52"/>
      <c r="O6" s="52"/>
      <c r="P6" s="52"/>
    </row>
    <row r="7" spans="1:16">
      <c r="B7" s="491"/>
      <c r="C7" s="52"/>
      <c r="D7" s="491"/>
      <c r="E7" s="491"/>
      <c r="F7" s="52"/>
      <c r="G7" s="491"/>
      <c r="H7" s="491"/>
      <c r="I7" s="52"/>
      <c r="J7" s="52"/>
      <c r="K7" s="52"/>
      <c r="L7" s="52"/>
      <c r="M7" s="52"/>
      <c r="N7" s="52"/>
      <c r="O7" s="52"/>
      <c r="P7" s="52"/>
    </row>
    <row r="8" spans="1:16">
      <c r="A8" s="487"/>
      <c r="B8" s="491"/>
      <c r="C8" s="52"/>
      <c r="D8" s="491"/>
      <c r="E8" s="491"/>
      <c r="F8" s="52"/>
      <c r="G8" s="491"/>
      <c r="H8" s="491"/>
      <c r="I8" s="52"/>
      <c r="J8" s="52"/>
      <c r="K8" s="52"/>
      <c r="L8" s="52"/>
      <c r="M8" s="52"/>
      <c r="N8" s="52"/>
      <c r="O8" s="52"/>
      <c r="P8" s="52"/>
    </row>
    <row r="9" spans="1:16">
      <c r="B9" s="491"/>
      <c r="C9" s="52"/>
      <c r="D9" s="491"/>
      <c r="E9" s="491"/>
      <c r="F9" s="52"/>
      <c r="G9" s="491"/>
      <c r="H9" s="491"/>
      <c r="I9" s="52"/>
      <c r="J9" s="52"/>
      <c r="K9" s="52"/>
      <c r="L9" s="52"/>
      <c r="M9" s="52"/>
      <c r="N9" s="52"/>
      <c r="O9" s="52"/>
      <c r="P9" s="52"/>
    </row>
    <row r="10" spans="1:16">
      <c r="B10" s="491"/>
      <c r="C10" s="52"/>
      <c r="D10" s="491"/>
      <c r="E10" s="491"/>
      <c r="F10" s="52"/>
      <c r="G10" s="491"/>
      <c r="H10" s="491"/>
      <c r="I10" s="52"/>
      <c r="J10" s="52"/>
      <c r="K10" s="52"/>
      <c r="L10" s="52"/>
      <c r="M10" s="52"/>
      <c r="N10" s="52"/>
      <c r="O10" s="52"/>
      <c r="P10" s="52"/>
    </row>
    <row r="11" spans="1:16">
      <c r="B11" s="491"/>
      <c r="C11" s="52"/>
      <c r="D11" s="491"/>
      <c r="E11" s="491"/>
      <c r="F11" s="52"/>
      <c r="G11" s="491"/>
      <c r="H11" s="491"/>
      <c r="I11" s="52"/>
      <c r="J11" s="52"/>
      <c r="K11" s="52"/>
      <c r="L11" s="52"/>
      <c r="M11" s="52"/>
      <c r="N11" s="52"/>
      <c r="O11" s="52"/>
      <c r="P11" s="52"/>
    </row>
    <row r="12" spans="1:16">
      <c r="B12" s="491"/>
      <c r="C12" s="52"/>
      <c r="D12" s="491"/>
      <c r="E12" s="491"/>
      <c r="F12" s="52"/>
      <c r="G12" s="491"/>
      <c r="H12" s="491"/>
      <c r="I12" s="52"/>
      <c r="J12" s="52"/>
      <c r="K12" s="52"/>
      <c r="L12" s="52"/>
      <c r="M12" s="52"/>
      <c r="N12" s="52"/>
      <c r="O12" s="52"/>
      <c r="P12" s="52"/>
    </row>
    <row r="13" spans="1:16">
      <c r="B13" s="491"/>
      <c r="C13" s="52"/>
      <c r="D13" s="491"/>
      <c r="E13" s="491"/>
      <c r="F13" s="52"/>
      <c r="G13" s="491"/>
      <c r="H13" s="491"/>
      <c r="I13" s="52"/>
      <c r="J13" s="52"/>
      <c r="K13" s="52"/>
      <c r="L13" s="52"/>
      <c r="M13" s="52"/>
      <c r="N13" s="52"/>
      <c r="O13" s="52"/>
      <c r="P13" s="52"/>
    </row>
    <row r="14" spans="1:16">
      <c r="B14" s="491"/>
      <c r="C14" s="52"/>
      <c r="D14" s="491"/>
      <c r="E14" s="491"/>
      <c r="F14" s="52"/>
      <c r="G14" s="491"/>
      <c r="H14" s="491"/>
      <c r="I14" s="52"/>
      <c r="J14" s="52"/>
      <c r="K14" s="52"/>
      <c r="L14" s="52"/>
      <c r="M14" s="52"/>
      <c r="N14" s="52"/>
      <c r="O14" s="52"/>
      <c r="P14" s="52"/>
    </row>
    <row r="15" spans="1:16">
      <c r="B15" s="491"/>
      <c r="C15" s="52"/>
      <c r="D15" s="491"/>
      <c r="E15" s="491"/>
      <c r="F15" s="52"/>
      <c r="G15" s="491"/>
      <c r="H15" s="491"/>
      <c r="I15" s="52"/>
      <c r="J15" s="52"/>
      <c r="K15" s="52"/>
      <c r="L15" s="52"/>
      <c r="M15" s="52"/>
      <c r="N15" s="52"/>
      <c r="O15" s="52"/>
      <c r="P15" s="52"/>
    </row>
    <row r="16" spans="1:16">
      <c r="B16" s="491"/>
      <c r="C16" s="52"/>
      <c r="D16" s="491"/>
      <c r="E16" s="491"/>
      <c r="F16" s="52"/>
      <c r="G16" s="491"/>
      <c r="H16" s="491"/>
      <c r="I16" s="52"/>
      <c r="J16" s="52"/>
      <c r="K16" s="52"/>
      <c r="L16" s="52"/>
      <c r="M16" s="52"/>
      <c r="N16" s="52"/>
      <c r="O16" s="52"/>
      <c r="P16" s="52"/>
    </row>
    <row r="17" spans="1:16">
      <c r="B17" s="491"/>
      <c r="C17" s="52"/>
      <c r="D17" s="491"/>
      <c r="E17" s="491"/>
      <c r="F17" s="52"/>
      <c r="G17" s="491"/>
      <c r="H17" s="491"/>
      <c r="I17" s="52"/>
      <c r="J17" s="52"/>
      <c r="K17" s="52"/>
      <c r="L17" s="52"/>
      <c r="M17" s="52"/>
      <c r="N17" s="52"/>
      <c r="O17" s="52"/>
      <c r="P17" s="52"/>
    </row>
    <row r="18" spans="1:16">
      <c r="B18" s="491"/>
      <c r="C18" s="52"/>
      <c r="D18" s="491"/>
      <c r="E18" s="491"/>
      <c r="F18" s="52"/>
      <c r="G18" s="491"/>
      <c r="H18" s="491"/>
      <c r="I18" s="52"/>
      <c r="J18" s="52"/>
      <c r="K18" s="52"/>
      <c r="L18" s="52"/>
      <c r="M18" s="52"/>
      <c r="N18" s="52"/>
      <c r="O18" s="52"/>
      <c r="P18" s="52"/>
    </row>
    <row r="19" spans="1:16">
      <c r="B19" s="491"/>
      <c r="C19" s="52"/>
      <c r="D19" s="491"/>
      <c r="E19" s="491"/>
      <c r="F19" s="52"/>
      <c r="G19" s="491"/>
      <c r="H19" s="491"/>
      <c r="I19" s="52"/>
      <c r="J19" s="52"/>
      <c r="K19" s="52"/>
      <c r="L19" s="52"/>
      <c r="M19" s="52"/>
      <c r="N19" s="52"/>
      <c r="O19" s="52"/>
      <c r="P19" s="52"/>
    </row>
    <row r="20" spans="1:16">
      <c r="B20" s="491"/>
      <c r="C20" s="52"/>
      <c r="D20" s="491"/>
      <c r="E20" s="491"/>
      <c r="F20" s="52"/>
      <c r="G20" s="491"/>
      <c r="H20" s="491"/>
      <c r="I20" s="52"/>
      <c r="J20" s="52"/>
      <c r="K20" s="52"/>
      <c r="L20" s="52"/>
      <c r="M20" s="52"/>
      <c r="N20" s="52"/>
      <c r="O20" s="52"/>
      <c r="P20" s="52"/>
    </row>
    <row r="21" spans="1:16">
      <c r="B21" s="491"/>
      <c r="C21" s="52"/>
      <c r="D21" s="491"/>
      <c r="E21" s="491"/>
      <c r="F21" s="52"/>
      <c r="G21" s="491"/>
      <c r="H21" s="491"/>
      <c r="I21" s="52"/>
      <c r="J21" s="52"/>
      <c r="K21" s="52"/>
      <c r="L21" s="52"/>
      <c r="M21" s="52"/>
      <c r="N21" s="52"/>
      <c r="O21" s="52"/>
      <c r="P21" s="52"/>
    </row>
    <row r="22" spans="1:16">
      <c r="B22" s="491"/>
      <c r="C22" s="52"/>
      <c r="D22" s="491"/>
      <c r="E22" s="491"/>
      <c r="F22" s="52"/>
      <c r="G22" s="491"/>
      <c r="H22" s="491"/>
      <c r="I22" s="52"/>
      <c r="J22" s="52"/>
      <c r="K22" s="52"/>
      <c r="L22" s="52"/>
      <c r="M22" s="52"/>
      <c r="N22" s="52"/>
      <c r="O22" s="52"/>
      <c r="P22" s="52"/>
    </row>
    <row r="23" spans="1:16" ht="15.75" thickBot="1">
      <c r="B23" s="491"/>
      <c r="C23" s="52"/>
      <c r="D23" s="491"/>
      <c r="E23" s="491"/>
      <c r="F23" s="52"/>
      <c r="G23" s="491"/>
      <c r="H23" s="491"/>
      <c r="I23" s="52"/>
      <c r="J23" s="52"/>
      <c r="K23" s="52"/>
      <c r="L23" s="52"/>
      <c r="M23" s="52"/>
      <c r="N23" s="52"/>
      <c r="O23" s="52"/>
      <c r="P23" s="52"/>
    </row>
    <row r="24" spans="1:16" ht="15.75" thickBot="1">
      <c r="A24" s="494" t="s">
        <v>586</v>
      </c>
    </row>
    <row r="26" spans="1:16" s="487" customFormat="1">
      <c r="A26" s="496" t="s">
        <v>535</v>
      </c>
      <c r="B26" s="496">
        <f t="shared" ref="B26:H26" si="0">SUM(B4:B23)</f>
        <v>0</v>
      </c>
      <c r="C26" s="496"/>
      <c r="D26" s="496">
        <f t="shared" si="0"/>
        <v>0</v>
      </c>
      <c r="E26" s="496">
        <f t="shared" si="0"/>
        <v>0</v>
      </c>
      <c r="F26" s="496"/>
      <c r="G26" s="496">
        <f t="shared" si="0"/>
        <v>0</v>
      </c>
      <c r="H26" s="496">
        <f t="shared" si="0"/>
        <v>0</v>
      </c>
      <c r="I26" s="496"/>
      <c r="J26" s="496"/>
      <c r="K26" s="496"/>
      <c r="L26" s="496"/>
      <c r="M26" s="496"/>
      <c r="N26" s="496"/>
      <c r="O26" s="496"/>
      <c r="P26" s="496"/>
    </row>
    <row r="27" spans="1:16" s="487" customFormat="1">
      <c r="A27" s="496" t="s">
        <v>604</v>
      </c>
      <c r="B27" s="496">
        <f>B26</f>
        <v>0</v>
      </c>
      <c r="C27" s="496"/>
      <c r="D27" s="496">
        <f>D26</f>
        <v>0</v>
      </c>
      <c r="E27" s="496">
        <f>E26</f>
        <v>0</v>
      </c>
      <c r="F27" s="496"/>
      <c r="G27" s="496">
        <f>(1-transport!C35)*'Eigen vloot'!G26</f>
        <v>0</v>
      </c>
      <c r="H27" s="496">
        <f>(1-transport!C42)*'Eigen vloot'!H26</f>
        <v>0</v>
      </c>
      <c r="I27" s="496"/>
      <c r="J27" s="496"/>
      <c r="K27" s="496"/>
      <c r="L27" s="496"/>
      <c r="M27" s="697">
        <f>G26*transport!C35+'Eigen vloot'!H26*transport!C42</f>
        <v>0</v>
      </c>
      <c r="N27" s="496"/>
      <c r="O27" s="496"/>
      <c r="P27" s="496"/>
    </row>
    <row r="29" spans="1:16">
      <c r="A29" s="501" t="s">
        <v>613</v>
      </c>
      <c r="B29" s="526">
        <f ca="1">'EF ele_warmte'!B12</f>
        <v>0.20504171472650515</v>
      </c>
      <c r="C29" s="526">
        <f ca="1">'EF ele_warmte'!B22</f>
        <v>0</v>
      </c>
      <c r="D29" s="526">
        <f>EF_CO2_aardgas</f>
        <v>0.20200000000000001</v>
      </c>
      <c r="E29" s="526">
        <f>EF_VLgas_CO2</f>
        <v>0.22700000000000001</v>
      </c>
      <c r="F29" s="526">
        <f>EF_stookolie_CO2</f>
        <v>0.26700000000000002</v>
      </c>
      <c r="G29" s="526">
        <f>EF_diesel_CO2</f>
        <v>0.26700000000000002</v>
      </c>
      <c r="H29" s="526">
        <f>EF_benzine_CO2</f>
        <v>0.249</v>
      </c>
      <c r="I29" s="526">
        <f>EF_bruinkool_CO2</f>
        <v>0.35099999999999998</v>
      </c>
      <c r="J29" s="526">
        <f>EF_steenkool_CO2</f>
        <v>0.35399999999999998</v>
      </c>
      <c r="K29" s="526">
        <f>EF_anderfossiel_CO2</f>
        <v>0.26400000000000001</v>
      </c>
      <c r="L29" s="526">
        <f>'EF brandstof'!J4</f>
        <v>0</v>
      </c>
      <c r="M29" s="526">
        <f>'EF brandstof'!K4</f>
        <v>0</v>
      </c>
      <c r="N29" s="526">
        <f>'EF brandstof'!L4</f>
        <v>0</v>
      </c>
      <c r="O29" s="526">
        <v>0</v>
      </c>
      <c r="P29" s="526">
        <v>0</v>
      </c>
    </row>
    <row r="31" spans="1:16">
      <c r="A31" s="496" t="s">
        <v>213</v>
      </c>
      <c r="B31" s="698">
        <f ca="1">B27*B29</f>
        <v>0</v>
      </c>
      <c r="C31" s="698"/>
      <c r="D31" s="698">
        <f>D27*D29</f>
        <v>0</v>
      </c>
      <c r="E31" s="698">
        <f>E27*E29</f>
        <v>0</v>
      </c>
      <c r="F31" s="698"/>
      <c r="G31" s="698">
        <f>G27*G29</f>
        <v>0</v>
      </c>
      <c r="H31" s="698">
        <f>H27*H29</f>
        <v>0</v>
      </c>
      <c r="I31" s="698"/>
      <c r="J31" s="698"/>
      <c r="K31" s="698"/>
      <c r="L31" s="698"/>
      <c r="M31" s="698">
        <f>M27*M29</f>
        <v>0</v>
      </c>
      <c r="N31" s="524"/>
      <c r="O31" s="524"/>
      <c r="P31" s="524"/>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sheetPr codeName="Sheet22">
    <tabColor theme="8"/>
  </sheetPr>
  <dimension ref="A1:K63"/>
  <sheetViews>
    <sheetView showGridLines="0" topLeftCell="A10" workbookViewId="0">
      <selection activeCell="D44" sqref="D44"/>
    </sheetView>
  </sheetViews>
  <sheetFormatPr defaultRowHeight="15"/>
  <cols>
    <col min="1" max="1" width="54" bestFit="1" customWidth="1"/>
    <col min="2" max="2" width="26" style="476" bestFit="1" customWidth="1"/>
    <col min="3" max="3" width="26" customWidth="1"/>
    <col min="4" max="4" width="69.42578125" customWidth="1"/>
  </cols>
  <sheetData>
    <row r="1" spans="1:11" s="43" customFormat="1" ht="15.75" thickBot="1">
      <c r="B1" s="478"/>
    </row>
    <row r="2" spans="1:11" s="43" customFormat="1">
      <c r="A2" s="184" t="s">
        <v>532</v>
      </c>
      <c r="B2" s="527"/>
      <c r="C2" s="185"/>
      <c r="D2" s="186"/>
    </row>
    <row r="3" spans="1:11">
      <c r="A3" s="101"/>
      <c r="B3" s="528"/>
      <c r="C3" s="141" t="s">
        <v>182</v>
      </c>
      <c r="D3" s="144" t="s">
        <v>391</v>
      </c>
    </row>
    <row r="4" spans="1:11">
      <c r="A4" s="44" t="s">
        <v>447</v>
      </c>
      <c r="B4" s="47"/>
      <c r="C4" s="32"/>
      <c r="D4" s="143" t="s">
        <v>393</v>
      </c>
    </row>
    <row r="5" spans="1:11">
      <c r="A5" s="44"/>
      <c r="B5" s="48"/>
      <c r="C5" s="32"/>
      <c r="D5" s="143"/>
    </row>
    <row r="6" spans="1:11" s="10" customFormat="1" ht="21.75" thickBot="1">
      <c r="A6" s="189" t="s">
        <v>480</v>
      </c>
      <c r="B6" s="529"/>
      <c r="C6" s="190"/>
      <c r="D6" s="191"/>
    </row>
    <row r="7" spans="1:11" s="43" customFormat="1" ht="15.75" thickBot="1">
      <c r="B7" s="478"/>
    </row>
    <row r="8" spans="1:11" s="43" customFormat="1">
      <c r="A8" s="184" t="s">
        <v>545</v>
      </c>
      <c r="B8" s="527"/>
      <c r="C8" s="185"/>
      <c r="D8" s="186"/>
    </row>
    <row r="9" spans="1:11" s="32" customFormat="1">
      <c r="A9" s="46"/>
      <c r="B9" s="530"/>
      <c r="C9" s="42"/>
      <c r="D9" s="303"/>
    </row>
    <row r="10" spans="1:11">
      <c r="A10" s="304" t="s">
        <v>574</v>
      </c>
      <c r="B10" s="528"/>
      <c r="C10" s="141" t="s">
        <v>182</v>
      </c>
      <c r="D10" s="144" t="s">
        <v>391</v>
      </c>
      <c r="I10" s="1212"/>
      <c r="K10" s="58"/>
    </row>
    <row r="11" spans="1:11" s="43" customFormat="1">
      <c r="A11" s="44" t="s">
        <v>575</v>
      </c>
      <c r="B11" s="47"/>
      <c r="D11" s="142" t="s">
        <v>392</v>
      </c>
      <c r="I11" s="1212"/>
      <c r="K11" s="58"/>
    </row>
    <row r="12" spans="1:11" s="43" customFormat="1">
      <c r="A12" s="44" t="s">
        <v>576</v>
      </c>
      <c r="B12" s="47"/>
      <c r="D12" s="142" t="s">
        <v>392</v>
      </c>
      <c r="I12" s="1212"/>
      <c r="K12" s="58"/>
    </row>
    <row r="13" spans="1:11" s="43" customFormat="1">
      <c r="A13" s="44"/>
      <c r="B13" s="478"/>
      <c r="D13" s="96"/>
      <c r="I13" s="1212"/>
    </row>
    <row r="14" spans="1:11" s="43" customFormat="1">
      <c r="A14" s="304" t="s">
        <v>573</v>
      </c>
      <c r="B14" s="528"/>
      <c r="C14" s="141" t="s">
        <v>182</v>
      </c>
      <c r="D14" s="144" t="s">
        <v>391</v>
      </c>
      <c r="I14" s="1212"/>
    </row>
    <row r="15" spans="1:11" s="43" customFormat="1">
      <c r="A15" s="44" t="s">
        <v>71</v>
      </c>
      <c r="B15" s="47"/>
      <c r="D15" s="142" t="s">
        <v>392</v>
      </c>
      <c r="I15" s="1212"/>
      <c r="J15" s="1212"/>
    </row>
    <row r="16" spans="1:11" s="43" customFormat="1">
      <c r="A16" s="44" t="s">
        <v>537</v>
      </c>
      <c r="B16" s="47"/>
      <c r="D16" s="142" t="s">
        <v>392</v>
      </c>
      <c r="I16" s="1212"/>
      <c r="J16" s="1212"/>
    </row>
    <row r="17" spans="1:11" s="43" customFormat="1">
      <c r="A17" s="44" t="s">
        <v>78</v>
      </c>
      <c r="B17" s="47"/>
      <c r="D17" s="142" t="s">
        <v>392</v>
      </c>
      <c r="I17" s="1212"/>
      <c r="J17" s="1212"/>
    </row>
    <row r="18" spans="1:11" s="43" customFormat="1">
      <c r="A18" s="44" t="s">
        <v>538</v>
      </c>
      <c r="B18" s="47"/>
      <c r="D18" s="142" t="s">
        <v>392</v>
      </c>
      <c r="I18" s="1212"/>
      <c r="J18" s="1212"/>
      <c r="K18" s="58"/>
    </row>
    <row r="19" spans="1:11" s="43" customFormat="1">
      <c r="A19" s="44" t="s">
        <v>77</v>
      </c>
      <c r="B19" s="47"/>
      <c r="D19" s="142" t="s">
        <v>392</v>
      </c>
      <c r="I19" s="1212"/>
      <c r="J19" s="1213"/>
      <c r="K19" s="58"/>
    </row>
    <row r="20" spans="1:11" s="43" customFormat="1">
      <c r="A20" s="32" t="s">
        <v>539</v>
      </c>
      <c r="B20" s="47"/>
      <c r="D20" s="142" t="s">
        <v>392</v>
      </c>
      <c r="I20" s="305"/>
      <c r="J20" s="306"/>
      <c r="K20" s="58"/>
    </row>
    <row r="21" spans="1:11" s="43" customFormat="1">
      <c r="A21" s="32" t="s">
        <v>540</v>
      </c>
      <c r="B21" s="47"/>
      <c r="D21" s="142" t="s">
        <v>392</v>
      </c>
      <c r="I21" s="305"/>
      <c r="J21" s="306"/>
      <c r="K21" s="58"/>
    </row>
    <row r="22" spans="1:11" s="43" customFormat="1">
      <c r="A22" s="32" t="s">
        <v>541</v>
      </c>
      <c r="B22" s="47"/>
      <c r="D22" s="142" t="s">
        <v>392</v>
      </c>
      <c r="I22" s="305"/>
      <c r="J22" s="306"/>
      <c r="K22" s="58"/>
    </row>
    <row r="23" spans="1:11">
      <c r="A23" s="32" t="s">
        <v>542</v>
      </c>
      <c r="B23" s="47"/>
      <c r="C23" s="43"/>
      <c r="D23" s="142" t="s">
        <v>392</v>
      </c>
      <c r="I23" s="58"/>
      <c r="J23" s="58"/>
      <c r="K23" s="58"/>
    </row>
    <row r="24" spans="1:11">
      <c r="A24" s="32" t="s">
        <v>543</v>
      </c>
      <c r="B24" s="47"/>
      <c r="C24" s="43"/>
      <c r="D24" s="142" t="s">
        <v>392</v>
      </c>
      <c r="I24" s="58"/>
      <c r="J24" s="58"/>
      <c r="K24" s="58"/>
    </row>
    <row r="25" spans="1:11">
      <c r="A25" s="58"/>
      <c r="B25" s="48"/>
      <c r="C25" s="43"/>
      <c r="D25" s="142"/>
      <c r="I25" s="58"/>
      <c r="J25" s="58"/>
      <c r="K25" s="58"/>
    </row>
    <row r="26" spans="1:11" ht="21.75" thickBot="1">
      <c r="A26" s="189" t="s">
        <v>584</v>
      </c>
      <c r="B26" s="531"/>
      <c r="C26" s="108"/>
      <c r="D26" s="109"/>
      <c r="I26" s="58"/>
      <c r="J26" s="58"/>
      <c r="K26" s="58"/>
    </row>
    <row r="28" spans="1:11" ht="15.75" thickBot="1"/>
    <row r="29" spans="1:11" s="43" customFormat="1">
      <c r="A29" s="184" t="s">
        <v>533</v>
      </c>
      <c r="B29" s="527"/>
      <c r="C29" s="185"/>
      <c r="D29" s="186"/>
    </row>
    <row r="30" spans="1:11" s="32" customFormat="1">
      <c r="A30" s="46"/>
      <c r="B30" s="530"/>
      <c r="C30" s="42"/>
      <c r="D30" s="303"/>
    </row>
    <row r="31" spans="1:11">
      <c r="A31" s="304" t="s">
        <v>574</v>
      </c>
      <c r="B31" s="528"/>
      <c r="C31" s="141" t="s">
        <v>182</v>
      </c>
      <c r="D31" s="144" t="s">
        <v>391</v>
      </c>
    </row>
    <row r="32" spans="1:11">
      <c r="A32" s="468" t="s">
        <v>575</v>
      </c>
      <c r="B32" s="47"/>
      <c r="C32" s="48"/>
      <c r="D32" s="142" t="s">
        <v>392</v>
      </c>
    </row>
    <row r="33" spans="1:11">
      <c r="A33" s="44"/>
      <c r="B33" s="48"/>
      <c r="C33" s="48"/>
      <c r="D33" s="142"/>
    </row>
    <row r="34" spans="1:11" s="43" customFormat="1">
      <c r="A34" s="304" t="s">
        <v>573</v>
      </c>
      <c r="B34" s="528"/>
      <c r="C34" s="141" t="s">
        <v>182</v>
      </c>
      <c r="D34" s="144" t="s">
        <v>391</v>
      </c>
      <c r="I34"/>
    </row>
    <row r="35" spans="1:11" s="43" customFormat="1">
      <c r="A35" s="467" t="s">
        <v>71</v>
      </c>
      <c r="B35" s="47"/>
      <c r="D35" s="142" t="s">
        <v>392</v>
      </c>
      <c r="I35" s="1212"/>
      <c r="J35" s="1212"/>
    </row>
    <row r="36" spans="1:11" s="43" customFormat="1">
      <c r="A36" s="467" t="s">
        <v>537</v>
      </c>
      <c r="B36" s="47"/>
      <c r="D36" s="142" t="s">
        <v>392</v>
      </c>
      <c r="I36" s="1212"/>
      <c r="J36" s="1212"/>
    </row>
    <row r="37" spans="1:11" s="43" customFormat="1">
      <c r="A37" s="467" t="s">
        <v>78</v>
      </c>
      <c r="B37" s="47"/>
      <c r="D37" s="142" t="s">
        <v>392</v>
      </c>
      <c r="I37" s="1212"/>
      <c r="J37" s="1212"/>
    </row>
    <row r="38" spans="1:11" s="43" customFormat="1">
      <c r="A38" s="467" t="s">
        <v>538</v>
      </c>
      <c r="B38" s="47"/>
      <c r="D38" s="142" t="s">
        <v>392</v>
      </c>
      <c r="I38" s="1212"/>
      <c r="J38" s="1212"/>
      <c r="K38" s="58"/>
    </row>
    <row r="39" spans="1:11" s="43" customFormat="1">
      <c r="A39" s="467" t="s">
        <v>77</v>
      </c>
      <c r="B39" s="47"/>
      <c r="D39" s="142" t="s">
        <v>392</v>
      </c>
      <c r="I39" s="1212"/>
      <c r="J39" s="1213"/>
      <c r="K39" s="58"/>
    </row>
    <row r="40" spans="1:11" s="43" customFormat="1">
      <c r="A40" s="181" t="s">
        <v>539</v>
      </c>
      <c r="B40" s="48"/>
      <c r="D40" s="142" t="s">
        <v>392</v>
      </c>
      <c r="I40" s="305"/>
      <c r="J40" s="306"/>
      <c r="K40" s="58"/>
    </row>
    <row r="41" spans="1:11" s="43" customFormat="1">
      <c r="A41" s="181" t="s">
        <v>540</v>
      </c>
      <c r="B41" s="47"/>
      <c r="D41" s="142" t="s">
        <v>392</v>
      </c>
      <c r="I41" s="305"/>
      <c r="J41" s="306"/>
      <c r="K41" s="58"/>
    </row>
    <row r="42" spans="1:11" s="43" customFormat="1">
      <c r="A42" s="181" t="s">
        <v>541</v>
      </c>
      <c r="B42" s="47"/>
      <c r="D42" s="142" t="s">
        <v>392</v>
      </c>
      <c r="I42" s="305"/>
      <c r="J42" s="306"/>
      <c r="K42" s="58"/>
    </row>
    <row r="43" spans="1:11">
      <c r="A43" s="181" t="s">
        <v>542</v>
      </c>
      <c r="B43" s="47"/>
      <c r="C43" s="43"/>
      <c r="D43" s="142" t="s">
        <v>392</v>
      </c>
      <c r="I43" s="58"/>
      <c r="J43" s="58"/>
      <c r="K43" s="58"/>
    </row>
    <row r="44" spans="1:11">
      <c r="A44" s="181" t="s">
        <v>543</v>
      </c>
      <c r="B44" s="47"/>
      <c r="C44" s="43"/>
      <c r="D44" s="142" t="s">
        <v>392</v>
      </c>
      <c r="I44" s="58"/>
      <c r="J44" s="58"/>
      <c r="K44" s="58"/>
    </row>
    <row r="45" spans="1:11" s="15" customFormat="1" ht="21.75" thickBot="1">
      <c r="A45" s="189"/>
      <c r="B45" s="187"/>
      <c r="C45" s="153"/>
      <c r="D45" s="307"/>
      <c r="I45" s="58"/>
      <c r="J45" s="58"/>
      <c r="K45" s="58"/>
    </row>
    <row r="46" spans="1:11" s="15" customFormat="1">
      <c r="A46" s="58"/>
      <c r="B46" s="48"/>
      <c r="C46" s="32"/>
      <c r="D46" s="32"/>
      <c r="I46" s="58"/>
      <c r="J46" s="58"/>
      <c r="K46" s="58"/>
    </row>
    <row r="47" spans="1:11" ht="15.75" thickBot="1"/>
    <row r="48" spans="1:11" s="43" customFormat="1">
      <c r="A48" s="184" t="s">
        <v>390</v>
      </c>
      <c r="B48" s="527"/>
      <c r="C48" s="185"/>
      <c r="D48" s="186"/>
    </row>
    <row r="49" spans="1:4">
      <c r="A49" s="101"/>
      <c r="B49" s="528"/>
      <c r="C49" s="141" t="s">
        <v>182</v>
      </c>
      <c r="D49" s="144" t="s">
        <v>391</v>
      </c>
    </row>
    <row r="50" spans="1:4">
      <c r="A50" s="44" t="s">
        <v>577</v>
      </c>
      <c r="B50" s="47"/>
      <c r="C50" s="32"/>
      <c r="D50" s="143" t="s">
        <v>393</v>
      </c>
    </row>
    <row r="51" spans="1:4">
      <c r="A51" s="44" t="s">
        <v>578</v>
      </c>
      <c r="B51" s="47"/>
      <c r="C51" s="32"/>
      <c r="D51" s="143" t="s">
        <v>393</v>
      </c>
    </row>
    <row r="52" spans="1:4" ht="15.75" thickBot="1">
      <c r="A52" s="45"/>
      <c r="B52" s="187"/>
      <c r="C52" s="153"/>
      <c r="D52" s="192"/>
    </row>
    <row r="54" spans="1:4" ht="15.75" thickBot="1"/>
    <row r="55" spans="1:4" s="43" customFormat="1">
      <c r="A55" s="184" t="s">
        <v>534</v>
      </c>
      <c r="B55" s="527"/>
      <c r="C55" s="185"/>
      <c r="D55" s="186"/>
    </row>
    <row r="56" spans="1:4">
      <c r="A56" s="101"/>
      <c r="B56" s="528"/>
      <c r="C56" s="141" t="s">
        <v>182</v>
      </c>
      <c r="D56" s="144" t="s">
        <v>391</v>
      </c>
    </row>
    <row r="57" spans="1:4">
      <c r="A57" s="44" t="s">
        <v>579</v>
      </c>
      <c r="B57" s="47"/>
      <c r="C57" s="32"/>
      <c r="D57" s="142" t="s">
        <v>155</v>
      </c>
    </row>
    <row r="58" spans="1:4">
      <c r="A58" s="44" t="s">
        <v>580</v>
      </c>
      <c r="B58" s="47"/>
      <c r="C58" s="32"/>
      <c r="D58" s="142" t="s">
        <v>156</v>
      </c>
    </row>
    <row r="59" spans="1:4">
      <c r="A59" s="44" t="s">
        <v>581</v>
      </c>
      <c r="B59" s="47"/>
      <c r="C59" s="48"/>
      <c r="D59" s="142" t="s">
        <v>389</v>
      </c>
    </row>
    <row r="60" spans="1:4">
      <c r="A60" s="44" t="s">
        <v>582</v>
      </c>
      <c r="B60" s="47"/>
      <c r="C60" s="48"/>
      <c r="D60" s="142" t="s">
        <v>112</v>
      </c>
    </row>
    <row r="61" spans="1:4">
      <c r="A61" s="44"/>
      <c r="B61" s="48"/>
      <c r="C61" s="48"/>
      <c r="D61" s="142"/>
    </row>
    <row r="62" spans="1:4" ht="21.75" thickBot="1">
      <c r="A62" s="189" t="s">
        <v>536</v>
      </c>
      <c r="B62" s="187"/>
      <c r="C62" s="187"/>
      <c r="D62" s="188"/>
    </row>
    <row r="63" spans="1:4" s="43" customFormat="1">
      <c r="B63" s="478"/>
    </row>
  </sheetData>
  <mergeCells count="11">
    <mergeCell ref="I19:J19"/>
    <mergeCell ref="I10:I14"/>
    <mergeCell ref="I15:J15"/>
    <mergeCell ref="I16:J16"/>
    <mergeCell ref="I17:J17"/>
    <mergeCell ref="I18:J18"/>
    <mergeCell ref="I35:J35"/>
    <mergeCell ref="I36:J36"/>
    <mergeCell ref="I37:J37"/>
    <mergeCell ref="I38:J38"/>
    <mergeCell ref="I39:J39"/>
  </mergeCells>
  <hyperlinks>
    <hyperlink ref="D57" location="huishoudens!C5" display="huishoudens"/>
    <hyperlink ref="D58" location="tertiair!C5" display="tertiair"/>
    <hyperlink ref="D59" location="industrie!C5" display="industrie"/>
    <hyperlink ref="D60" location="landbouw!C5" display="landbouw"/>
    <hyperlink ref="D32" location="'lokale energieproductie'!B18" display="lokale energieproductie"/>
    <hyperlink ref="D50:D51" location="'EF ele_warmte'!B10" display="EF ele_warmte"/>
    <hyperlink ref="D50" location="'EF ele_warmte'!B18" display="EF ele_warmte"/>
    <hyperlink ref="D51"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8" display="lokale energieproductie"/>
    <hyperlink ref="D37" location="'lokale energieproductie'!E18" display="lokale energieproductie"/>
    <hyperlink ref="D39" location="'lokale energieproductie'!G18" display="lokale energieproductie"/>
    <hyperlink ref="D41" location="'lokale energieproductie'!I18" display="lokale energieproductie"/>
    <hyperlink ref="D43" location="'lokale energieproductie'!K18" display="lokale energieproductie"/>
    <hyperlink ref="D36" location="'lokale energieproductie'!D18" display="lokale energieproductie"/>
    <hyperlink ref="D38" location="'lokale energieproductie'!F18" display="lokale energieproductie"/>
    <hyperlink ref="D40" location="'lokale energieproductie'!H18" display="lokale energieproductie"/>
    <hyperlink ref="D42" location="'lokale energieproductie'!J18" display="lokale energieproductie"/>
    <hyperlink ref="D44" location="'lokale energieproductie'!L18" display="lokale energieproductie"/>
  </hyperlink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sheetPr codeName="Sheet24">
    <tabColor theme="8"/>
  </sheetPr>
  <dimension ref="A1:J36"/>
  <sheetViews>
    <sheetView showGridLines="0" topLeftCell="A7" zoomScaleNormal="100" workbookViewId="0">
      <selection activeCell="B2" sqref="B2"/>
    </sheetView>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59" t="s">
        <v>599</v>
      </c>
      <c r="B1" s="660"/>
      <c r="C1" s="660"/>
      <c r="D1" s="660"/>
      <c r="E1" s="661"/>
    </row>
    <row r="2" spans="1:5">
      <c r="A2" s="672" t="s">
        <v>394</v>
      </c>
      <c r="B2" s="677" t="s">
        <v>524</v>
      </c>
      <c r="C2" s="673"/>
      <c r="D2" s="673"/>
      <c r="E2" s="674"/>
    </row>
    <row r="3" spans="1:5">
      <c r="A3" s="675"/>
      <c r="B3" s="676"/>
      <c r="C3" s="664"/>
      <c r="D3" s="664"/>
      <c r="E3" s="665"/>
    </row>
    <row r="4" spans="1:5" s="334" customFormat="1" ht="45">
      <c r="A4" s="663" t="s">
        <v>603</v>
      </c>
      <c r="B4" s="671" t="s">
        <v>592</v>
      </c>
      <c r="C4" s="692" t="s">
        <v>614</v>
      </c>
      <c r="D4" s="693" t="s">
        <v>615</v>
      </c>
      <c r="E4" s="694" t="s">
        <v>616</v>
      </c>
    </row>
    <row r="5" spans="1:5">
      <c r="A5" s="666" t="s">
        <v>593</v>
      </c>
      <c r="B5" s="658" t="s">
        <v>594</v>
      </c>
      <c r="C5" s="689">
        <v>3.678273E-2</v>
      </c>
      <c r="D5" s="690">
        <v>0.27778000000000003</v>
      </c>
      <c r="E5" s="682">
        <f>C5*D5</f>
        <v>1.0217506739400001E-2</v>
      </c>
    </row>
    <row r="6" spans="1:5">
      <c r="A6" s="666" t="s">
        <v>593</v>
      </c>
      <c r="B6" s="658" t="s">
        <v>595</v>
      </c>
      <c r="C6" s="689">
        <v>4.2278999999999997E-2</v>
      </c>
      <c r="D6" s="690">
        <v>0.27778000000000003</v>
      </c>
      <c r="E6" s="682">
        <f t="shared" ref="E6:E21" si="0">C6*D6</f>
        <v>1.174426062E-2</v>
      </c>
    </row>
    <row r="7" spans="1:5">
      <c r="A7" s="666" t="s">
        <v>593</v>
      </c>
      <c r="B7" s="658" t="s">
        <v>596</v>
      </c>
      <c r="C7" s="689">
        <v>42.279000000000003</v>
      </c>
      <c r="D7" s="690">
        <v>0.27778000000000003</v>
      </c>
      <c r="E7" s="682">
        <f t="shared" si="0"/>
        <v>11.744260620000002</v>
      </c>
    </row>
    <row r="8" spans="1:5">
      <c r="A8" s="666" t="s">
        <v>597</v>
      </c>
      <c r="B8" s="658" t="s">
        <v>594</v>
      </c>
      <c r="C8" s="689">
        <v>3.8573799999999998E-2</v>
      </c>
      <c r="D8" s="690">
        <v>0.27778000000000003</v>
      </c>
      <c r="E8" s="682">
        <f t="shared" si="0"/>
        <v>1.0715030164E-2</v>
      </c>
    </row>
    <row r="9" spans="1:5">
      <c r="A9" s="666" t="s">
        <v>597</v>
      </c>
      <c r="B9" s="658" t="s">
        <v>595</v>
      </c>
      <c r="C9" s="689">
        <v>4.0604000000000001E-2</v>
      </c>
      <c r="D9" s="690">
        <v>0.27778000000000003</v>
      </c>
      <c r="E9" s="682">
        <f t="shared" si="0"/>
        <v>1.1278979120000001E-2</v>
      </c>
    </row>
    <row r="10" spans="1:5">
      <c r="A10" s="666" t="s">
        <v>597</v>
      </c>
      <c r="B10" s="658" t="s">
        <v>596</v>
      </c>
      <c r="C10" s="689">
        <v>40.603999999999999</v>
      </c>
      <c r="D10" s="690">
        <v>0.27778000000000003</v>
      </c>
      <c r="E10" s="682">
        <f t="shared" si="0"/>
        <v>11.278979120000001</v>
      </c>
    </row>
    <row r="11" spans="1:5">
      <c r="A11" s="666" t="s">
        <v>617</v>
      </c>
      <c r="B11" s="658" t="s">
        <v>594</v>
      </c>
      <c r="C11" s="689">
        <v>2.3511000000000001E-2</v>
      </c>
      <c r="D11" s="690">
        <v>0.27778000000000003</v>
      </c>
      <c r="E11" s="682">
        <f t="shared" si="0"/>
        <v>6.5308855800000004E-3</v>
      </c>
    </row>
    <row r="12" spans="1:5">
      <c r="A12" s="666" t="s">
        <v>617</v>
      </c>
      <c r="B12" s="658" t="s">
        <v>595</v>
      </c>
      <c r="C12" s="689">
        <v>4.6100000000000002E-2</v>
      </c>
      <c r="D12" s="690">
        <v>0.27778000000000003</v>
      </c>
      <c r="E12" s="682">
        <f t="shared" si="0"/>
        <v>1.2805658000000001E-2</v>
      </c>
    </row>
    <row r="13" spans="1:5">
      <c r="A13" s="666" t="s">
        <v>617</v>
      </c>
      <c r="B13" s="658" t="s">
        <v>596</v>
      </c>
      <c r="C13" s="689">
        <v>46.1</v>
      </c>
      <c r="D13" s="690">
        <v>0.27778000000000003</v>
      </c>
      <c r="E13" s="682">
        <f t="shared" si="0"/>
        <v>12.805658000000001</v>
      </c>
    </row>
    <row r="14" spans="1:5">
      <c r="A14" s="666" t="s">
        <v>618</v>
      </c>
      <c r="B14" s="658" t="s">
        <v>594</v>
      </c>
      <c r="C14" s="689">
        <v>2.6525139999999999E-2</v>
      </c>
      <c r="D14" s="690">
        <v>0.27778000000000003</v>
      </c>
      <c r="E14" s="682">
        <f t="shared" si="0"/>
        <v>7.3681533892000009E-3</v>
      </c>
    </row>
    <row r="15" spans="1:5">
      <c r="A15" s="666" t="s">
        <v>618</v>
      </c>
      <c r="B15" s="658" t="s">
        <v>595</v>
      </c>
      <c r="C15" s="689">
        <v>4.5733000000000003E-2</v>
      </c>
      <c r="D15" s="690">
        <v>0.27778000000000003</v>
      </c>
      <c r="E15" s="682">
        <f t="shared" si="0"/>
        <v>1.2703712740000001E-2</v>
      </c>
    </row>
    <row r="16" spans="1:5">
      <c r="A16" s="666" t="s">
        <v>618</v>
      </c>
      <c r="B16" s="658" t="s">
        <v>596</v>
      </c>
      <c r="C16" s="689">
        <v>45.732999999999997</v>
      </c>
      <c r="D16" s="690">
        <v>0.27778000000000003</v>
      </c>
      <c r="E16" s="682">
        <f t="shared" si="0"/>
        <v>12.70371274</v>
      </c>
    </row>
    <row r="17" spans="1:10">
      <c r="A17" s="666" t="s">
        <v>601</v>
      </c>
      <c r="B17" s="658" t="s">
        <v>598</v>
      </c>
      <c r="C17" s="689">
        <v>3.2923000000000001E-2</v>
      </c>
      <c r="D17" s="690">
        <f>0.27778</f>
        <v>0.27778000000000003</v>
      </c>
      <c r="E17" s="682">
        <f t="shared" si="0"/>
        <v>9.1453509400000015E-3</v>
      </c>
    </row>
    <row r="18" spans="1:10">
      <c r="A18" s="666" t="s">
        <v>602</v>
      </c>
      <c r="B18" s="658" t="s">
        <v>598</v>
      </c>
      <c r="C18" s="689">
        <v>3.8852400000000002E-2</v>
      </c>
      <c r="D18" s="690">
        <f>0.27778</f>
        <v>0.27778000000000003</v>
      </c>
      <c r="E18" s="682">
        <f t="shared" si="0"/>
        <v>1.0792419672000002E-2</v>
      </c>
    </row>
    <row r="19" spans="1:10">
      <c r="A19" s="666" t="s">
        <v>605</v>
      </c>
      <c r="B19" s="658" t="s">
        <v>594</v>
      </c>
      <c r="C19" s="689">
        <v>2.4812460000000001E-2</v>
      </c>
      <c r="D19" s="690">
        <v>0.27778000000000003</v>
      </c>
      <c r="E19" s="682">
        <f t="shared" si="0"/>
        <v>6.8924051388000009E-3</v>
      </c>
    </row>
    <row r="20" spans="1:10">
      <c r="A20" s="666" t="s">
        <v>605</v>
      </c>
      <c r="B20" s="658" t="s">
        <v>595</v>
      </c>
      <c r="C20" s="689">
        <v>4.5948999999999997E-2</v>
      </c>
      <c r="D20" s="690">
        <v>0.27778000000000003</v>
      </c>
      <c r="E20" s="682">
        <f t="shared" si="0"/>
        <v>1.276371322E-2</v>
      </c>
    </row>
    <row r="21" spans="1:10">
      <c r="A21" s="666" t="s">
        <v>605</v>
      </c>
      <c r="B21" s="658" t="s">
        <v>596</v>
      </c>
      <c r="C21" s="689">
        <v>45.948999999999998</v>
      </c>
      <c r="D21" s="690">
        <v>0.27778000000000003</v>
      </c>
      <c r="E21" s="682">
        <f t="shared" si="0"/>
        <v>12.763713220000001</v>
      </c>
    </row>
    <row r="22" spans="1:10" ht="15.75" thickBot="1">
      <c r="A22" s="687"/>
      <c r="B22" s="669"/>
      <c r="C22" s="691"/>
      <c r="D22" s="691"/>
      <c r="E22" s="670"/>
    </row>
    <row r="23" spans="1:10" ht="15.75" thickBot="1">
      <c r="A23" s="662"/>
      <c r="B23" s="662"/>
      <c r="C23" s="662"/>
      <c r="D23" s="662"/>
      <c r="E23" s="662"/>
    </row>
    <row r="24" spans="1:10" ht="15.75" thickBot="1">
      <c r="A24" s="659" t="s">
        <v>600</v>
      </c>
      <c r="B24" s="660"/>
      <c r="C24" s="660"/>
      <c r="D24" s="660"/>
      <c r="E24" s="661"/>
    </row>
    <row r="25" spans="1:10">
      <c r="A25" s="686" t="s">
        <v>394</v>
      </c>
      <c r="B25" s="664" t="s">
        <v>667</v>
      </c>
      <c r="C25" s="664"/>
      <c r="D25" s="664"/>
      <c r="E25" s="665"/>
    </row>
    <row r="26" spans="1:10">
      <c r="A26" s="44"/>
      <c r="B26" s="43"/>
      <c r="C26" s="43"/>
      <c r="D26" s="43"/>
      <c r="E26" s="96"/>
    </row>
    <row r="27" spans="1:10" s="334" customFormat="1">
      <c r="A27" s="663" t="s">
        <v>603</v>
      </c>
      <c r="B27" s="671" t="s">
        <v>592</v>
      </c>
      <c r="C27" s="679"/>
      <c r="D27" s="678"/>
      <c r="E27" s="694" t="s">
        <v>607</v>
      </c>
    </row>
    <row r="28" spans="1:10">
      <c r="A28" s="666" t="s">
        <v>202</v>
      </c>
      <c r="B28" s="658" t="s">
        <v>594</v>
      </c>
      <c r="C28" s="680"/>
      <c r="D28" s="681"/>
      <c r="E28" s="688">
        <f>E29*0.853</f>
        <v>1.0116343055555555E-2</v>
      </c>
      <c r="G28" s="662"/>
      <c r="H28" s="798"/>
      <c r="I28" s="798"/>
      <c r="J28" s="798"/>
    </row>
    <row r="29" spans="1:10">
      <c r="A29" s="666" t="s">
        <v>202</v>
      </c>
      <c r="B29" s="658" t="s">
        <v>595</v>
      </c>
      <c r="C29" s="680"/>
      <c r="D29" s="681"/>
      <c r="E29" s="688">
        <f>0.042695/3.6</f>
        <v>1.1859722222222221E-2</v>
      </c>
      <c r="F29" s="913"/>
      <c r="G29" s="662"/>
      <c r="H29" s="798"/>
      <c r="I29" s="798"/>
      <c r="J29" s="798"/>
    </row>
    <row r="30" spans="1:10">
      <c r="A30" s="666" t="s">
        <v>120</v>
      </c>
      <c r="B30" s="658" t="s">
        <v>594</v>
      </c>
      <c r="C30" s="680"/>
      <c r="D30" s="681"/>
      <c r="E30" s="688">
        <f>E31*0.755</f>
        <v>9.1803805555555566E-3</v>
      </c>
      <c r="H30" s="798"/>
      <c r="I30" s="798"/>
      <c r="J30" s="798"/>
    </row>
    <row r="31" spans="1:10">
      <c r="A31" s="666" t="s">
        <v>120</v>
      </c>
      <c r="B31" s="658" t="s">
        <v>595</v>
      </c>
      <c r="C31" s="680"/>
      <c r="D31" s="681"/>
      <c r="E31" s="688">
        <f>0.043774/3.6</f>
        <v>1.2159444444444445E-2</v>
      </c>
      <c r="H31" s="798"/>
      <c r="I31" s="798"/>
      <c r="J31" s="798"/>
    </row>
    <row r="32" spans="1:10">
      <c r="A32" s="666" t="s">
        <v>605</v>
      </c>
      <c r="B32" s="658" t="s">
        <v>594</v>
      </c>
      <c r="C32" s="680"/>
      <c r="D32" s="681"/>
      <c r="E32" s="688">
        <f>E33*0.55</f>
        <v>7.1139444444444453E-3</v>
      </c>
      <c r="H32" s="798"/>
    </row>
    <row r="33" spans="1:8">
      <c r="A33" s="666" t="s">
        <v>605</v>
      </c>
      <c r="B33" s="658" t="s">
        <v>595</v>
      </c>
      <c r="C33" s="680"/>
      <c r="D33" s="681"/>
      <c r="E33" s="688">
        <f>0.046564/3.6</f>
        <v>1.2934444444444445E-2</v>
      </c>
      <c r="H33" s="798"/>
    </row>
    <row r="34" spans="1:8">
      <c r="A34" s="666" t="s">
        <v>606</v>
      </c>
      <c r="B34" s="658" t="s">
        <v>594</v>
      </c>
      <c r="C34" s="680"/>
      <c r="D34" s="681"/>
      <c r="E34" s="688">
        <f>E35*0.0007</f>
        <v>9.3333333333333326E-6</v>
      </c>
      <c r="H34" s="798"/>
    </row>
    <row r="35" spans="1:8">
      <c r="A35" s="666" t="s">
        <v>606</v>
      </c>
      <c r="B35" s="658" t="s">
        <v>595</v>
      </c>
      <c r="C35" s="680"/>
      <c r="D35" s="681"/>
      <c r="E35" s="688">
        <f>0.048/3.6</f>
        <v>1.3333333333333332E-2</v>
      </c>
      <c r="H35" s="798"/>
    </row>
    <row r="36" spans="1:8" ht="15.75" thickBot="1">
      <c r="A36" s="667"/>
      <c r="B36" s="668"/>
      <c r="C36" s="683"/>
      <c r="D36" s="684"/>
      <c r="E36" s="685"/>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sheetPr codeName="Sheet25">
    <tabColor theme="0" tint="-0.34998626667073579"/>
  </sheetPr>
  <dimension ref="A1:C29"/>
  <sheetViews>
    <sheetView showGridLines="0" workbookViewId="0">
      <selection activeCell="C22" sqref="C22"/>
    </sheetView>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445</v>
      </c>
      <c r="B2" s="110"/>
      <c r="C2" s="111"/>
    </row>
    <row r="3" spans="1:3" s="15" customFormat="1" ht="15.75">
      <c r="A3" s="98"/>
      <c r="B3" s="70"/>
      <c r="C3" s="99"/>
    </row>
    <row r="4" spans="1:3">
      <c r="A4" s="95" t="s">
        <v>363</v>
      </c>
      <c r="B4" s="69" t="s">
        <v>375</v>
      </c>
      <c r="C4" s="100" t="s">
        <v>374</v>
      </c>
    </row>
    <row r="5" spans="1:3">
      <c r="A5" s="112"/>
      <c r="B5" s="43"/>
      <c r="C5" s="96"/>
    </row>
    <row r="6" spans="1:3" s="11" customFormat="1">
      <c r="A6" s="113" t="s">
        <v>458</v>
      </c>
      <c r="B6" s="130" t="s">
        <v>459</v>
      </c>
      <c r="C6" s="131" t="s">
        <v>461</v>
      </c>
    </row>
    <row r="7" spans="1:3" s="11" customFormat="1">
      <c r="A7" s="123"/>
      <c r="B7" s="158"/>
      <c r="C7" s="159" t="s">
        <v>619</v>
      </c>
    </row>
    <row r="8" spans="1:3" s="11" customFormat="1">
      <c r="A8" s="132"/>
      <c r="B8" s="133"/>
      <c r="C8" s="134"/>
    </row>
    <row r="9" spans="1:3" s="11" customFormat="1">
      <c r="A9" s="113" t="s">
        <v>460</v>
      </c>
      <c r="B9" s="130" t="s">
        <v>463</v>
      </c>
      <c r="C9" s="131" t="s">
        <v>520</v>
      </c>
    </row>
    <row r="10" spans="1:3" s="11" customFormat="1">
      <c r="A10" s="132"/>
      <c r="B10" s="133"/>
      <c r="C10" s="134"/>
    </row>
    <row r="11" spans="1:3" s="11" customFormat="1" ht="18">
      <c r="A11" s="113" t="s">
        <v>462</v>
      </c>
      <c r="B11" s="130" t="s">
        <v>464</v>
      </c>
      <c r="C11" s="156" t="s">
        <v>518</v>
      </c>
    </row>
    <row r="12" spans="1:3" s="11" customFormat="1">
      <c r="A12" s="132"/>
      <c r="B12" s="133"/>
      <c r="C12" s="134"/>
    </row>
    <row r="13" spans="1:3" s="11" customFormat="1" ht="18">
      <c r="A13" s="113" t="s">
        <v>465</v>
      </c>
      <c r="B13" s="130" t="s">
        <v>466</v>
      </c>
      <c r="C13" s="157" t="s">
        <v>519</v>
      </c>
    </row>
    <row r="14" spans="1:3" s="11" customFormat="1">
      <c r="A14" s="132"/>
      <c r="B14" s="133"/>
      <c r="C14" s="134"/>
    </row>
    <row r="15" spans="1:3" s="11" customFormat="1" ht="18">
      <c r="A15" s="113" t="s">
        <v>467</v>
      </c>
      <c r="B15" t="s">
        <v>471</v>
      </c>
      <c r="C15" s="131" t="s">
        <v>521</v>
      </c>
    </row>
    <row r="16" spans="1:3" s="11" customFormat="1">
      <c r="A16" s="132"/>
      <c r="B16" s="133"/>
      <c r="C16" s="134"/>
    </row>
    <row r="17" spans="1:3" s="11" customFormat="1" ht="30">
      <c r="A17" s="113" t="s">
        <v>393</v>
      </c>
      <c r="B17" s="130" t="s">
        <v>472</v>
      </c>
      <c r="C17" s="131" t="s">
        <v>522</v>
      </c>
    </row>
    <row r="18" spans="1:3" s="11" customFormat="1">
      <c r="A18" s="132"/>
      <c r="B18" s="133"/>
      <c r="C18" s="134" t="s">
        <v>468</v>
      </c>
    </row>
    <row r="19" spans="1:3" s="11" customFormat="1" ht="30">
      <c r="A19" s="113" t="s">
        <v>469</v>
      </c>
      <c r="B19" s="130" t="s">
        <v>473</v>
      </c>
      <c r="C19" s="131" t="s">
        <v>523</v>
      </c>
    </row>
    <row r="20" spans="1:3" s="11" customFormat="1">
      <c r="A20" s="132"/>
      <c r="B20" s="133"/>
      <c r="C20" s="134"/>
    </row>
    <row r="21" spans="1:3" s="11" customFormat="1" ht="30">
      <c r="A21" s="113" t="s">
        <v>470</v>
      </c>
      <c r="B21" s="130" t="s">
        <v>686</v>
      </c>
      <c r="C21" s="131" t="s">
        <v>587</v>
      </c>
    </row>
    <row r="22" spans="1:3" s="11" customFormat="1">
      <c r="A22" s="140"/>
      <c r="B22" s="158"/>
      <c r="C22" s="159"/>
    </row>
    <row r="23" spans="1:3" ht="21">
      <c r="A23" s="126" t="s">
        <v>475</v>
      </c>
      <c r="B23" s="125"/>
      <c r="C23" s="122"/>
    </row>
    <row r="29" spans="1:3">
      <c r="B29" t="s">
        <v>236</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sheetPr codeName="Sheet2">
    <tabColor theme="0" tint="-0.34998626667073579"/>
  </sheetPr>
  <dimension ref="A1:F134"/>
  <sheetViews>
    <sheetView topLeftCell="A71" zoomScaleNormal="100" workbookViewId="0">
      <selection sqref="A1:XFD1048576"/>
    </sheetView>
  </sheetViews>
  <sheetFormatPr defaultRowHeight="15"/>
  <cols>
    <col min="1" max="1" width="68.85546875" style="334" bestFit="1" customWidth="1"/>
    <col min="2" max="2" width="59.42578125" style="334" bestFit="1" customWidth="1"/>
    <col min="3" max="4" width="28.7109375" style="334" customWidth="1"/>
    <col min="5" max="5" width="44.28515625" style="334" customWidth="1"/>
    <col min="6" max="6" width="35" style="334" bestFit="1" customWidth="1"/>
    <col min="7" max="16384" width="9.140625" style="334"/>
  </cols>
  <sheetData>
    <row r="1" spans="1:6" ht="62.45" customHeight="1" thickTop="1" thickBot="1">
      <c r="A1" s="136">
        <v>73098</v>
      </c>
      <c r="B1" s="332"/>
      <c r="C1" s="332"/>
      <c r="D1" s="332"/>
      <c r="E1" s="332"/>
      <c r="F1" s="333"/>
    </row>
    <row r="3" spans="1:6" ht="19.5">
      <c r="A3" s="335" t="s">
        <v>0</v>
      </c>
    </row>
    <row r="4" spans="1:6" ht="22.5">
      <c r="A4" s="1305" t="s">
        <v>899</v>
      </c>
    </row>
    <row r="5" spans="1:6" ht="22.5">
      <c r="A5" s="1305" t="s">
        <v>900</v>
      </c>
    </row>
    <row r="6" spans="1:6" ht="15.75" thickBot="1"/>
    <row r="7" spans="1:6" ht="20.25" thickBot="1">
      <c r="A7" s="336" t="s">
        <v>1</v>
      </c>
      <c r="B7" s="337" t="s">
        <v>394</v>
      </c>
      <c r="C7" s="337" t="s">
        <v>709</v>
      </c>
      <c r="D7" s="337"/>
      <c r="E7" s="337"/>
      <c r="F7" s="338"/>
    </row>
    <row r="8" spans="1:6" ht="16.5" thickTop="1" thickBot="1">
      <c r="A8" s="339" t="s">
        <v>4</v>
      </c>
      <c r="B8" s="340">
        <v>2014</v>
      </c>
      <c r="C8" s="340">
        <v>2020</v>
      </c>
      <c r="D8" s="332"/>
      <c r="E8" s="332"/>
      <c r="F8" s="333"/>
    </row>
    <row r="9" spans="1:6">
      <c r="A9" s="341" t="s">
        <v>2</v>
      </c>
      <c r="B9" s="342">
        <v>3044</v>
      </c>
      <c r="C9" s="342">
        <v>3292</v>
      </c>
      <c r="D9" s="342"/>
      <c r="E9" s="342"/>
      <c r="F9" s="342"/>
    </row>
    <row r="10" spans="1:6">
      <c r="A10" s="343"/>
    </row>
    <row r="11" spans="1:6" ht="15.75" thickBot="1">
      <c r="A11" s="343"/>
    </row>
    <row r="12" spans="1:6" ht="20.25" thickBot="1">
      <c r="A12" s="336" t="s">
        <v>3</v>
      </c>
      <c r="B12" s="337" t="s">
        <v>394</v>
      </c>
      <c r="C12" s="337" t="s">
        <v>739</v>
      </c>
      <c r="D12" s="337"/>
      <c r="E12" s="337"/>
      <c r="F12" s="344"/>
    </row>
    <row r="13" spans="1:6" ht="16.5" thickTop="1" thickBot="1">
      <c r="A13" s="345" t="s">
        <v>4</v>
      </c>
      <c r="B13" s="346" t="s">
        <v>5</v>
      </c>
      <c r="C13" s="346"/>
      <c r="D13" s="346"/>
      <c r="E13" s="346"/>
      <c r="F13" s="347"/>
    </row>
    <row r="14" spans="1:6">
      <c r="A14" s="348" t="s">
        <v>746</v>
      </c>
      <c r="B14" s="334">
        <v>1547</v>
      </c>
    </row>
    <row r="15" spans="1:6">
      <c r="A15" s="348" t="s">
        <v>184</v>
      </c>
      <c r="B15" s="334">
        <v>7</v>
      </c>
    </row>
    <row r="16" spans="1:6">
      <c r="A16" s="348" t="s">
        <v>6</v>
      </c>
      <c r="B16" s="334">
        <v>243</v>
      </c>
    </row>
    <row r="17" spans="1:6">
      <c r="A17" s="348" t="s">
        <v>7</v>
      </c>
      <c r="B17" s="334">
        <v>79</v>
      </c>
    </row>
    <row r="18" spans="1:6">
      <c r="A18" s="348" t="s">
        <v>8</v>
      </c>
      <c r="B18" s="334">
        <v>192</v>
      </c>
    </row>
    <row r="19" spans="1:6">
      <c r="A19" s="348" t="s">
        <v>9</v>
      </c>
      <c r="B19" s="334">
        <v>172</v>
      </c>
    </row>
    <row r="20" spans="1:6">
      <c r="A20" s="348" t="s">
        <v>10</v>
      </c>
      <c r="B20" s="334">
        <v>93</v>
      </c>
    </row>
    <row r="21" spans="1:6">
      <c r="A21" s="348" t="s">
        <v>11</v>
      </c>
      <c r="B21" s="334">
        <v>491</v>
      </c>
    </row>
    <row r="22" spans="1:6">
      <c r="A22" s="348" t="s">
        <v>12</v>
      </c>
      <c r="B22" s="334">
        <v>2220</v>
      </c>
    </row>
    <row r="23" spans="1:6">
      <c r="A23" s="348" t="s">
        <v>13</v>
      </c>
      <c r="B23" s="334">
        <v>18</v>
      </c>
    </row>
    <row r="24" spans="1:6">
      <c r="A24" s="348" t="s">
        <v>14</v>
      </c>
      <c r="B24" s="334">
        <v>4</v>
      </c>
    </row>
    <row r="25" spans="1:6">
      <c r="A25" s="348" t="s">
        <v>15</v>
      </c>
      <c r="B25" s="334">
        <v>222</v>
      </c>
    </row>
    <row r="26" spans="1:6">
      <c r="A26" s="348" t="s">
        <v>16</v>
      </c>
      <c r="B26" s="334">
        <v>36</v>
      </c>
    </row>
    <row r="27" spans="1:6">
      <c r="A27" s="348" t="s">
        <v>17</v>
      </c>
      <c r="B27" s="334">
        <v>0</v>
      </c>
    </row>
    <row r="28" spans="1:6" s="356" customFormat="1">
      <c r="A28" s="355" t="s">
        <v>18</v>
      </c>
      <c r="B28" s="355">
        <v>732</v>
      </c>
    </row>
    <row r="29" spans="1:6">
      <c r="A29" s="355" t="s">
        <v>901</v>
      </c>
      <c r="B29" s="355">
        <v>59</v>
      </c>
      <c r="C29" s="356"/>
      <c r="D29" s="356"/>
      <c r="E29" s="356"/>
      <c r="F29" s="356"/>
    </row>
    <row r="30" spans="1:6">
      <c r="A30" s="341" t="s">
        <v>902</v>
      </c>
      <c r="B30" s="341">
        <v>13</v>
      </c>
      <c r="C30" s="342"/>
      <c r="D30" s="342"/>
      <c r="E30" s="342"/>
      <c r="F30" s="342"/>
    </row>
    <row r="31" spans="1:6" ht="15.75" thickBot="1">
      <c r="A31" s="343"/>
    </row>
    <row r="32" spans="1:6" ht="20.25" thickBot="1">
      <c r="A32" s="336" t="s">
        <v>19</v>
      </c>
      <c r="B32" s="337" t="s">
        <v>394</v>
      </c>
      <c r="C32" s="337" t="s">
        <v>702</v>
      </c>
      <c r="D32" s="337"/>
      <c r="E32" s="337"/>
      <c r="F32" s="344"/>
    </row>
    <row r="33" spans="1:6" ht="16.5" thickTop="1" thickBot="1">
      <c r="A33" s="349"/>
      <c r="B33" s="350"/>
      <c r="C33" s="350" t="s">
        <v>20</v>
      </c>
      <c r="D33" s="350"/>
      <c r="E33" s="350" t="s">
        <v>21</v>
      </c>
      <c r="F33" s="351"/>
    </row>
    <row r="34" spans="1:6" ht="16.5" thickTop="1" thickBot="1">
      <c r="A34" s="352" t="s">
        <v>22</v>
      </c>
      <c r="B34" s="353" t="s">
        <v>23</v>
      </c>
      <c r="C34" s="353" t="s">
        <v>5</v>
      </c>
      <c r="D34" s="353" t="s">
        <v>24</v>
      </c>
      <c r="E34" s="353" t="s">
        <v>5</v>
      </c>
      <c r="F34" s="354" t="s">
        <v>24</v>
      </c>
    </row>
    <row r="35" spans="1:6">
      <c r="A35" s="348" t="s">
        <v>25</v>
      </c>
      <c r="B35" s="348" t="s">
        <v>26</v>
      </c>
      <c r="C35" s="334">
        <v>0</v>
      </c>
      <c r="D35" s="334">
        <v>0</v>
      </c>
      <c r="E35" s="334">
        <v>0</v>
      </c>
      <c r="F35" s="334">
        <v>0</v>
      </c>
    </row>
    <row r="36" spans="1:6">
      <c r="A36" s="348" t="s">
        <v>25</v>
      </c>
      <c r="B36" s="348" t="s">
        <v>27</v>
      </c>
      <c r="C36" s="334">
        <v>0</v>
      </c>
      <c r="D36" s="334">
        <v>0</v>
      </c>
      <c r="E36" s="334">
        <v>0</v>
      </c>
      <c r="F36" s="334">
        <v>0</v>
      </c>
    </row>
    <row r="37" spans="1:6">
      <c r="A37" s="348" t="s">
        <v>25</v>
      </c>
      <c r="B37" s="348" t="s">
        <v>28</v>
      </c>
      <c r="C37" s="334">
        <v>0</v>
      </c>
      <c r="D37" s="334">
        <v>0</v>
      </c>
      <c r="E37" s="334">
        <v>0</v>
      </c>
      <c r="F37" s="334">
        <v>0</v>
      </c>
    </row>
    <row r="38" spans="1:6">
      <c r="A38" s="348" t="s">
        <v>25</v>
      </c>
      <c r="B38" s="348" t="s">
        <v>29</v>
      </c>
      <c r="C38" s="334">
        <v>0</v>
      </c>
      <c r="D38" s="334">
        <v>0</v>
      </c>
      <c r="E38" s="334">
        <v>2</v>
      </c>
      <c r="F38" s="334">
        <v>5517</v>
      </c>
    </row>
    <row r="39" spans="1:6">
      <c r="A39" s="348" t="s">
        <v>30</v>
      </c>
      <c r="B39" s="348" t="s">
        <v>31</v>
      </c>
      <c r="C39" s="334">
        <v>1152</v>
      </c>
      <c r="D39" s="334">
        <v>17977600</v>
      </c>
      <c r="E39" s="334">
        <v>2999</v>
      </c>
      <c r="F39" s="334">
        <v>11140936</v>
      </c>
    </row>
    <row r="40" spans="1:6">
      <c r="A40" s="348" t="s">
        <v>30</v>
      </c>
      <c r="B40" s="348" t="s">
        <v>29</v>
      </c>
      <c r="C40" s="334">
        <v>0</v>
      </c>
      <c r="D40" s="334">
        <v>0</v>
      </c>
      <c r="E40" s="334">
        <v>0</v>
      </c>
      <c r="F40" s="334">
        <v>0</v>
      </c>
    </row>
    <row r="41" spans="1:6">
      <c r="A41" s="348" t="s">
        <v>32</v>
      </c>
      <c r="B41" s="348" t="s">
        <v>33</v>
      </c>
      <c r="C41" s="334">
        <v>15</v>
      </c>
      <c r="D41" s="334">
        <v>6043149</v>
      </c>
      <c r="E41" s="334">
        <v>49</v>
      </c>
      <c r="F41" s="334">
        <v>38972549</v>
      </c>
    </row>
    <row r="42" spans="1:6">
      <c r="A42" s="348" t="s">
        <v>32</v>
      </c>
      <c r="B42" s="348" t="s">
        <v>34</v>
      </c>
      <c r="C42" s="334">
        <v>0</v>
      </c>
      <c r="D42" s="334">
        <v>0</v>
      </c>
      <c r="E42" s="334">
        <v>0</v>
      </c>
      <c r="F42" s="334">
        <v>0</v>
      </c>
    </row>
    <row r="43" spans="1:6">
      <c r="A43" s="348" t="s">
        <v>32</v>
      </c>
      <c r="B43" s="348" t="s">
        <v>35</v>
      </c>
      <c r="C43" s="334">
        <v>0</v>
      </c>
      <c r="D43" s="334">
        <v>0</v>
      </c>
      <c r="E43" s="334">
        <v>0</v>
      </c>
      <c r="F43" s="334">
        <v>0</v>
      </c>
    </row>
    <row r="44" spans="1:6">
      <c r="A44" s="348" t="s">
        <v>32</v>
      </c>
      <c r="B44" s="348" t="s">
        <v>36</v>
      </c>
      <c r="C44" s="334">
        <v>0</v>
      </c>
      <c r="D44" s="334">
        <v>0</v>
      </c>
      <c r="E44" s="334">
        <v>7</v>
      </c>
      <c r="F44" s="334">
        <v>177222</v>
      </c>
    </row>
    <row r="45" spans="1:6">
      <c r="A45" s="348" t="s">
        <v>32</v>
      </c>
      <c r="B45" s="348" t="s">
        <v>37</v>
      </c>
      <c r="C45" s="334">
        <v>0</v>
      </c>
      <c r="D45" s="334">
        <v>0</v>
      </c>
      <c r="E45" s="334">
        <v>0</v>
      </c>
      <c r="F45" s="334">
        <v>0</v>
      </c>
    </row>
    <row r="46" spans="1:6">
      <c r="A46" s="348" t="s">
        <v>32</v>
      </c>
      <c r="B46" s="348" t="s">
        <v>38</v>
      </c>
      <c r="C46" s="334">
        <v>0</v>
      </c>
      <c r="D46" s="334">
        <v>0</v>
      </c>
      <c r="E46" s="334">
        <v>0</v>
      </c>
      <c r="F46" s="334">
        <v>0</v>
      </c>
    </row>
    <row r="47" spans="1:6">
      <c r="A47" s="348" t="s">
        <v>32</v>
      </c>
      <c r="B47" s="348" t="s">
        <v>39</v>
      </c>
      <c r="C47" s="334">
        <v>0</v>
      </c>
      <c r="D47" s="334">
        <v>0</v>
      </c>
      <c r="E47" s="334">
        <v>3</v>
      </c>
      <c r="F47" s="334">
        <v>1309279</v>
      </c>
    </row>
    <row r="48" spans="1:6">
      <c r="A48" s="348" t="s">
        <v>32</v>
      </c>
      <c r="B48" s="348" t="s">
        <v>29</v>
      </c>
      <c r="C48" s="334">
        <v>2</v>
      </c>
      <c r="D48" s="334">
        <v>243781</v>
      </c>
      <c r="E48" s="334">
        <v>0</v>
      </c>
      <c r="F48" s="334">
        <v>0</v>
      </c>
    </row>
    <row r="49" spans="1:6">
      <c r="A49" s="348" t="s">
        <v>32</v>
      </c>
      <c r="B49" s="348" t="s">
        <v>40</v>
      </c>
      <c r="C49" s="334">
        <v>0</v>
      </c>
      <c r="D49" s="334">
        <v>0</v>
      </c>
      <c r="E49" s="334">
        <v>0</v>
      </c>
      <c r="F49" s="334">
        <v>0</v>
      </c>
    </row>
    <row r="50" spans="1:6">
      <c r="A50" s="348" t="s">
        <v>32</v>
      </c>
      <c r="B50" s="348" t="s">
        <v>41</v>
      </c>
      <c r="C50" s="334">
        <v>3</v>
      </c>
      <c r="D50" s="334">
        <v>200255</v>
      </c>
      <c r="E50" s="334">
        <v>8</v>
      </c>
      <c r="F50" s="334">
        <v>355753</v>
      </c>
    </row>
    <row r="51" spans="1:6">
      <c r="A51" s="348" t="s">
        <v>42</v>
      </c>
      <c r="B51" s="348" t="s">
        <v>43</v>
      </c>
      <c r="C51" s="334">
        <v>3</v>
      </c>
      <c r="D51" s="334">
        <v>2677640</v>
      </c>
      <c r="E51" s="334">
        <v>58</v>
      </c>
      <c r="F51" s="334">
        <v>1638596</v>
      </c>
    </row>
    <row r="52" spans="1:6">
      <c r="A52" s="348" t="s">
        <v>42</v>
      </c>
      <c r="B52" s="348" t="s">
        <v>29</v>
      </c>
      <c r="C52" s="334">
        <v>0</v>
      </c>
      <c r="D52" s="334">
        <v>0</v>
      </c>
      <c r="E52" s="334">
        <v>0</v>
      </c>
      <c r="F52" s="334">
        <v>0</v>
      </c>
    </row>
    <row r="53" spans="1:6">
      <c r="A53" s="348" t="s">
        <v>44</v>
      </c>
      <c r="B53" s="348" t="s">
        <v>45</v>
      </c>
      <c r="C53" s="334">
        <v>0</v>
      </c>
      <c r="D53" s="334">
        <v>0</v>
      </c>
      <c r="E53" s="334">
        <v>0</v>
      </c>
      <c r="F53" s="334">
        <v>0</v>
      </c>
    </row>
    <row r="54" spans="1:6">
      <c r="A54" s="348" t="s">
        <v>46</v>
      </c>
      <c r="B54" s="348" t="s">
        <v>47</v>
      </c>
      <c r="C54" s="334">
        <v>0</v>
      </c>
      <c r="D54" s="334">
        <v>0</v>
      </c>
      <c r="E54" s="334">
        <v>37</v>
      </c>
      <c r="F54" s="334">
        <v>552261</v>
      </c>
    </row>
    <row r="55" spans="1:6">
      <c r="A55" s="348" t="s">
        <v>46</v>
      </c>
      <c r="B55" s="348" t="s">
        <v>29</v>
      </c>
      <c r="C55" s="334">
        <v>0</v>
      </c>
      <c r="D55" s="334">
        <v>0</v>
      </c>
      <c r="E55" s="334">
        <v>0</v>
      </c>
      <c r="F55" s="334">
        <v>0</v>
      </c>
    </row>
    <row r="56" spans="1:6">
      <c r="A56" s="348" t="s">
        <v>48</v>
      </c>
      <c r="B56" s="348" t="s">
        <v>29</v>
      </c>
      <c r="C56" s="334">
        <v>12</v>
      </c>
      <c r="D56" s="334">
        <v>146308</v>
      </c>
      <c r="E56" s="334">
        <v>49</v>
      </c>
      <c r="F56" s="334">
        <v>184781</v>
      </c>
    </row>
    <row r="57" spans="1:6">
      <c r="A57" s="348" t="s">
        <v>49</v>
      </c>
      <c r="B57" s="348" t="s">
        <v>50</v>
      </c>
      <c r="C57" s="334">
        <v>17</v>
      </c>
      <c r="D57" s="334">
        <v>806142</v>
      </c>
      <c r="E57" s="334">
        <v>37</v>
      </c>
      <c r="F57" s="334">
        <v>963698</v>
      </c>
    </row>
    <row r="58" spans="1:6">
      <c r="A58" s="348" t="s">
        <v>49</v>
      </c>
      <c r="B58" s="348" t="s">
        <v>51</v>
      </c>
      <c r="C58" s="334">
        <v>3</v>
      </c>
      <c r="D58" s="334">
        <v>669716</v>
      </c>
      <c r="E58" s="334">
        <v>8</v>
      </c>
      <c r="F58" s="334">
        <v>256834</v>
      </c>
    </row>
    <row r="59" spans="1:6">
      <c r="A59" s="348" t="s">
        <v>49</v>
      </c>
      <c r="B59" s="348" t="s">
        <v>52</v>
      </c>
      <c r="C59" s="334">
        <v>33</v>
      </c>
      <c r="D59" s="334">
        <v>901273</v>
      </c>
      <c r="E59" s="334">
        <v>85</v>
      </c>
      <c r="F59" s="334">
        <v>2392033</v>
      </c>
    </row>
    <row r="60" spans="1:6">
      <c r="A60" s="348" t="s">
        <v>49</v>
      </c>
      <c r="B60" s="348" t="s">
        <v>53</v>
      </c>
      <c r="C60" s="334">
        <v>16</v>
      </c>
      <c r="D60" s="334">
        <v>529144</v>
      </c>
      <c r="E60" s="334">
        <v>25</v>
      </c>
      <c r="F60" s="334">
        <v>498172</v>
      </c>
    </row>
    <row r="61" spans="1:6">
      <c r="A61" s="348" t="s">
        <v>49</v>
      </c>
      <c r="B61" s="348" t="s">
        <v>54</v>
      </c>
      <c r="C61" s="334">
        <v>25</v>
      </c>
      <c r="D61" s="334">
        <v>988507</v>
      </c>
      <c r="E61" s="334">
        <v>115</v>
      </c>
      <c r="F61" s="334">
        <v>1419448</v>
      </c>
    </row>
    <row r="62" spans="1:6">
      <c r="A62" s="348" t="s">
        <v>49</v>
      </c>
      <c r="B62" s="348" t="s">
        <v>55</v>
      </c>
      <c r="C62" s="334">
        <v>0</v>
      </c>
      <c r="D62" s="334">
        <v>0</v>
      </c>
      <c r="E62" s="334">
        <v>6</v>
      </c>
      <c r="F62" s="334">
        <v>71473</v>
      </c>
    </row>
    <row r="63" spans="1:6">
      <c r="A63" s="348" t="s">
        <v>49</v>
      </c>
      <c r="B63" s="348" t="s">
        <v>29</v>
      </c>
      <c r="C63" s="334">
        <v>2</v>
      </c>
      <c r="D63" s="334">
        <v>180363</v>
      </c>
      <c r="E63" s="334">
        <v>0</v>
      </c>
      <c r="F63" s="334">
        <v>0</v>
      </c>
    </row>
    <row r="64" spans="1:6">
      <c r="A64" s="348" t="s">
        <v>56</v>
      </c>
      <c r="B64" s="348" t="s">
        <v>57</v>
      </c>
      <c r="C64" s="334">
        <v>0</v>
      </c>
      <c r="D64" s="334">
        <v>0</v>
      </c>
      <c r="E64" s="334">
        <v>0</v>
      </c>
      <c r="F64" s="334">
        <v>0</v>
      </c>
    </row>
    <row r="65" spans="1:6">
      <c r="A65" s="348" t="s">
        <v>56</v>
      </c>
      <c r="B65" s="348" t="s">
        <v>29</v>
      </c>
      <c r="C65" s="334">
        <v>0</v>
      </c>
      <c r="D65" s="334">
        <v>0</v>
      </c>
      <c r="E65" s="334">
        <v>0</v>
      </c>
      <c r="F65" s="334">
        <v>0</v>
      </c>
    </row>
    <row r="66" spans="1:6">
      <c r="A66" s="348" t="s">
        <v>56</v>
      </c>
      <c r="B66" s="348" t="s">
        <v>58</v>
      </c>
      <c r="C66" s="334">
        <v>0</v>
      </c>
      <c r="D66" s="334">
        <v>0</v>
      </c>
      <c r="E66" s="334">
        <v>0</v>
      </c>
      <c r="F66" s="334">
        <v>0</v>
      </c>
    </row>
    <row r="67" spans="1:6">
      <c r="A67" s="355" t="s">
        <v>56</v>
      </c>
      <c r="B67" s="355" t="s">
        <v>59</v>
      </c>
      <c r="C67" s="334">
        <v>10</v>
      </c>
      <c r="D67" s="334">
        <v>809566</v>
      </c>
      <c r="E67" s="334">
        <v>12</v>
      </c>
      <c r="F67" s="334">
        <v>199018</v>
      </c>
    </row>
    <row r="68" spans="1:6">
      <c r="A68" s="341" t="s">
        <v>56</v>
      </c>
      <c r="B68" s="341" t="s">
        <v>60</v>
      </c>
      <c r="C68" s="334">
        <v>0</v>
      </c>
      <c r="D68" s="334">
        <v>0</v>
      </c>
      <c r="E68" s="334">
        <v>6</v>
      </c>
      <c r="F68" s="334">
        <v>27065</v>
      </c>
    </row>
    <row r="69" spans="1:6" ht="15.75" thickBot="1">
      <c r="A69" s="343"/>
    </row>
    <row r="70" spans="1:6" ht="19.5">
      <c r="A70" s="336" t="s">
        <v>61</v>
      </c>
      <c r="B70" s="337"/>
      <c r="C70" s="337" t="s">
        <v>408</v>
      </c>
      <c r="D70" s="337" t="s">
        <v>756</v>
      </c>
      <c r="E70" s="337"/>
      <c r="F70" s="344"/>
    </row>
    <row r="71" spans="1:6" ht="20.25" thickBot="1">
      <c r="A71" s="357"/>
      <c r="B71" s="358"/>
      <c r="C71" s="358"/>
      <c r="D71" s="359" t="s">
        <v>448</v>
      </c>
      <c r="E71" s="358"/>
      <c r="F71" s="360"/>
    </row>
    <row r="72" spans="1:6" ht="16.5" thickTop="1" thickBot="1">
      <c r="A72" s="345" t="s">
        <v>62</v>
      </c>
      <c r="B72" s="346" t="s">
        <v>63</v>
      </c>
      <c r="C72" s="1306" t="s">
        <v>731</v>
      </c>
      <c r="D72" s="361">
        <v>2014</v>
      </c>
      <c r="E72" s="361">
        <v>2020</v>
      </c>
      <c r="F72" s="347"/>
    </row>
    <row r="73" spans="1:6">
      <c r="A73" s="348" t="s">
        <v>64</v>
      </c>
      <c r="B73" s="348" t="s">
        <v>713</v>
      </c>
      <c r="C73" s="1311" t="s">
        <v>715</v>
      </c>
      <c r="D73" s="476">
        <v>28477447</v>
      </c>
      <c r="E73" s="476">
        <v>25034271.975737404</v>
      </c>
    </row>
    <row r="74" spans="1:6">
      <c r="A74" s="348" t="s">
        <v>64</v>
      </c>
      <c r="B74" s="348" t="s">
        <v>714</v>
      </c>
      <c r="C74" s="1311" t="s">
        <v>716</v>
      </c>
      <c r="D74" s="476">
        <v>2037353.3415834336</v>
      </c>
      <c r="E74" s="476">
        <v>1786223.0836616729</v>
      </c>
    </row>
    <row r="75" spans="1:6">
      <c r="A75" s="348" t="s">
        <v>65</v>
      </c>
      <c r="B75" s="348" t="s">
        <v>713</v>
      </c>
      <c r="C75" s="1311" t="s">
        <v>717</v>
      </c>
      <c r="D75" s="476">
        <v>7771195</v>
      </c>
      <c r="E75" s="476">
        <v>7053288.0493666213</v>
      </c>
    </row>
    <row r="76" spans="1:6">
      <c r="A76" s="348" t="s">
        <v>65</v>
      </c>
      <c r="B76" s="348" t="s">
        <v>714</v>
      </c>
      <c r="C76" s="1311" t="s">
        <v>718</v>
      </c>
      <c r="D76" s="476">
        <v>196206.3415834335</v>
      </c>
      <c r="E76" s="476">
        <v>174259.49889744169</v>
      </c>
    </row>
    <row r="77" spans="1:6">
      <c r="A77" s="348" t="s">
        <v>66</v>
      </c>
      <c r="B77" s="348" t="s">
        <v>713</v>
      </c>
      <c r="C77" s="1311" t="s">
        <v>719</v>
      </c>
      <c r="D77" s="476">
        <v>0</v>
      </c>
      <c r="E77" s="476">
        <v>0</v>
      </c>
    </row>
    <row r="78" spans="1:6">
      <c r="A78" s="341" t="s">
        <v>66</v>
      </c>
      <c r="B78" s="341" t="s">
        <v>714</v>
      </c>
      <c r="C78" s="341" t="s">
        <v>720</v>
      </c>
      <c r="D78" s="1307">
        <v>0</v>
      </c>
      <c r="E78" s="1307">
        <v>0</v>
      </c>
      <c r="F78" s="342"/>
    </row>
    <row r="79" spans="1:6">
      <c r="A79" s="362"/>
      <c r="B79" s="362"/>
    </row>
    <row r="80" spans="1:6" ht="15.75" thickBot="1">
      <c r="A80" s="362"/>
      <c r="B80" s="362"/>
    </row>
    <row r="81" spans="1:6" ht="20.25" thickBot="1">
      <c r="A81" s="336" t="s">
        <v>334</v>
      </c>
      <c r="B81" s="363" t="s">
        <v>394</v>
      </c>
      <c r="C81" s="337" t="s">
        <v>903</v>
      </c>
      <c r="D81" s="337"/>
      <c r="E81" s="337"/>
      <c r="F81" s="344"/>
    </row>
    <row r="82" spans="1:6" ht="16.5" thickTop="1" thickBot="1">
      <c r="A82" s="345" t="s">
        <v>335</v>
      </c>
      <c r="B82" s="361">
        <v>2014</v>
      </c>
      <c r="C82" s="361">
        <v>2020</v>
      </c>
      <c r="D82" s="346"/>
      <c r="E82" s="346"/>
      <c r="F82" s="347"/>
    </row>
    <row r="83" spans="1:6">
      <c r="A83" s="348" t="s">
        <v>336</v>
      </c>
      <c r="B83" s="476">
        <v>119045.31683313298</v>
      </c>
      <c r="C83" s="476">
        <v>117015.96417527298</v>
      </c>
    </row>
    <row r="84" spans="1:6">
      <c r="A84" s="341" t="s">
        <v>337</v>
      </c>
      <c r="B84" s="1307">
        <v>0</v>
      </c>
      <c r="C84" s="1307">
        <v>0</v>
      </c>
      <c r="D84" s="342"/>
      <c r="E84" s="342"/>
      <c r="F84" s="342"/>
    </row>
    <row r="85" spans="1:6">
      <c r="A85" s="362"/>
      <c r="B85" s="364"/>
    </row>
    <row r="86" spans="1:6" ht="15.75" thickBot="1">
      <c r="A86" s="343"/>
    </row>
    <row r="87" spans="1:6" ht="20.25" thickBot="1">
      <c r="A87" s="336" t="s">
        <v>67</v>
      </c>
      <c r="B87" s="337" t="s">
        <v>394</v>
      </c>
      <c r="C87" s="337" t="s">
        <v>904</v>
      </c>
      <c r="D87" s="337"/>
      <c r="E87" s="337"/>
      <c r="F87" s="344"/>
    </row>
    <row r="88" spans="1:6" ht="16.5" thickTop="1" thickBot="1">
      <c r="A88" s="345" t="s">
        <v>4</v>
      </c>
      <c r="B88" s="346" t="s">
        <v>170</v>
      </c>
      <c r="C88" s="346"/>
      <c r="D88" s="346"/>
      <c r="E88" s="346"/>
      <c r="F88" s="347"/>
    </row>
    <row r="89" spans="1:6">
      <c r="A89" s="348" t="s">
        <v>558</v>
      </c>
      <c r="B89" s="334">
        <v>0</v>
      </c>
    </row>
    <row r="90" spans="1:6">
      <c r="A90" s="348" t="s">
        <v>559</v>
      </c>
      <c r="B90" s="1308">
        <v>0</v>
      </c>
    </row>
    <row r="91" spans="1:6">
      <c r="A91" s="348" t="s">
        <v>68</v>
      </c>
      <c r="B91" s="334">
        <v>2640.4801476294256</v>
      </c>
    </row>
    <row r="92" spans="1:6">
      <c r="A92" s="341" t="s">
        <v>69</v>
      </c>
      <c r="B92" s="342">
        <v>1878.2768031245562</v>
      </c>
      <c r="C92" s="342"/>
      <c r="D92" s="342"/>
      <c r="E92" s="342"/>
      <c r="F92" s="342"/>
    </row>
    <row r="93" spans="1:6">
      <c r="A93" s="343"/>
    </row>
    <row r="94" spans="1:6" ht="15.75" thickBot="1">
      <c r="A94" s="343"/>
    </row>
    <row r="95" spans="1:6" ht="20.25" thickBot="1">
      <c r="A95" s="336" t="s">
        <v>70</v>
      </c>
      <c r="B95" s="337" t="s">
        <v>394</v>
      </c>
      <c r="C95" s="337" t="s">
        <v>412</v>
      </c>
      <c r="D95" s="337"/>
      <c r="E95" s="337"/>
      <c r="F95" s="344"/>
    </row>
    <row r="96" spans="1:6" ht="16.5" thickTop="1" thickBot="1">
      <c r="A96" s="345" t="s">
        <v>4</v>
      </c>
      <c r="B96" s="346" t="s">
        <v>5</v>
      </c>
      <c r="C96" s="346"/>
      <c r="D96" s="346"/>
      <c r="E96" s="346"/>
      <c r="F96" s="347"/>
    </row>
    <row r="97" spans="1:6">
      <c r="A97" s="348" t="s">
        <v>71</v>
      </c>
      <c r="B97" s="334">
        <v>226</v>
      </c>
    </row>
    <row r="98" spans="1:6">
      <c r="A98" s="348" t="s">
        <v>72</v>
      </c>
      <c r="B98" s="334">
        <v>2</v>
      </c>
    </row>
    <row r="99" spans="1:6">
      <c r="A99" s="348" t="s">
        <v>73</v>
      </c>
      <c r="B99" s="334">
        <v>18</v>
      </c>
    </row>
    <row r="100" spans="1:6">
      <c r="A100" s="348" t="s">
        <v>74</v>
      </c>
      <c r="B100" s="334">
        <v>72</v>
      </c>
    </row>
    <row r="101" spans="1:6">
      <c r="A101" s="348" t="s">
        <v>75</v>
      </c>
      <c r="B101" s="334">
        <v>39</v>
      </c>
    </row>
    <row r="102" spans="1:6">
      <c r="A102" s="348" t="s">
        <v>76</v>
      </c>
      <c r="B102" s="334">
        <v>22</v>
      </c>
    </row>
    <row r="103" spans="1:6">
      <c r="A103" s="348" t="s">
        <v>77</v>
      </c>
      <c r="B103" s="334">
        <v>103</v>
      </c>
    </row>
    <row r="104" spans="1:6">
      <c r="A104" s="348" t="s">
        <v>78</v>
      </c>
      <c r="B104" s="334">
        <v>2047</v>
      </c>
    </row>
    <row r="105" spans="1:6">
      <c r="A105" s="341" t="s">
        <v>79</v>
      </c>
      <c r="B105" s="341">
        <v>1</v>
      </c>
      <c r="C105" s="342"/>
      <c r="D105" s="342"/>
      <c r="E105" s="342"/>
      <c r="F105" s="342"/>
    </row>
    <row r="106" spans="1:6">
      <c r="A106" s="343"/>
    </row>
    <row r="107" spans="1:6" ht="15.75" thickBot="1">
      <c r="A107" s="343"/>
    </row>
    <row r="108" spans="1:6" ht="20.25" thickBot="1">
      <c r="A108" s="336" t="s">
        <v>661</v>
      </c>
      <c r="B108" s="337" t="s">
        <v>394</v>
      </c>
      <c r="C108" s="337" t="s">
        <v>905</v>
      </c>
      <c r="D108" s="337"/>
      <c r="E108" s="337"/>
      <c r="F108" s="344"/>
    </row>
    <row r="109" spans="1:6" ht="16.5" thickTop="1" thickBot="1">
      <c r="A109" s="345" t="s">
        <v>4</v>
      </c>
      <c r="B109" s="346" t="s">
        <v>5</v>
      </c>
      <c r="C109" s="346"/>
      <c r="D109" s="346"/>
      <c r="E109" s="346"/>
      <c r="F109" s="347"/>
    </row>
    <row r="110" spans="1:6">
      <c r="A110" s="348" t="s">
        <v>662</v>
      </c>
      <c r="B110" s="334">
        <v>0</v>
      </c>
    </row>
    <row r="111" spans="1:6">
      <c r="A111" s="1309" t="s">
        <v>663</v>
      </c>
      <c r="B111" s="1310">
        <v>0</v>
      </c>
      <c r="C111" s="1310"/>
      <c r="D111" s="1310"/>
      <c r="E111" s="1310"/>
      <c r="F111" s="1310"/>
    </row>
    <row r="112" spans="1:6">
      <c r="A112" s="348"/>
    </row>
    <row r="113" spans="1:6" ht="15.75" thickBot="1">
      <c r="A113" s="341"/>
      <c r="B113" s="342"/>
      <c r="C113" s="342"/>
      <c r="D113" s="342"/>
      <c r="E113" s="342"/>
      <c r="F113" s="342"/>
    </row>
    <row r="114" spans="1:6" ht="20.25" thickBot="1">
      <c r="A114" s="336" t="s">
        <v>80</v>
      </c>
      <c r="B114" s="337" t="s">
        <v>394</v>
      </c>
      <c r="C114" s="337" t="s">
        <v>906</v>
      </c>
      <c r="D114" s="337"/>
      <c r="E114" s="337"/>
      <c r="F114" s="344"/>
    </row>
    <row r="115" spans="1:6" ht="16.5" thickTop="1" thickBot="1">
      <c r="A115" s="365"/>
      <c r="B115" s="366" t="s">
        <v>81</v>
      </c>
      <c r="C115" s="366" t="s">
        <v>82</v>
      </c>
      <c r="D115" s="366"/>
      <c r="E115" s="366"/>
      <c r="F115" s="367"/>
    </row>
    <row r="116" spans="1:6" ht="16.5" thickTop="1" thickBot="1">
      <c r="A116" s="345" t="s">
        <v>4</v>
      </c>
      <c r="B116" s="346" t="s">
        <v>5</v>
      </c>
      <c r="C116" s="346" t="s">
        <v>5</v>
      </c>
      <c r="D116" s="346"/>
      <c r="E116" s="346"/>
      <c r="F116" s="347"/>
    </row>
    <row r="117" spans="1:6">
      <c r="A117" s="348" t="s">
        <v>83</v>
      </c>
      <c r="B117" s="334">
        <v>0</v>
      </c>
      <c r="C117" s="334">
        <v>0</v>
      </c>
    </row>
    <row r="118" spans="1:6">
      <c r="A118" s="348" t="s">
        <v>84</v>
      </c>
      <c r="B118" s="334">
        <v>0</v>
      </c>
      <c r="C118" s="334">
        <v>0</v>
      </c>
    </row>
    <row r="119" spans="1:6">
      <c r="A119" s="348" t="s">
        <v>32</v>
      </c>
      <c r="B119" s="334">
        <v>0</v>
      </c>
      <c r="C119" s="334">
        <v>0</v>
      </c>
    </row>
    <row r="120" spans="1:6">
      <c r="A120" s="348" t="s">
        <v>85</v>
      </c>
      <c r="B120" s="334">
        <v>0</v>
      </c>
      <c r="C120" s="334">
        <v>0</v>
      </c>
    </row>
    <row r="121" spans="1:6">
      <c r="A121" s="348" t="s">
        <v>86</v>
      </c>
      <c r="B121" s="334">
        <v>0</v>
      </c>
      <c r="C121" s="334">
        <v>0</v>
      </c>
    </row>
    <row r="122" spans="1:6">
      <c r="A122" s="348" t="s">
        <v>87</v>
      </c>
      <c r="B122" s="334">
        <v>0</v>
      </c>
      <c r="C122" s="334">
        <v>0</v>
      </c>
    </row>
    <row r="123" spans="1:6">
      <c r="A123" s="348" t="s">
        <v>88</v>
      </c>
      <c r="B123" s="334">
        <v>14</v>
      </c>
      <c r="C123" s="334">
        <v>5</v>
      </c>
    </row>
    <row r="124" spans="1:6">
      <c r="A124" s="341" t="s">
        <v>89</v>
      </c>
      <c r="B124" s="334">
        <v>0</v>
      </c>
      <c r="C124" s="334">
        <v>0</v>
      </c>
      <c r="D124" s="342"/>
      <c r="E124" s="342"/>
      <c r="F124" s="342"/>
    </row>
    <row r="125" spans="1:6">
      <c r="A125" s="362"/>
    </row>
    <row r="126" spans="1:6" ht="15.75" thickBot="1">
      <c r="A126" s="362"/>
    </row>
    <row r="127" spans="1:6" ht="20.25" thickBot="1">
      <c r="A127" s="336" t="s">
        <v>293</v>
      </c>
      <c r="B127" s="337" t="s">
        <v>394</v>
      </c>
      <c r="C127" s="337" t="s">
        <v>905</v>
      </c>
      <c r="D127" s="337"/>
      <c r="E127" s="337"/>
      <c r="F127" s="344"/>
    </row>
    <row r="128" spans="1:6" ht="16.5" thickTop="1" thickBot="1">
      <c r="A128" s="345" t="s">
        <v>4</v>
      </c>
      <c r="B128" s="346" t="s">
        <v>5</v>
      </c>
      <c r="C128" s="346"/>
      <c r="D128" s="346"/>
      <c r="E128" s="346"/>
      <c r="F128" s="347"/>
    </row>
    <row r="129" spans="1:6">
      <c r="A129" s="348" t="s">
        <v>294</v>
      </c>
      <c r="B129" s="334">
        <v>66</v>
      </c>
    </row>
    <row r="130" spans="1:6">
      <c r="A130" s="348" t="s">
        <v>295</v>
      </c>
      <c r="B130" s="334">
        <v>0</v>
      </c>
    </row>
    <row r="131" spans="1:6">
      <c r="A131" s="348" t="s">
        <v>296</v>
      </c>
      <c r="B131" s="334">
        <v>1</v>
      </c>
    </row>
    <row r="132" spans="1:6">
      <c r="A132" s="341" t="s">
        <v>297</v>
      </c>
      <c r="B132" s="342">
        <v>10</v>
      </c>
      <c r="C132" s="342"/>
      <c r="D132" s="342"/>
      <c r="E132" s="342"/>
      <c r="F132" s="342"/>
    </row>
    <row r="134" spans="1:6">
      <c r="A134" s="364"/>
    </row>
  </sheetData>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sheetPr codeName="Sheet13">
    <tabColor theme="0" tint="-0.34998626667073579"/>
  </sheetPr>
  <dimension ref="A1:N53"/>
  <sheetViews>
    <sheetView showGridLines="0" topLeftCell="A19" workbookViewId="0">
      <selection activeCell="H41" sqref="H41"/>
    </sheetView>
  </sheetViews>
  <sheetFormatPr defaultRowHeight="15"/>
  <cols>
    <col min="1" max="1" width="46.7109375" bestFit="1" customWidth="1"/>
    <col min="2" max="2" width="38.5703125" style="546" customWidth="1"/>
    <col min="7" max="7" width="26.5703125" bestFit="1" customWidth="1"/>
  </cols>
  <sheetData>
    <row r="1" spans="1:12" ht="18.75" thickBot="1">
      <c r="A1" s="121" t="s">
        <v>180</v>
      </c>
      <c r="B1" s="532"/>
      <c r="E1" s="662"/>
      <c r="F1" s="662"/>
    </row>
    <row r="2" spans="1:12">
      <c r="A2" s="44" t="s">
        <v>687</v>
      </c>
      <c r="B2" s="533"/>
      <c r="E2" s="662"/>
      <c r="F2" s="662"/>
    </row>
    <row r="3" spans="1:12">
      <c r="A3" s="44"/>
      <c r="B3" s="533"/>
      <c r="E3" s="662"/>
      <c r="F3" s="662"/>
    </row>
    <row r="4" spans="1:12" ht="18">
      <c r="A4" s="137" t="s">
        <v>181</v>
      </c>
      <c r="B4" s="534" t="s">
        <v>388</v>
      </c>
      <c r="E4" s="662"/>
      <c r="F4" s="662"/>
    </row>
    <row r="5" spans="1:12" ht="21">
      <c r="A5" s="116" t="s">
        <v>183</v>
      </c>
      <c r="B5" s="535"/>
      <c r="E5" s="906"/>
      <c r="F5" s="907"/>
      <c r="G5" s="918"/>
      <c r="H5" s="918"/>
      <c r="I5" s="9"/>
      <c r="J5" s="9"/>
    </row>
    <row r="6" spans="1:12">
      <c r="A6" s="117" t="s">
        <v>184</v>
      </c>
      <c r="B6" s="536">
        <v>3.9849787380274715</v>
      </c>
      <c r="E6" s="908"/>
      <c r="F6" s="908"/>
      <c r="G6" s="919"/>
      <c r="H6" s="919"/>
      <c r="I6" s="10"/>
      <c r="J6" s="10"/>
      <c r="K6" s="10"/>
      <c r="L6" s="10"/>
    </row>
    <row r="7" spans="1:12">
      <c r="A7" s="117" t="s">
        <v>6</v>
      </c>
      <c r="B7" s="536">
        <v>144.74764565450877</v>
      </c>
      <c r="E7" s="662"/>
      <c r="F7" s="662"/>
      <c r="G7" s="920"/>
      <c r="H7" s="920"/>
      <c r="K7" s="10"/>
      <c r="L7" s="10"/>
    </row>
    <row r="8" spans="1:12">
      <c r="A8" s="117" t="s">
        <v>7</v>
      </c>
      <c r="B8" s="536">
        <v>91.875878397574567</v>
      </c>
      <c r="E8" s="662"/>
      <c r="F8" s="662"/>
      <c r="G8" s="920"/>
      <c r="H8" s="920"/>
      <c r="K8" s="10"/>
      <c r="L8" s="10"/>
    </row>
    <row r="9" spans="1:12">
      <c r="A9" s="117" t="s">
        <v>8</v>
      </c>
      <c r="B9" s="536">
        <v>31.466379225633727</v>
      </c>
      <c r="E9" s="908"/>
      <c r="F9" s="908"/>
      <c r="G9" s="919"/>
      <c r="H9" s="919"/>
      <c r="I9" s="10"/>
      <c r="J9" s="10"/>
      <c r="K9" s="10"/>
      <c r="L9" s="10"/>
    </row>
    <row r="10" spans="1:12">
      <c r="A10" s="117" t="s">
        <v>9</v>
      </c>
      <c r="B10" s="536">
        <v>47.265136268950577</v>
      </c>
      <c r="E10" s="909"/>
      <c r="F10" s="909"/>
      <c r="G10" s="921"/>
      <c r="H10" s="921"/>
      <c r="I10" s="11"/>
      <c r="J10" s="11"/>
      <c r="K10" s="10"/>
      <c r="L10" s="10"/>
    </row>
    <row r="11" spans="1:12">
      <c r="A11" s="117" t="s">
        <v>10</v>
      </c>
      <c r="B11" s="536">
        <v>47.685070955670071</v>
      </c>
      <c r="E11" s="662"/>
      <c r="F11" s="909"/>
      <c r="G11" s="921"/>
      <c r="H11" s="921"/>
      <c r="I11" s="11"/>
      <c r="J11" s="11"/>
      <c r="K11" s="10"/>
      <c r="L11" s="10"/>
    </row>
    <row r="12" spans="1:12">
      <c r="A12" s="118" t="s">
        <v>16</v>
      </c>
      <c r="B12" s="536">
        <v>8</v>
      </c>
      <c r="E12" s="909"/>
      <c r="F12" s="908"/>
      <c r="G12" s="919"/>
      <c r="H12" s="919"/>
      <c r="I12" s="10"/>
      <c r="J12" s="10"/>
      <c r="K12" s="10"/>
      <c r="L12" s="10"/>
    </row>
    <row r="13" spans="1:12">
      <c r="A13" s="118" t="s">
        <v>17</v>
      </c>
      <c r="B13" s="536">
        <v>5</v>
      </c>
      <c r="E13" s="908"/>
      <c r="F13" s="908"/>
      <c r="G13" s="919"/>
      <c r="H13" s="919"/>
      <c r="I13" s="10"/>
      <c r="J13" s="10"/>
      <c r="K13" s="10"/>
      <c r="L13" s="10"/>
    </row>
    <row r="14" spans="1:12">
      <c r="A14" s="118" t="s">
        <v>185</v>
      </c>
      <c r="B14" s="536">
        <v>1.5</v>
      </c>
      <c r="E14" s="908"/>
      <c r="F14" s="908"/>
      <c r="G14" s="919"/>
      <c r="H14" s="919"/>
      <c r="I14" s="10"/>
      <c r="J14" s="10"/>
      <c r="K14" s="10"/>
      <c r="L14" s="10"/>
    </row>
    <row r="15" spans="1:12">
      <c r="A15" s="118" t="s">
        <v>186</v>
      </c>
      <c r="B15" s="536">
        <v>18</v>
      </c>
      <c r="E15" s="908"/>
      <c r="F15" s="908"/>
      <c r="G15" s="919"/>
      <c r="H15" s="919"/>
      <c r="I15" s="10"/>
      <c r="J15" s="10"/>
      <c r="K15" s="10"/>
      <c r="L15" s="10"/>
    </row>
    <row r="16" spans="1:12">
      <c r="A16" s="118" t="s">
        <v>187</v>
      </c>
      <c r="B16" s="537">
        <v>10</v>
      </c>
      <c r="E16" s="908"/>
      <c r="F16" s="908"/>
      <c r="G16" s="919"/>
      <c r="H16" s="919"/>
      <c r="I16" s="10"/>
      <c r="J16" s="10"/>
      <c r="K16" s="10"/>
      <c r="L16" s="10"/>
    </row>
    <row r="17" spans="1:12" s="43" customFormat="1" ht="15.75" thickBot="1">
      <c r="A17" s="119"/>
      <c r="B17" s="538"/>
      <c r="E17" s="910"/>
      <c r="F17" s="910"/>
      <c r="G17" s="154"/>
      <c r="H17" s="154"/>
      <c r="I17" s="154"/>
      <c r="J17" s="154"/>
      <c r="K17" s="154"/>
      <c r="L17" s="154"/>
    </row>
    <row r="18" spans="1:12" s="43" customFormat="1" ht="15.75" thickBot="1">
      <c r="A18" s="195"/>
      <c r="B18" s="539"/>
      <c r="E18" s="910"/>
      <c r="F18" s="910"/>
      <c r="G18" s="154"/>
      <c r="H18" s="154"/>
      <c r="I18" s="154"/>
      <c r="J18" s="154"/>
      <c r="K18" s="154"/>
      <c r="L18" s="154"/>
    </row>
    <row r="19" spans="1:12" ht="18.75" thickBot="1">
      <c r="A19" s="121" t="s">
        <v>188</v>
      </c>
      <c r="B19" s="532"/>
      <c r="E19" s="908"/>
      <c r="F19" s="908"/>
      <c r="G19" s="10"/>
      <c r="H19" s="10"/>
      <c r="I19" s="10"/>
      <c r="J19" s="10"/>
      <c r="K19" s="10"/>
      <c r="L19" s="10"/>
    </row>
    <row r="20" spans="1:12">
      <c r="A20" s="44" t="s">
        <v>687</v>
      </c>
      <c r="B20" s="533"/>
      <c r="E20" s="908"/>
      <c r="F20" s="908"/>
      <c r="G20" s="10"/>
      <c r="H20" s="10"/>
      <c r="I20" s="10"/>
      <c r="J20" s="10"/>
      <c r="K20" s="10"/>
      <c r="L20" s="10"/>
    </row>
    <row r="21" spans="1:12">
      <c r="A21" s="44"/>
      <c r="B21" s="533"/>
      <c r="E21" s="908"/>
      <c r="F21" s="908"/>
      <c r="G21" s="10"/>
      <c r="H21" s="10"/>
      <c r="I21" s="10"/>
      <c r="J21" s="10"/>
      <c r="K21" s="10"/>
      <c r="L21" s="10"/>
    </row>
    <row r="22" spans="1:12" ht="18">
      <c r="A22" s="138" t="s">
        <v>181</v>
      </c>
      <c r="B22" s="540" t="s">
        <v>388</v>
      </c>
      <c r="E22" s="908"/>
      <c r="F22" s="908"/>
      <c r="G22" s="10"/>
      <c r="H22" s="10"/>
      <c r="I22" s="10"/>
      <c r="J22" s="10"/>
      <c r="K22" s="10"/>
      <c r="L22" s="10"/>
    </row>
    <row r="23" spans="1:12" s="72" customFormat="1">
      <c r="A23" s="118" t="s">
        <v>183</v>
      </c>
      <c r="B23" s="536">
        <v>11.063457018926419</v>
      </c>
      <c r="E23" s="911"/>
      <c r="F23" s="911"/>
      <c r="G23" s="922"/>
      <c r="H23" s="922"/>
    </row>
    <row r="24" spans="1:12">
      <c r="A24" s="117" t="s">
        <v>184</v>
      </c>
      <c r="B24" s="536">
        <v>4.2231090152811745</v>
      </c>
      <c r="E24" s="908"/>
      <c r="F24" s="908"/>
      <c r="G24" s="919"/>
      <c r="H24" s="919"/>
      <c r="I24" s="10"/>
      <c r="J24" s="10"/>
      <c r="K24" s="10"/>
      <c r="L24" s="10"/>
    </row>
    <row r="25" spans="1:12">
      <c r="A25" s="117" t="s">
        <v>6</v>
      </c>
      <c r="B25" s="536">
        <v>36.593077723873904</v>
      </c>
      <c r="E25" s="908"/>
      <c r="F25" s="908"/>
      <c r="G25" s="919"/>
      <c r="H25" s="919"/>
      <c r="I25" s="10"/>
      <c r="J25" s="10"/>
      <c r="K25" s="10"/>
      <c r="L25" s="10"/>
    </row>
    <row r="26" spans="1:12">
      <c r="A26" s="117" t="s">
        <v>7</v>
      </c>
      <c r="B26" s="536">
        <v>2.6304221411181921</v>
      </c>
      <c r="E26" s="908"/>
      <c r="F26" s="908"/>
      <c r="G26" s="919"/>
      <c r="H26" s="919"/>
      <c r="I26" s="10"/>
      <c r="J26" s="10"/>
      <c r="K26" s="10"/>
      <c r="L26" s="10"/>
    </row>
    <row r="27" spans="1:12">
      <c r="A27" s="117" t="s">
        <v>8</v>
      </c>
      <c r="B27" s="536">
        <v>1.3742356711711319</v>
      </c>
      <c r="E27" s="908"/>
      <c r="F27" s="908"/>
      <c r="G27" s="919"/>
      <c r="H27" s="919"/>
      <c r="I27" s="10"/>
      <c r="J27" s="10"/>
      <c r="K27" s="10"/>
      <c r="L27" s="10"/>
    </row>
    <row r="28" spans="1:12">
      <c r="A28" s="117" t="s">
        <v>9</v>
      </c>
      <c r="B28" s="536">
        <v>9.3577839260338891</v>
      </c>
      <c r="E28" s="908"/>
      <c r="F28" s="908"/>
      <c r="G28" s="919"/>
      <c r="H28" s="919"/>
      <c r="I28" s="10"/>
      <c r="J28" s="10"/>
      <c r="K28" s="10"/>
      <c r="L28" s="10"/>
    </row>
    <row r="29" spans="1:12">
      <c r="A29" s="117" t="s">
        <v>10</v>
      </c>
      <c r="B29" s="536">
        <v>3.8951527391088074</v>
      </c>
      <c r="E29" s="908"/>
      <c r="F29" s="908"/>
      <c r="G29" s="919"/>
      <c r="H29" s="919"/>
      <c r="I29" s="10"/>
      <c r="J29" s="10"/>
      <c r="K29" s="10"/>
      <c r="L29" s="10"/>
    </row>
    <row r="30" spans="1:12">
      <c r="A30" s="118" t="s">
        <v>185</v>
      </c>
      <c r="B30" s="536">
        <v>4.4707729193512042</v>
      </c>
      <c r="E30" s="908"/>
      <c r="F30" s="908"/>
      <c r="G30" s="919"/>
      <c r="H30" s="919"/>
      <c r="I30" s="10"/>
      <c r="J30" s="10"/>
      <c r="K30" s="10"/>
      <c r="L30" s="10"/>
    </row>
    <row r="31" spans="1:12">
      <c r="A31" s="117" t="s">
        <v>11</v>
      </c>
      <c r="B31" s="536">
        <v>1.6075002802320002</v>
      </c>
      <c r="E31" s="908"/>
      <c r="F31" s="908"/>
      <c r="G31" s="919"/>
      <c r="H31" s="919"/>
      <c r="I31" s="10"/>
      <c r="J31" s="10"/>
      <c r="K31" s="10"/>
      <c r="L31" s="10"/>
    </row>
    <row r="32" spans="1:12">
      <c r="A32" s="117" t="s">
        <v>12</v>
      </c>
      <c r="B32" s="536">
        <v>4.8225008406960015</v>
      </c>
      <c r="E32" s="908"/>
      <c r="F32" s="908"/>
      <c r="G32" s="919"/>
      <c r="H32" s="919"/>
      <c r="I32" s="10"/>
      <c r="J32" s="10"/>
      <c r="K32" s="10"/>
      <c r="L32" s="10"/>
    </row>
    <row r="33" spans="1:14">
      <c r="A33" s="117" t="s">
        <v>13</v>
      </c>
      <c r="B33" s="536">
        <v>6.3685027042560023</v>
      </c>
      <c r="E33" s="908"/>
      <c r="F33" s="908"/>
      <c r="G33" s="919"/>
      <c r="H33" s="919"/>
      <c r="I33" s="10"/>
      <c r="J33" s="10"/>
      <c r="K33" s="10"/>
      <c r="L33" s="10"/>
    </row>
    <row r="34" spans="1:14">
      <c r="A34" s="117" t="s">
        <v>14</v>
      </c>
      <c r="B34" s="536">
        <v>4.6362973013280016</v>
      </c>
      <c r="E34" s="908"/>
      <c r="F34" s="908"/>
      <c r="G34" s="919"/>
      <c r="H34" s="919"/>
      <c r="I34" s="10"/>
      <c r="J34" s="10"/>
      <c r="K34" s="10"/>
      <c r="L34" s="10"/>
    </row>
    <row r="35" spans="1:14">
      <c r="A35" s="117" t="s">
        <v>15</v>
      </c>
      <c r="B35" s="536">
        <v>12.338973989496003</v>
      </c>
      <c r="E35" s="908"/>
      <c r="F35" s="908"/>
      <c r="G35" s="919"/>
      <c r="H35" s="919"/>
      <c r="I35" s="10"/>
      <c r="J35" s="10"/>
      <c r="K35" s="10"/>
      <c r="L35" s="10"/>
    </row>
    <row r="36" spans="1:14">
      <c r="A36" s="118" t="s">
        <v>16</v>
      </c>
      <c r="B36" s="536">
        <v>0.19</v>
      </c>
      <c r="E36" s="908"/>
      <c r="F36" s="908"/>
      <c r="G36" s="919"/>
      <c r="H36" s="919"/>
      <c r="I36" s="10"/>
      <c r="J36" s="10"/>
      <c r="K36" s="10"/>
      <c r="L36" s="10"/>
    </row>
    <row r="37" spans="1:14">
      <c r="A37" s="118" t="s">
        <v>17</v>
      </c>
      <c r="B37" s="536">
        <v>0.13</v>
      </c>
      <c r="E37" s="662"/>
      <c r="F37" s="662"/>
      <c r="G37" s="920"/>
      <c r="H37" s="920"/>
    </row>
    <row r="38" spans="1:14">
      <c r="A38" s="118" t="s">
        <v>186</v>
      </c>
      <c r="B38" s="536">
        <v>1.56</v>
      </c>
      <c r="E38" s="662"/>
      <c r="F38" s="662"/>
      <c r="G38" s="920"/>
      <c r="H38" s="920"/>
    </row>
    <row r="39" spans="1:14">
      <c r="A39" s="118" t="s">
        <v>187</v>
      </c>
      <c r="B39" s="536">
        <v>0.76</v>
      </c>
      <c r="E39" s="662"/>
      <c r="F39" s="662"/>
      <c r="G39" s="920"/>
      <c r="H39" s="920"/>
    </row>
    <row r="40" spans="1:14">
      <c r="A40" s="118" t="s">
        <v>18</v>
      </c>
      <c r="B40" s="537">
        <v>2.3665847743388067E-2</v>
      </c>
      <c r="E40" s="662"/>
      <c r="F40" s="662"/>
      <c r="G40" s="920"/>
      <c r="H40" s="920"/>
    </row>
    <row r="41" spans="1:14" ht="15.75" thickBot="1">
      <c r="A41" s="119"/>
      <c r="B41" s="541"/>
      <c r="E41" s="662"/>
      <c r="F41" s="662"/>
    </row>
    <row r="42" spans="1:14" s="43" customFormat="1" ht="15.75" thickBot="1">
      <c r="A42" s="196"/>
      <c r="B42" s="539"/>
      <c r="E42" s="912"/>
      <c r="F42" s="912"/>
      <c r="G42" s="197"/>
      <c r="H42" s="197"/>
      <c r="I42" s="197"/>
      <c r="J42" s="197"/>
      <c r="K42" s="197"/>
      <c r="L42" s="197"/>
      <c r="M42" s="197"/>
      <c r="N42" s="197"/>
    </row>
    <row r="43" spans="1:14" ht="15.75" thickBot="1">
      <c r="A43" s="121" t="s">
        <v>189</v>
      </c>
      <c r="B43" s="542"/>
      <c r="E43" s="662"/>
      <c r="F43" s="662"/>
    </row>
    <row r="44" spans="1:14">
      <c r="A44" s="44" t="s">
        <v>688</v>
      </c>
      <c r="B44" s="533"/>
      <c r="E44" s="662"/>
      <c r="F44" s="662"/>
    </row>
    <row r="45" spans="1:14">
      <c r="A45" s="44"/>
      <c r="B45" s="533"/>
      <c r="E45" s="662"/>
      <c r="F45" s="662"/>
    </row>
    <row r="46" spans="1:14" ht="18">
      <c r="A46" s="137" t="s">
        <v>190</v>
      </c>
      <c r="B46" s="534" t="s">
        <v>585</v>
      </c>
      <c r="E46" s="662"/>
      <c r="F46" s="662"/>
    </row>
    <row r="47" spans="1:14">
      <c r="A47" s="116" t="s">
        <v>191</v>
      </c>
      <c r="B47" s="543">
        <v>0.90444945251923381</v>
      </c>
      <c r="E47" s="662"/>
      <c r="F47" s="662"/>
    </row>
    <row r="48" spans="1:14">
      <c r="A48" s="118" t="s">
        <v>192</v>
      </c>
      <c r="B48" s="536">
        <v>0.92146189948389634</v>
      </c>
      <c r="E48" s="662"/>
      <c r="F48" s="662"/>
    </row>
    <row r="49" spans="1:12">
      <c r="A49" s="118" t="s">
        <v>185</v>
      </c>
      <c r="B49" s="536">
        <v>3.1178436104027169E-2</v>
      </c>
      <c r="E49" s="662"/>
      <c r="F49" s="662"/>
    </row>
    <row r="50" spans="1:12">
      <c r="A50" s="118" t="s">
        <v>18</v>
      </c>
      <c r="B50" s="536">
        <v>9.6253703573780981E-4</v>
      </c>
      <c r="E50" s="908"/>
      <c r="F50" s="908"/>
      <c r="G50" s="10"/>
      <c r="H50" s="10"/>
      <c r="I50" s="10"/>
      <c r="J50" s="10"/>
      <c r="K50" s="10"/>
      <c r="L50" s="10"/>
    </row>
    <row r="51" spans="1:12">
      <c r="A51" s="118" t="s">
        <v>16</v>
      </c>
      <c r="B51" s="536">
        <v>6.4143617723768122E-3</v>
      </c>
      <c r="E51" s="908"/>
      <c r="F51" s="908"/>
      <c r="G51" s="10"/>
      <c r="H51" s="10"/>
      <c r="I51" s="10"/>
      <c r="J51" s="10"/>
      <c r="K51" s="10"/>
      <c r="L51" s="10"/>
    </row>
    <row r="52" spans="1:12" ht="15.75" thickBot="1">
      <c r="A52" s="119" t="s">
        <v>127</v>
      </c>
      <c r="B52" s="544">
        <v>9.5361269794874456E-2</v>
      </c>
      <c r="E52" s="662"/>
      <c r="F52" s="662"/>
    </row>
    <row r="53" spans="1:12">
      <c r="B53" s="545"/>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sheetPr codeName="Sheet16">
    <tabColor theme="0" tint="-0.34998626667073579"/>
  </sheetPr>
  <dimension ref="A1:D19"/>
  <sheetViews>
    <sheetView showGridLines="0" workbookViewId="0">
      <selection activeCell="B20" sqref="B20"/>
    </sheetView>
  </sheetViews>
  <sheetFormatPr defaultRowHeight="15"/>
  <cols>
    <col min="1" max="1" width="80" customWidth="1"/>
    <col min="2" max="2" width="36" style="476" customWidth="1"/>
    <col min="3" max="3" width="70.28515625" style="549" customWidth="1"/>
  </cols>
  <sheetData>
    <row r="1" spans="1:3" s="334" customFormat="1" ht="15.75" thickBot="1">
      <c r="A1" s="392" t="s">
        <v>636</v>
      </c>
      <c r="B1" s="547"/>
      <c r="C1" s="548"/>
    </row>
    <row r="2" spans="1:3" s="334" customFormat="1">
      <c r="A2" s="396"/>
      <c r="B2" s="513"/>
      <c r="C2" s="550"/>
    </row>
    <row r="3" spans="1:3" s="334" customFormat="1">
      <c r="A3" s="394"/>
      <c r="B3" s="551">
        <v>2014</v>
      </c>
      <c r="C3" s="397" t="s">
        <v>182</v>
      </c>
    </row>
    <row r="4" spans="1:3">
      <c r="A4" s="120" t="s">
        <v>301</v>
      </c>
      <c r="B4" s="552">
        <f>4458664.95623876/1000</f>
        <v>4458.6649562387593</v>
      </c>
      <c r="C4" s="139" t="s">
        <v>689</v>
      </c>
    </row>
    <row r="5" spans="1:3" ht="15.75" thickBot="1">
      <c r="A5" s="935" t="s">
        <v>635</v>
      </c>
      <c r="B5" s="936">
        <v>673536</v>
      </c>
      <c r="C5" s="937" t="s">
        <v>739</v>
      </c>
    </row>
    <row r="11" spans="1:3">
      <c r="B11" s="800"/>
    </row>
    <row r="19" spans="4:4">
      <c r="D19" s="51"/>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sheetPr codeName="Sheet26">
    <tabColor theme="0" tint="-0.34998626667073579"/>
  </sheetPr>
  <dimension ref="A1:B5"/>
  <sheetViews>
    <sheetView showGridLines="0" workbookViewId="0">
      <selection activeCell="E21" sqref="E21"/>
    </sheetView>
  </sheetViews>
  <sheetFormatPr defaultRowHeight="15"/>
  <cols>
    <col min="1" max="1" width="32.42578125" customWidth="1"/>
    <col min="2" max="2" width="57.42578125" customWidth="1"/>
  </cols>
  <sheetData>
    <row r="1" spans="1:2" s="334" customFormat="1" ht="15.75" thickBot="1">
      <c r="A1" s="392" t="s">
        <v>449</v>
      </c>
      <c r="B1" s="393"/>
    </row>
    <row r="2" spans="1:2" s="334" customFormat="1">
      <c r="A2" s="384"/>
      <c r="B2" s="391"/>
    </row>
    <row r="3" spans="1:2" s="334" customFormat="1" ht="18">
      <c r="A3" s="394"/>
      <c r="B3" s="395" t="s">
        <v>452</v>
      </c>
    </row>
    <row r="4" spans="1:2" ht="18">
      <c r="A4" s="120" t="s">
        <v>450</v>
      </c>
      <c r="B4" s="553">
        <v>310</v>
      </c>
    </row>
    <row r="5" spans="1:2" ht="18.75" thickBot="1">
      <c r="A5" s="115" t="s">
        <v>451</v>
      </c>
      <c r="B5" s="554">
        <v>21</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sheetPr codeName="Sheet14">
    <tabColor theme="0" tint="-0.34998626667073579"/>
  </sheetPr>
  <dimension ref="A1:M4"/>
  <sheetViews>
    <sheetView showGridLines="0" workbookViewId="0">
      <selection activeCell="E4" sqref="E4"/>
    </sheetView>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34" customFormat="1" ht="22.7" customHeight="1" thickBot="1">
      <c r="A1" s="388"/>
      <c r="B1" s="389" t="s">
        <v>199</v>
      </c>
      <c r="C1" s="389" t="s">
        <v>200</v>
      </c>
      <c r="D1" s="389" t="s">
        <v>201</v>
      </c>
      <c r="E1" s="389" t="s">
        <v>202</v>
      </c>
      <c r="F1" s="389" t="s">
        <v>120</v>
      </c>
      <c r="G1" s="389" t="s">
        <v>203</v>
      </c>
      <c r="H1" s="389" t="s">
        <v>204</v>
      </c>
      <c r="I1" s="389" t="s">
        <v>205</v>
      </c>
      <c r="J1" s="389" t="s">
        <v>206</v>
      </c>
      <c r="K1" s="389" t="s">
        <v>207</v>
      </c>
      <c r="L1" s="389" t="s">
        <v>208</v>
      </c>
      <c r="M1" s="390" t="s">
        <v>291</v>
      </c>
    </row>
    <row r="2" spans="1:13" s="334" customFormat="1">
      <c r="A2" s="384" t="s">
        <v>439</v>
      </c>
      <c r="B2" s="356"/>
      <c r="C2" s="356"/>
      <c r="D2" s="356"/>
      <c r="E2" s="356"/>
      <c r="F2" s="356"/>
      <c r="G2" s="356"/>
      <c r="H2" s="356"/>
      <c r="I2" s="356"/>
      <c r="J2" s="356"/>
      <c r="K2" s="356"/>
      <c r="L2" s="356"/>
      <c r="M2" s="391"/>
    </row>
    <row r="3" spans="1:13">
      <c r="A3" s="44"/>
      <c r="B3" s="43"/>
      <c r="C3" s="43"/>
      <c r="D3" s="43"/>
      <c r="E3" s="43"/>
      <c r="F3" s="43"/>
      <c r="G3" s="43"/>
      <c r="H3" s="43"/>
      <c r="I3" s="43"/>
      <c r="J3" s="43"/>
      <c r="K3" s="43"/>
      <c r="L3" s="43"/>
      <c r="M3" s="96"/>
    </row>
    <row r="4" spans="1:13" ht="15.75" thickBot="1">
      <c r="A4" s="210" t="s">
        <v>440</v>
      </c>
      <c r="B4" s="317">
        <v>0.20200000000000001</v>
      </c>
      <c r="C4" s="317">
        <v>0.22700000000000001</v>
      </c>
      <c r="D4" s="317">
        <v>0.26700000000000002</v>
      </c>
      <c r="E4" s="317">
        <v>0.26700000000000002</v>
      </c>
      <c r="F4" s="317">
        <v>0.249</v>
      </c>
      <c r="G4" s="317">
        <v>0.35099999999999998</v>
      </c>
      <c r="H4" s="317">
        <v>0.35399999999999998</v>
      </c>
      <c r="I4" s="317">
        <v>0.26400000000000001</v>
      </c>
      <c r="J4" s="317">
        <v>0</v>
      </c>
      <c r="K4" s="317">
        <v>0</v>
      </c>
      <c r="L4" s="317">
        <v>0</v>
      </c>
      <c r="M4" s="318">
        <v>0.33</v>
      </c>
    </row>
  </sheetData>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sheetPr codeName="Sheet12">
    <tabColor theme="0" tint="-0.34998626667073579"/>
  </sheetPr>
  <dimension ref="A1:K34"/>
  <sheetViews>
    <sheetView showGridLines="0" workbookViewId="0">
      <selection activeCell="B4" sqref="B4"/>
    </sheetView>
  </sheetViews>
  <sheetFormatPr defaultColWidth="9.140625" defaultRowHeight="15"/>
  <cols>
    <col min="1" max="1" width="82.7109375" style="334" customWidth="1"/>
    <col min="2" max="2" width="30.28515625" style="889" customWidth="1"/>
    <col min="3" max="3" width="12" style="889" customWidth="1"/>
    <col min="4" max="4" width="9.140625" style="889"/>
    <col min="5" max="5" width="50.42578125" style="889" customWidth="1"/>
    <col min="6" max="6" width="19.28515625" style="889" customWidth="1"/>
    <col min="7" max="7" width="9.140625" style="889"/>
    <col min="8" max="8" width="23.42578125" style="889" customWidth="1"/>
    <col min="9" max="10" width="9.140625" style="889"/>
    <col min="11" max="11" width="80.140625" style="889" customWidth="1"/>
    <col min="12" max="16384" width="9.140625" style="889"/>
  </cols>
  <sheetData>
    <row r="1" spans="1:11">
      <c r="A1" s="383" t="s">
        <v>491</v>
      </c>
      <c r="B1" s="198"/>
      <c r="C1" s="198"/>
      <c r="D1" s="198"/>
      <c r="E1" s="198"/>
      <c r="F1" s="198"/>
      <c r="G1" s="198"/>
      <c r="H1" s="198"/>
      <c r="I1" s="198"/>
      <c r="J1" s="198"/>
      <c r="K1" s="199"/>
    </row>
    <row r="2" spans="1:11">
      <c r="A2" s="384"/>
      <c r="B2" s="43"/>
      <c r="C2" s="43"/>
      <c r="D2" s="43"/>
      <c r="E2" s="43"/>
      <c r="F2" s="43"/>
      <c r="G2" s="43"/>
      <c r="H2" s="43"/>
      <c r="I2" s="43"/>
      <c r="J2" s="43"/>
      <c r="K2" s="96"/>
    </row>
    <row r="3" spans="1:11">
      <c r="A3" s="384" t="s">
        <v>509</v>
      </c>
      <c r="B3" s="49">
        <f ca="1">IF(ISERROR('SEAP template'!C27),0,'SEAP template'!C27)</f>
        <v>62578.483151650456</v>
      </c>
      <c r="C3" s="43" t="s">
        <v>170</v>
      </c>
      <c r="D3" s="43"/>
      <c r="E3" s="154"/>
      <c r="F3" s="43"/>
      <c r="G3" s="43"/>
      <c r="H3" s="43"/>
      <c r="I3" s="43"/>
      <c r="J3" s="43"/>
      <c r="K3" s="96"/>
    </row>
    <row r="4" spans="1:11">
      <c r="A4" s="384" t="s">
        <v>171</v>
      </c>
      <c r="B4" s="49">
        <f>IF(ISERROR('SEAP template'!B78+'SEAP template'!C78),0,'SEAP template'!B78+'SEAP template'!C78)</f>
        <v>4518.756950753982</v>
      </c>
      <c r="C4" s="43" t="s">
        <v>170</v>
      </c>
      <c r="D4" s="43"/>
      <c r="E4" s="43"/>
      <c r="F4" s="43"/>
      <c r="G4" s="43"/>
      <c r="H4" s="43"/>
      <c r="I4" s="43"/>
      <c r="J4" s="43"/>
      <c r="K4" s="96"/>
    </row>
    <row r="5" spans="1:11">
      <c r="A5" s="384" t="s">
        <v>546</v>
      </c>
      <c r="B5" s="49">
        <f>IF(ISERROR('Eigen informatie GS &amp; warmtenet'!B4),0,'Eigen informatie GS &amp; warmtenet'!B4)</f>
        <v>0</v>
      </c>
      <c r="C5" s="43" t="s">
        <v>170</v>
      </c>
      <c r="D5" s="43"/>
      <c r="E5" s="43"/>
      <c r="F5" s="43"/>
      <c r="G5" s="43"/>
      <c r="H5" s="43"/>
      <c r="I5" s="43"/>
      <c r="J5" s="43"/>
      <c r="K5" s="96"/>
    </row>
    <row r="6" spans="1:11">
      <c r="A6" s="384" t="s">
        <v>172</v>
      </c>
      <c r="B6" s="556">
        <f>E6</f>
        <v>0.221</v>
      </c>
      <c r="C6" s="43" t="s">
        <v>173</v>
      </c>
      <c r="D6" s="43"/>
      <c r="E6" s="956">
        <v>0.221</v>
      </c>
      <c r="F6" s="43" t="s">
        <v>798</v>
      </c>
      <c r="G6" s="43" t="s">
        <v>869</v>
      </c>
      <c r="H6" s="43"/>
      <c r="I6" s="43"/>
      <c r="J6" s="43"/>
      <c r="K6" s="96"/>
    </row>
    <row r="7" spans="1:11">
      <c r="A7" s="384"/>
      <c r="B7" s="478"/>
      <c r="C7" s="43"/>
      <c r="D7" s="43"/>
      <c r="E7" s="43"/>
      <c r="F7" s="48"/>
      <c r="G7" s="43"/>
      <c r="H7" s="43"/>
      <c r="I7" s="43"/>
      <c r="J7" s="43"/>
      <c r="K7" s="96"/>
    </row>
    <row r="8" spans="1:11">
      <c r="A8" s="384"/>
      <c r="B8" s="478"/>
      <c r="C8" s="43"/>
      <c r="D8" s="43"/>
      <c r="E8" s="43"/>
      <c r="F8" s="48"/>
      <c r="G8" s="43"/>
      <c r="H8" s="955"/>
      <c r="I8" s="155"/>
      <c r="J8" s="43"/>
      <c r="K8" s="96"/>
    </row>
    <row r="9" spans="1:11">
      <c r="A9" s="384" t="s">
        <v>175</v>
      </c>
      <c r="B9" s="49">
        <f>IF(ISERROR('SEAP template'!Q78),0,'SEAP template'!Q78)</f>
        <v>0</v>
      </c>
      <c r="C9" s="43" t="s">
        <v>174</v>
      </c>
      <c r="D9" s="43"/>
      <c r="E9" s="43"/>
      <c r="F9" s="43"/>
      <c r="G9" s="43"/>
      <c r="H9" s="43"/>
      <c r="I9" s="43"/>
      <c r="J9" s="43"/>
      <c r="K9" s="96"/>
    </row>
    <row r="10" spans="1:11">
      <c r="A10" s="384" t="s">
        <v>414</v>
      </c>
      <c r="B10" s="48">
        <v>0</v>
      </c>
      <c r="C10" s="43" t="s">
        <v>174</v>
      </c>
      <c r="D10" s="154"/>
      <c r="E10" s="43"/>
      <c r="F10" s="43"/>
      <c r="G10" s="43"/>
      <c r="H10" s="43"/>
      <c r="I10" s="43"/>
      <c r="J10" s="43"/>
      <c r="K10" s="96"/>
    </row>
    <row r="11" spans="1:11">
      <c r="A11" s="384"/>
      <c r="B11" s="478"/>
      <c r="C11" s="43"/>
      <c r="D11" s="43"/>
      <c r="E11" s="43"/>
      <c r="F11" s="43"/>
      <c r="G11" s="43"/>
      <c r="H11" s="43"/>
      <c r="I11" s="43"/>
      <c r="J11" s="43"/>
      <c r="K11" s="96"/>
    </row>
    <row r="12" spans="1:11">
      <c r="A12" s="385" t="s">
        <v>176</v>
      </c>
      <c r="B12" s="555">
        <f ca="1">IF((B4+B5)&gt;B3,(B9+B10)/(B4+B5),((B3-B4-B5)*B6+B9+B10)/B3)</f>
        <v>0.20504171472650515</v>
      </c>
      <c r="C12" s="43" t="s">
        <v>173</v>
      </c>
      <c r="D12" s="43"/>
      <c r="E12" s="154"/>
      <c r="F12" s="43"/>
      <c r="G12" s="43"/>
      <c r="H12" s="43"/>
      <c r="I12" s="43"/>
      <c r="J12" s="43"/>
      <c r="K12" s="96"/>
    </row>
    <row r="13" spans="1:11" ht="15.75" thickBot="1">
      <c r="A13" s="386"/>
      <c r="B13" s="108"/>
      <c r="C13" s="108"/>
      <c r="D13" s="108"/>
      <c r="E13" s="108"/>
      <c r="F13" s="108"/>
      <c r="G13" s="108"/>
      <c r="H13" s="108"/>
      <c r="I13" s="108"/>
      <c r="J13" s="108"/>
      <c r="K13" s="109"/>
    </row>
    <row r="14" spans="1:11" s="43" customFormat="1" ht="15.75" thickBot="1">
      <c r="A14" s="356"/>
    </row>
    <row r="15" spans="1:11">
      <c r="A15" s="387" t="s">
        <v>492</v>
      </c>
      <c r="B15" s="200"/>
      <c r="C15" s="200"/>
      <c r="D15" s="200"/>
      <c r="E15" s="200"/>
      <c r="F15" s="200"/>
      <c r="G15" s="200"/>
      <c r="H15" s="200"/>
      <c r="I15" s="200"/>
      <c r="J15" s="200"/>
      <c r="K15" s="201"/>
    </row>
    <row r="16" spans="1:11">
      <c r="A16" s="384"/>
      <c r="B16" s="43"/>
      <c r="C16" s="43"/>
      <c r="D16" s="43"/>
      <c r="E16" s="43"/>
      <c r="F16" s="43"/>
      <c r="G16" s="43"/>
      <c r="H16" s="43"/>
      <c r="I16" s="43"/>
      <c r="J16" s="43"/>
      <c r="K16" s="96"/>
    </row>
    <row r="17" spans="1:11">
      <c r="A17" s="384" t="s">
        <v>177</v>
      </c>
      <c r="B17" s="49">
        <f>IF(ISERROR('SEAP template'!Q90),0,'SEAP template'!Q90)</f>
        <v>0</v>
      </c>
      <c r="C17" s="43" t="s">
        <v>174</v>
      </c>
      <c r="D17" s="43"/>
      <c r="E17" s="43"/>
      <c r="F17" s="43"/>
      <c r="G17" s="43"/>
      <c r="H17" s="43"/>
      <c r="I17" s="43"/>
      <c r="J17" s="43"/>
      <c r="K17" s="96"/>
    </row>
    <row r="18" spans="1:11">
      <c r="A18" s="384" t="s">
        <v>178</v>
      </c>
      <c r="B18" s="49">
        <f>IF(ISERROR('Eigen informatie GS &amp; warmtenet'!B52),0,'Eigen informatie GS &amp; warmtenet'!B52)</f>
        <v>0</v>
      </c>
      <c r="C18" s="43" t="s">
        <v>174</v>
      </c>
      <c r="D18" s="43"/>
      <c r="E18" s="43"/>
      <c r="F18" s="43"/>
      <c r="G18" s="43"/>
      <c r="H18" s="43"/>
      <c r="I18" s="43"/>
      <c r="J18" s="43"/>
      <c r="K18" s="96"/>
    </row>
    <row r="19" spans="1:11">
      <c r="A19" s="384" t="s">
        <v>302</v>
      </c>
      <c r="B19" s="49">
        <f>IF(ISERROR('Eigen informatie GS &amp; warmtenet'!B53),0,'Eigen informatie GS &amp; warmtenet'!B53)</f>
        <v>0</v>
      </c>
      <c r="C19" s="43" t="s">
        <v>174</v>
      </c>
      <c r="D19" s="43"/>
      <c r="E19" s="43"/>
      <c r="F19" s="43"/>
      <c r="G19" s="43"/>
      <c r="H19" s="43"/>
      <c r="I19" s="43"/>
      <c r="J19" s="43"/>
      <c r="K19" s="96"/>
    </row>
    <row r="20" spans="1:11">
      <c r="A20" s="384" t="s">
        <v>510</v>
      </c>
      <c r="B20" s="49">
        <f ca="1">IF(ISERROR('SEAP template'!D27),0,('SEAP template'!D27))</f>
        <v>0</v>
      </c>
      <c r="C20" s="43" t="s">
        <v>170</v>
      </c>
      <c r="D20" s="43"/>
      <c r="E20" s="154"/>
      <c r="F20" s="154"/>
      <c r="G20" s="43"/>
      <c r="H20" s="43"/>
      <c r="I20" s="43"/>
      <c r="J20" s="43"/>
      <c r="K20" s="96"/>
    </row>
    <row r="21" spans="1:11">
      <c r="A21" s="384"/>
      <c r="B21" s="43"/>
      <c r="C21" s="43"/>
      <c r="D21" s="43"/>
      <c r="E21" s="43"/>
      <c r="F21" s="43"/>
      <c r="G21" s="43"/>
      <c r="H21" s="43"/>
      <c r="I21" s="43"/>
      <c r="J21" s="43"/>
      <c r="K21" s="96"/>
    </row>
    <row r="22" spans="1:11" s="43" customFormat="1">
      <c r="A22" s="385" t="s">
        <v>179</v>
      </c>
      <c r="B22" s="557">
        <f ca="1">IF(B20=0,0,(B17+B18-B19)/B20)</f>
        <v>0</v>
      </c>
      <c r="C22" s="43" t="s">
        <v>173</v>
      </c>
      <c r="K22" s="96"/>
    </row>
    <row r="23" spans="1:11" ht="15.75" thickBot="1">
      <c r="A23" s="386"/>
      <c r="B23" s="108"/>
      <c r="C23" s="108"/>
      <c r="D23" s="108"/>
      <c r="E23" s="108"/>
      <c r="F23" s="108"/>
      <c r="G23" s="108"/>
      <c r="H23" s="108"/>
      <c r="I23" s="108"/>
      <c r="J23" s="108"/>
      <c r="K23" s="109"/>
    </row>
    <row r="34" spans="1:1">
      <c r="A34" s="334" t="s">
        <v>236</v>
      </c>
    </row>
  </sheetData>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sheetPr codeName="Sheet17">
    <tabColor theme="0" tint="-0.34998626667073579"/>
  </sheetPr>
  <dimension ref="A1:H33"/>
  <sheetViews>
    <sheetView showGridLines="0" workbookViewId="0">
      <selection activeCell="A2" sqref="A2:F33"/>
    </sheetView>
  </sheetViews>
  <sheetFormatPr defaultColWidth="9.140625" defaultRowHeight="15"/>
  <cols>
    <col min="1" max="1" width="56.85546875" style="890" bestFit="1" customWidth="1"/>
    <col min="2" max="2" width="22.7109375" style="316" customWidth="1"/>
    <col min="3" max="3" width="31.42578125" style="316" customWidth="1"/>
    <col min="4" max="4" width="22.28515625" style="316" customWidth="1"/>
    <col min="5" max="5" width="12.140625" style="316" customWidth="1"/>
    <col min="6" max="6" width="37.28515625" style="232" bestFit="1" customWidth="1"/>
    <col min="7" max="16384" width="9.140625" style="15"/>
  </cols>
  <sheetData>
    <row r="1" spans="1:8" s="316" customFormat="1">
      <c r="A1" s="890" t="s">
        <v>731</v>
      </c>
      <c r="B1" s="890" t="s">
        <v>308</v>
      </c>
      <c r="C1" s="890" t="s">
        <v>312</v>
      </c>
      <c r="D1" s="890" t="s">
        <v>313</v>
      </c>
      <c r="E1" s="890" t="s">
        <v>314</v>
      </c>
      <c r="F1" s="890" t="s">
        <v>315</v>
      </c>
      <c r="H1" s="934" t="s">
        <v>747</v>
      </c>
    </row>
    <row r="2" spans="1:8">
      <c r="A2" s="316" t="str">
        <f>CONCATENATE(TableECFTransport[[#This Row],[Voertuigtype]],"_",TableECFTransport[[#This Row],[Wegtype]],"_",TableECFTransport[[#This Row],[Brandstoftechnologie]],"_",TableECFTransport[[#This Row],[Brandstof]])</f>
        <v>Tram_gemiddeld_Electric_Electric</v>
      </c>
      <c r="B2" s="316" t="s">
        <v>330</v>
      </c>
      <c r="C2" s="316" t="s">
        <v>342</v>
      </c>
      <c r="D2" s="316" t="s">
        <v>310</v>
      </c>
      <c r="E2" s="316" t="s">
        <v>310</v>
      </c>
      <c r="F2" s="316">
        <v>1.269E-8</v>
      </c>
    </row>
    <row r="3" spans="1:8">
      <c r="A3" s="316" t="str">
        <f>CONCATENATE(TableECFTransport[[#This Row],[Voertuigtype]],"_",TableECFTransport[[#This Row],[Wegtype]],"_",TableECFTransport[[#This Row],[Brandstoftechnologie]],"_",TableECFTransport[[#This Row],[Brandstof]])</f>
        <v>BUS_Genummerde wegen_Diesel_Diesel</v>
      </c>
      <c r="B3" s="316" t="s">
        <v>729</v>
      </c>
      <c r="C3" s="316" t="s">
        <v>64</v>
      </c>
      <c r="D3" s="316" t="s">
        <v>202</v>
      </c>
      <c r="E3" s="316" t="s">
        <v>202</v>
      </c>
      <c r="F3" s="316">
        <v>9.6310484814393071E-9</v>
      </c>
    </row>
    <row r="4" spans="1:8">
      <c r="A4" s="316" t="str">
        <f>CONCATENATE(TableECFTransport[[#This Row],[Voertuigtype]],"_",TableECFTransport[[#This Row],[Wegtype]],"_",TableECFTransport[[#This Row],[Brandstoftechnologie]],"_",TableECFTransport[[#This Row],[Brandstof]])</f>
        <v>BUS_Niet-genummerde wegen_Diesel_Diesel</v>
      </c>
      <c r="B4" s="316" t="s">
        <v>729</v>
      </c>
      <c r="C4" s="316" t="s">
        <v>65</v>
      </c>
      <c r="D4" s="316" t="s">
        <v>202</v>
      </c>
      <c r="E4" s="316" t="s">
        <v>202</v>
      </c>
      <c r="F4" s="316">
        <v>1.7333504154097487E-8</v>
      </c>
    </row>
    <row r="5" spans="1:8">
      <c r="A5" s="316" t="str">
        <f>CONCATENATE(TableECFTransport[[#This Row],[Voertuigtype]],"_",TableECFTransport[[#This Row],[Wegtype]],"_",TableECFTransport[[#This Row],[Brandstoftechnologie]],"_",TableECFTransport[[#This Row],[Brandstof]])</f>
        <v>BUS_Genummerde wegen_Diesel Hybrid CS_Diesel</v>
      </c>
      <c r="B5" s="316" t="s">
        <v>729</v>
      </c>
      <c r="C5" s="316" t="s">
        <v>64</v>
      </c>
      <c r="D5" s="316" t="s">
        <v>317</v>
      </c>
      <c r="E5" s="316" t="s">
        <v>202</v>
      </c>
      <c r="F5" s="316">
        <v>9.6310484814393071E-9</v>
      </c>
    </row>
    <row r="6" spans="1:8" s="890" customFormat="1">
      <c r="A6" s="316" t="str">
        <f>CONCATENATE(TableECFTransport[[#This Row],[Voertuigtype]],"_",TableECFTransport[[#This Row],[Wegtype]],"_",TableECFTransport[[#This Row],[Brandstoftechnologie]],"_",TableECFTransport[[#This Row],[Brandstof]])</f>
        <v>BUS_Niet-genummerde wegen_Diesel Hybrid CS_Diesel</v>
      </c>
      <c r="B6" s="316" t="s">
        <v>729</v>
      </c>
      <c r="C6" s="316" t="s">
        <v>65</v>
      </c>
      <c r="D6" s="316" t="s">
        <v>317</v>
      </c>
      <c r="E6" s="316" t="s">
        <v>202</v>
      </c>
      <c r="F6" s="316">
        <v>1.7333504154097487E-8</v>
      </c>
    </row>
    <row r="7" spans="1:8">
      <c r="A7" s="316" t="str">
        <f>CONCATENATE(TableECFTransport[[#This Row],[Voertuigtype]],"_",TableECFTransport[[#This Row],[Wegtype]],"_",TableECFTransport[[#This Row],[Brandstoftechnologie]],"_",TableECFTransport[[#This Row],[Brandstof]])</f>
        <v>Lichte voertuigen_Genummerde wegen_CNG_CNG</v>
      </c>
      <c r="B7" s="316" t="s">
        <v>713</v>
      </c>
      <c r="C7" s="316" t="s">
        <v>64</v>
      </c>
      <c r="D7" s="316" t="s">
        <v>309</v>
      </c>
      <c r="E7" s="316" t="s">
        <v>309</v>
      </c>
      <c r="F7" s="316">
        <v>2.4211643710975745E-9</v>
      </c>
    </row>
    <row r="8" spans="1:8">
      <c r="A8" s="316" t="str">
        <f>CONCATENATE(TableECFTransport[[#This Row],[Voertuigtype]],"_",TableECFTransport[[#This Row],[Wegtype]],"_",TableECFTransport[[#This Row],[Brandstoftechnologie]],"_",TableECFTransport[[#This Row],[Brandstof]])</f>
        <v>Lichte voertuigen_Genummerde wegen_Diesel_Diesel</v>
      </c>
      <c r="B8" s="316" t="s">
        <v>713</v>
      </c>
      <c r="C8" s="316" t="s">
        <v>64</v>
      </c>
      <c r="D8" s="316" t="s">
        <v>202</v>
      </c>
      <c r="E8" s="316" t="s">
        <v>202</v>
      </c>
      <c r="F8" s="316">
        <v>2.0853498248206958E-9</v>
      </c>
    </row>
    <row r="9" spans="1:8">
      <c r="A9" s="316" t="str">
        <f>CONCATENATE(TableECFTransport[[#This Row],[Voertuigtype]],"_",TableECFTransport[[#This Row],[Wegtype]],"_",TableECFTransport[[#This Row],[Brandstoftechnologie]],"_",TableECFTransport[[#This Row],[Brandstof]])</f>
        <v>Lichte voertuigen_Genummerde wegen_E85_E85</v>
      </c>
      <c r="B9" s="316" t="s">
        <v>713</v>
      </c>
      <c r="C9" s="316" t="s">
        <v>64</v>
      </c>
      <c r="D9" s="316" t="s">
        <v>664</v>
      </c>
      <c r="E9" s="316" t="s">
        <v>664</v>
      </c>
      <c r="F9" s="316">
        <v>2.2248473074143505E-9</v>
      </c>
    </row>
    <row r="10" spans="1:8">
      <c r="A10" s="316" t="str">
        <f>CONCATENATE(TableECFTransport[[#This Row],[Voertuigtype]],"_",TableECFTransport[[#This Row],[Wegtype]],"_",TableECFTransport[[#This Row],[Brandstoftechnologie]],"_",TableECFTransport[[#This Row],[Brandstof]])</f>
        <v>Lichte voertuigen_Genummerde wegen_Electric_Electric</v>
      </c>
      <c r="B10" s="316" t="s">
        <v>713</v>
      </c>
      <c r="C10" s="316" t="s">
        <v>64</v>
      </c>
      <c r="D10" s="316" t="s">
        <v>310</v>
      </c>
      <c r="E10" s="316" t="s">
        <v>310</v>
      </c>
      <c r="F10" s="316">
        <v>8.4999999999999996E-10</v>
      </c>
    </row>
    <row r="11" spans="1:8">
      <c r="A11" s="316" t="str">
        <f>CONCATENATE(TableECFTransport[[#This Row],[Voertuigtype]],"_",TableECFTransport[[#This Row],[Wegtype]],"_",TableECFTransport[[#This Row],[Brandstoftechnologie]],"_",TableECFTransport[[#This Row],[Brandstof]])</f>
        <v>Lichte voertuigen_Genummerde wegen_LPG_LPG</v>
      </c>
      <c r="B11" s="316" t="s">
        <v>713</v>
      </c>
      <c r="C11" s="316" t="s">
        <v>64</v>
      </c>
      <c r="D11" s="316" t="s">
        <v>119</v>
      </c>
      <c r="E11" s="316" t="s">
        <v>119</v>
      </c>
      <c r="F11" s="316">
        <v>2.1359422681972818E-9</v>
      </c>
    </row>
    <row r="12" spans="1:8">
      <c r="A12" s="316" t="str">
        <f>CONCATENATE(TableECFTransport[[#This Row],[Voertuigtype]],"_",TableECFTransport[[#This Row],[Wegtype]],"_",TableECFTransport[[#This Row],[Brandstoftechnologie]],"_",TableECFTransport[[#This Row],[Brandstof]])</f>
        <v>Lichte voertuigen_Genummerde wegen_Petrol_Petrol</v>
      </c>
      <c r="B12" s="316" t="s">
        <v>713</v>
      </c>
      <c r="C12" s="316" t="s">
        <v>64</v>
      </c>
      <c r="D12" s="316" t="s">
        <v>311</v>
      </c>
      <c r="E12" s="316" t="s">
        <v>311</v>
      </c>
      <c r="F12" s="316">
        <v>2.1432715960591659E-9</v>
      </c>
    </row>
    <row r="13" spans="1:8">
      <c r="A13" s="316" t="str">
        <f>CONCATENATE(TableECFTransport[[#This Row],[Voertuigtype]],"_",TableECFTransport[[#This Row],[Wegtype]],"_",TableECFTransport[[#This Row],[Brandstoftechnologie]],"_",TableECFTransport[[#This Row],[Brandstof]])</f>
        <v>Lichte voertuigen_Genummerde wegen_Petrol Hybrid_Petrol</v>
      </c>
      <c r="B13" s="316" t="s">
        <v>713</v>
      </c>
      <c r="C13" s="316" t="s">
        <v>64</v>
      </c>
      <c r="D13" s="316" t="s">
        <v>748</v>
      </c>
      <c r="E13" s="316" t="s">
        <v>311</v>
      </c>
      <c r="F13" s="316">
        <v>1.3507185593600061E-9</v>
      </c>
    </row>
    <row r="14" spans="1:8">
      <c r="A14" s="316" t="str">
        <f>CONCATENATE(TableECFTransport[[#This Row],[Voertuigtype]],"_",TableECFTransport[[#This Row],[Wegtype]],"_",TableECFTransport[[#This Row],[Brandstoftechnologie]],"_",TableECFTransport[[#This Row],[Brandstof]])</f>
        <v>Lichte voertuigen_Niet-genummerde wegen_CNG_CNG</v>
      </c>
      <c r="B14" s="316" t="s">
        <v>713</v>
      </c>
      <c r="C14" s="316" t="s">
        <v>65</v>
      </c>
      <c r="D14" s="316" t="s">
        <v>309</v>
      </c>
      <c r="E14" s="316" t="s">
        <v>309</v>
      </c>
      <c r="F14" s="316">
        <v>4.2823322018433636E-9</v>
      </c>
    </row>
    <row r="15" spans="1:8">
      <c r="A15" s="316" t="str">
        <f>CONCATENATE(TableECFTransport[[#This Row],[Voertuigtype]],"_",TableECFTransport[[#This Row],[Wegtype]],"_",TableECFTransport[[#This Row],[Brandstoftechnologie]],"_",TableECFTransport[[#This Row],[Brandstof]])</f>
        <v>Lichte voertuigen_Niet-genummerde wegen_Diesel_Diesel</v>
      </c>
      <c r="B15" s="316" t="s">
        <v>713</v>
      </c>
      <c r="C15" s="316" t="s">
        <v>65</v>
      </c>
      <c r="D15" s="316" t="s">
        <v>202</v>
      </c>
      <c r="E15" s="316" t="s">
        <v>202</v>
      </c>
      <c r="F15" s="316">
        <v>3.1820582089096682E-9</v>
      </c>
    </row>
    <row r="16" spans="1:8">
      <c r="A16" s="316" t="str">
        <f>CONCATENATE(TableECFTransport[[#This Row],[Voertuigtype]],"_",TableECFTransport[[#This Row],[Wegtype]],"_",TableECFTransport[[#This Row],[Brandstoftechnologie]],"_",TableECFTransport[[#This Row],[Brandstof]])</f>
        <v>Lichte voertuigen_Niet-genummerde wegen_E85_E85</v>
      </c>
      <c r="B16" s="316" t="s">
        <v>713</v>
      </c>
      <c r="C16" s="316" t="s">
        <v>65</v>
      </c>
      <c r="D16" s="316" t="s">
        <v>664</v>
      </c>
      <c r="E16" s="316" t="s">
        <v>664</v>
      </c>
      <c r="F16" s="316">
        <v>3.6444951849426912E-9</v>
      </c>
    </row>
    <row r="17" spans="1:7">
      <c r="A17" s="316" t="str">
        <f>CONCATENATE(TableECFTransport[[#This Row],[Voertuigtype]],"_",TableECFTransport[[#This Row],[Wegtype]],"_",TableECFTransport[[#This Row],[Brandstoftechnologie]],"_",TableECFTransport[[#This Row],[Brandstof]])</f>
        <v>Lichte voertuigen_Niet-genummerde wegen_Electric_Electric</v>
      </c>
      <c r="B17" s="316" t="s">
        <v>713</v>
      </c>
      <c r="C17" s="316" t="s">
        <v>65</v>
      </c>
      <c r="D17" s="316" t="s">
        <v>310</v>
      </c>
      <c r="E17" s="316" t="s">
        <v>310</v>
      </c>
      <c r="F17" s="316">
        <v>8.4999999999999996E-10</v>
      </c>
    </row>
    <row r="18" spans="1:7">
      <c r="A18" s="316" t="str">
        <f>CONCATENATE(TableECFTransport[[#This Row],[Voertuigtype]],"_",TableECFTransport[[#This Row],[Wegtype]],"_",TableECFTransport[[#This Row],[Brandstoftechnologie]],"_",TableECFTransport[[#This Row],[Brandstof]])</f>
        <v>Lichte voertuigen_Niet-genummerde wegen_LPG_LPG</v>
      </c>
      <c r="B18" s="316" t="s">
        <v>713</v>
      </c>
      <c r="C18" s="316" t="s">
        <v>65</v>
      </c>
      <c r="D18" s="316" t="s">
        <v>119</v>
      </c>
      <c r="E18" s="316" t="s">
        <v>119</v>
      </c>
      <c r="F18" s="316">
        <v>3.4865695761954627E-9</v>
      </c>
    </row>
    <row r="19" spans="1:7">
      <c r="A19" s="316" t="str">
        <f>CONCATENATE(TableECFTransport[[#This Row],[Voertuigtype]],"_",TableECFTransport[[#This Row],[Wegtype]],"_",TableECFTransport[[#This Row],[Brandstoftechnologie]],"_",TableECFTransport[[#This Row],[Brandstof]])</f>
        <v>Lichte voertuigen_Niet-genummerde wegen_Petrol_Petrol</v>
      </c>
      <c r="B19" s="316" t="s">
        <v>713</v>
      </c>
      <c r="C19" s="316" t="s">
        <v>65</v>
      </c>
      <c r="D19" s="316" t="s">
        <v>311</v>
      </c>
      <c r="E19" s="316" t="s">
        <v>311</v>
      </c>
      <c r="F19" s="316">
        <v>3.6654564644635338E-9</v>
      </c>
    </row>
    <row r="20" spans="1:7">
      <c r="A20" s="316" t="str">
        <f>CONCATENATE(TableECFTransport[[#This Row],[Voertuigtype]],"_",TableECFTransport[[#This Row],[Wegtype]],"_",TableECFTransport[[#This Row],[Brandstoftechnologie]],"_",TableECFTransport[[#This Row],[Brandstof]])</f>
        <v>Lichte voertuigen_Niet-genummerde wegen_Petrol Hybrid_Petrol</v>
      </c>
      <c r="B20" s="316" t="s">
        <v>713</v>
      </c>
      <c r="C20" s="316" t="s">
        <v>65</v>
      </c>
      <c r="D20" s="316" t="s">
        <v>748</v>
      </c>
      <c r="E20" s="316" t="s">
        <v>311</v>
      </c>
      <c r="F20" s="316">
        <v>1.3989990926600016E-9</v>
      </c>
    </row>
    <row r="21" spans="1:7">
      <c r="A21" s="316" t="str">
        <f>CONCATENATE(TableECFTransport[[#This Row],[Voertuigtype]],"_",TableECFTransport[[#This Row],[Wegtype]],"_",TableECFTransport[[#This Row],[Brandstoftechnologie]],"_",TableECFTransport[[#This Row],[Brandstof]])</f>
        <v>Lichte voertuigen_snelwegen_CNG_CNG</v>
      </c>
      <c r="B21" s="316" t="s">
        <v>713</v>
      </c>
      <c r="C21" s="316" t="s">
        <v>730</v>
      </c>
      <c r="D21" s="316" t="s">
        <v>309</v>
      </c>
      <c r="E21" s="316" t="s">
        <v>309</v>
      </c>
      <c r="F21" s="316">
        <v>2.5385992132813778E-9</v>
      </c>
    </row>
    <row r="22" spans="1:7">
      <c r="A22" s="316" t="str">
        <f>CONCATENATE(TableECFTransport[[#This Row],[Voertuigtype]],"_",TableECFTransport[[#This Row],[Wegtype]],"_",TableECFTransport[[#This Row],[Brandstoftechnologie]],"_",TableECFTransport[[#This Row],[Brandstof]])</f>
        <v>Lichte voertuigen_snelwegen_Diesel_Diesel</v>
      </c>
      <c r="B22" s="316" t="s">
        <v>713</v>
      </c>
      <c r="C22" s="316" t="s">
        <v>730</v>
      </c>
      <c r="D22" s="316" t="s">
        <v>202</v>
      </c>
      <c r="E22" s="316" t="s">
        <v>202</v>
      </c>
      <c r="F22" s="316">
        <v>2.4541947769849974E-9</v>
      </c>
    </row>
    <row r="23" spans="1:7">
      <c r="A23" s="316" t="str">
        <f>CONCATENATE(TableECFTransport[[#This Row],[Voertuigtype]],"_",TableECFTransport[[#This Row],[Wegtype]],"_",TableECFTransport[[#This Row],[Brandstoftechnologie]],"_",TableECFTransport[[#This Row],[Brandstof]])</f>
        <v>Lichte voertuigen_snelwegen_E85_E85</v>
      </c>
      <c r="B23" s="316" t="s">
        <v>713</v>
      </c>
      <c r="C23" s="316" t="s">
        <v>730</v>
      </c>
      <c r="D23" s="316" t="s">
        <v>664</v>
      </c>
      <c r="E23" s="316" t="s">
        <v>664</v>
      </c>
      <c r="F23" s="316">
        <v>2.3333594623506086E-9</v>
      </c>
    </row>
    <row r="24" spans="1:7">
      <c r="A24" s="316" t="str">
        <f>CONCATENATE(TableECFTransport[[#This Row],[Voertuigtype]],"_",TableECFTransport[[#This Row],[Wegtype]],"_",TableECFTransport[[#This Row],[Brandstoftechnologie]],"_",TableECFTransport[[#This Row],[Brandstof]])</f>
        <v>Lichte voertuigen_snelwegen_Electric_Electric</v>
      </c>
      <c r="B24" s="316" t="s">
        <v>713</v>
      </c>
      <c r="C24" s="316" t="s">
        <v>730</v>
      </c>
      <c r="D24" s="316" t="s">
        <v>310</v>
      </c>
      <c r="E24" s="316" t="s">
        <v>310</v>
      </c>
      <c r="F24" s="316">
        <v>8.4999999999999996E-10</v>
      </c>
    </row>
    <row r="25" spans="1:7">
      <c r="A25" s="316" t="str">
        <f>CONCATENATE(TableECFTransport[[#This Row],[Voertuigtype]],"_",TableECFTransport[[#This Row],[Wegtype]],"_",TableECFTransport[[#This Row],[Brandstoftechnologie]],"_",TableECFTransport[[#This Row],[Brandstof]])</f>
        <v>Lichte voertuigen_snelwegen_LPG_LPG</v>
      </c>
      <c r="B25" s="316" t="s">
        <v>713</v>
      </c>
      <c r="C25" s="316" t="s">
        <v>730</v>
      </c>
      <c r="D25" s="316" t="s">
        <v>119</v>
      </c>
      <c r="E25" s="316" t="s">
        <v>119</v>
      </c>
      <c r="F25" s="316">
        <v>2.7921381327553704E-9</v>
      </c>
    </row>
    <row r="26" spans="1:7">
      <c r="A26" s="316" t="str">
        <f>CONCATENATE(TableECFTransport[[#This Row],[Voertuigtype]],"_",TableECFTransport[[#This Row],[Wegtype]],"_",TableECFTransport[[#This Row],[Brandstoftechnologie]],"_",TableECFTransport[[#This Row],[Brandstof]])</f>
        <v>Lichte voertuigen_snelwegen_Petrol_Petrol</v>
      </c>
      <c r="B26" s="316" t="s">
        <v>713</v>
      </c>
      <c r="C26" s="316" t="s">
        <v>730</v>
      </c>
      <c r="D26" s="316" t="s">
        <v>311</v>
      </c>
      <c r="E26" s="316" t="s">
        <v>311</v>
      </c>
      <c r="F26" s="316">
        <v>2.3413447370297025E-9</v>
      </c>
    </row>
    <row r="27" spans="1:7">
      <c r="A27" s="316" t="str">
        <f>CONCATENATE(TableECFTransport[[#This Row],[Voertuigtype]],"_",TableECFTransport[[#This Row],[Wegtype]],"_",TableECFTransport[[#This Row],[Brandstoftechnologie]],"_",TableECFTransport[[#This Row],[Brandstof]])</f>
        <v>Lichte voertuigen_snelwegen_Petrol Hybrid_Petrol</v>
      </c>
      <c r="B27" s="316" t="s">
        <v>713</v>
      </c>
      <c r="C27" s="316" t="s">
        <v>730</v>
      </c>
      <c r="D27" s="316" t="s">
        <v>748</v>
      </c>
      <c r="E27" s="316" t="s">
        <v>311</v>
      </c>
      <c r="F27" s="316">
        <v>1.8266452460000029E-9</v>
      </c>
      <c r="G27" s="914"/>
    </row>
    <row r="28" spans="1:7">
      <c r="A28" s="316" t="str">
        <f>CONCATENATE(TableECFTransport[[#This Row],[Voertuigtype]],"_",TableECFTransport[[#This Row],[Wegtype]],"_",TableECFTransport[[#This Row],[Brandstoftechnologie]],"_",TableECFTransport[[#This Row],[Brandstof]])</f>
        <v>Zware voertuigen_Genummerde wegen_Diesel_Diesel</v>
      </c>
      <c r="B28" s="316" t="s">
        <v>714</v>
      </c>
      <c r="C28" s="316" t="s">
        <v>64</v>
      </c>
      <c r="D28" s="316" t="s">
        <v>202</v>
      </c>
      <c r="E28" s="316" t="s">
        <v>202</v>
      </c>
      <c r="F28" s="316">
        <v>9.8735858636476487E-9</v>
      </c>
    </row>
    <row r="29" spans="1:7">
      <c r="A29" s="316" t="str">
        <f>CONCATENATE(TableECFTransport[[#This Row],[Voertuigtype]],"_",TableECFTransport[[#This Row],[Wegtype]],"_",TableECFTransport[[#This Row],[Brandstoftechnologie]],"_",TableECFTransport[[#This Row],[Brandstof]])</f>
        <v>Zware voertuigen_Genummerde wegen_Petrol_Petrol</v>
      </c>
      <c r="B29" s="316" t="s">
        <v>714</v>
      </c>
      <c r="C29" s="316" t="s">
        <v>64</v>
      </c>
      <c r="D29" s="316" t="s">
        <v>311</v>
      </c>
      <c r="E29" s="316" t="s">
        <v>311</v>
      </c>
      <c r="F29" s="316">
        <v>6.3502624751300968E-9</v>
      </c>
    </row>
    <row r="30" spans="1:7">
      <c r="A30" s="316" t="str">
        <f>CONCATENATE(TableECFTransport[[#This Row],[Voertuigtype]],"_",TableECFTransport[[#This Row],[Wegtype]],"_",TableECFTransport[[#This Row],[Brandstoftechnologie]],"_",TableECFTransport[[#This Row],[Brandstof]])</f>
        <v>Zware voertuigen_Niet-genummerde wegen_Diesel_Diesel</v>
      </c>
      <c r="B30" s="316" t="s">
        <v>714</v>
      </c>
      <c r="C30" s="316" t="s">
        <v>65</v>
      </c>
      <c r="D30" s="316" t="s">
        <v>202</v>
      </c>
      <c r="E30" s="316" t="s">
        <v>202</v>
      </c>
      <c r="F30" s="316">
        <v>1.2596099914726491E-8</v>
      </c>
    </row>
    <row r="31" spans="1:7">
      <c r="A31" s="316" t="str">
        <f>CONCATENATE(TableECFTransport[[#This Row],[Voertuigtype]],"_",TableECFTransport[[#This Row],[Wegtype]],"_",TableECFTransport[[#This Row],[Brandstoftechnologie]],"_",TableECFTransport[[#This Row],[Brandstof]])</f>
        <v>Zware voertuigen_Niet-genummerde wegen_Petrol_Petrol</v>
      </c>
      <c r="B31" s="316" t="s">
        <v>714</v>
      </c>
      <c r="C31" s="316" t="s">
        <v>65</v>
      </c>
      <c r="D31" s="316" t="s">
        <v>311</v>
      </c>
      <c r="E31" s="316" t="s">
        <v>311</v>
      </c>
      <c r="F31" s="940">
        <v>7.6655390724065196E-9</v>
      </c>
    </row>
    <row r="32" spans="1:7">
      <c r="A32" s="316" t="str">
        <f>CONCATENATE(TableECFTransport[[#This Row],[Voertuigtype]],"_",TableECFTransport[[#This Row],[Wegtype]],"_",TableECFTransport[[#This Row],[Brandstoftechnologie]],"_",TableECFTransport[[#This Row],[Brandstof]])</f>
        <v>Zware voertuigen_snelwegen_Diesel_Diesel</v>
      </c>
      <c r="B32" s="316" t="s">
        <v>714</v>
      </c>
      <c r="C32" s="316" t="s">
        <v>730</v>
      </c>
      <c r="D32" s="316" t="s">
        <v>202</v>
      </c>
      <c r="E32" s="316" t="s">
        <v>202</v>
      </c>
      <c r="F32" s="940">
        <v>9.4288593656145596E-9</v>
      </c>
    </row>
    <row r="33" spans="1:6">
      <c r="A33" s="316" t="str">
        <f>CONCATENATE(TableECFTransport[[#This Row],[Voertuigtype]],"_",TableECFTransport[[#This Row],[Wegtype]],"_",TableECFTransport[[#This Row],[Brandstoftechnologie]],"_",TableECFTransport[[#This Row],[Brandstof]])</f>
        <v>Zware voertuigen_snelwegen_Petrol_Petrol</v>
      </c>
      <c r="B33" s="316" t="s">
        <v>714</v>
      </c>
      <c r="C33" s="316" t="s">
        <v>730</v>
      </c>
      <c r="D33" s="316" t="s">
        <v>311</v>
      </c>
      <c r="E33" s="316" t="s">
        <v>311</v>
      </c>
      <c r="F33" s="940">
        <v>6.5355741912209466E-9</v>
      </c>
    </row>
  </sheetData>
  <pageMargins left="0.7" right="0.7" top="0.75" bottom="0.75" header="0.3" footer="0.3"/>
  <pageSetup paperSize="9" orientation="portrait" r:id="rId1"/>
  <tableParts count="1">
    <tablePart r:id="rId2"/>
  </tableParts>
</worksheet>
</file>

<file path=xl/worksheets/sheet22.xml><?xml version="1.0" encoding="utf-8"?>
<worksheet xmlns="http://schemas.openxmlformats.org/spreadsheetml/2006/main" xmlns:r="http://schemas.openxmlformats.org/officeDocument/2006/relationships">
  <sheetPr codeName="Sheet11">
    <tabColor theme="0" tint="-0.34998626667073579"/>
  </sheetPr>
  <dimension ref="A1:AE35"/>
  <sheetViews>
    <sheetView showGridLines="0" zoomScale="80" zoomScaleNormal="80" workbookViewId="0">
      <pane xSplit="2" ySplit="4" topLeftCell="C5" activePane="bottomRight" state="frozen"/>
      <selection activeCell="B35" sqref="B35"/>
      <selection pane="topRight" activeCell="B35" sqref="B35"/>
      <selection pane="bottomLeft" activeCell="B35" sqref="B35"/>
      <selection pane="bottomRight" activeCell="C15" sqref="C15:AC24"/>
    </sheetView>
  </sheetViews>
  <sheetFormatPr defaultRowHeight="15"/>
  <cols>
    <col min="1" max="1" width="22.28515625" style="43" customWidth="1"/>
    <col min="2" max="2" width="69" style="43" customWidth="1"/>
    <col min="3" max="3" width="9.28515625" bestFit="1" customWidth="1"/>
    <col min="4" max="6" width="10.140625" bestFit="1" customWidth="1"/>
    <col min="7" max="19" width="9.28515625" bestFit="1" customWidth="1"/>
    <col min="20" max="20" width="10.140625" bestFit="1" customWidth="1"/>
    <col min="21" max="22" width="9.28515625" bestFit="1" customWidth="1"/>
    <col min="23" max="23" width="10.140625" bestFit="1" customWidth="1"/>
    <col min="24" max="24" width="9.28515625" bestFit="1" customWidth="1"/>
    <col min="25" max="25" width="11.85546875" customWidth="1"/>
    <col min="26" max="26" width="10.140625" bestFit="1" customWidth="1"/>
    <col min="27" max="28" width="9.140625" style="7"/>
    <col min="29" max="30" width="10.140625" bestFit="1" customWidth="1"/>
  </cols>
  <sheetData>
    <row r="1" spans="1:29" s="2" customFormat="1" ht="11.25">
      <c r="A1" s="1214">
        <v>2014</v>
      </c>
      <c r="B1" s="1215"/>
      <c r="C1" s="76" t="s">
        <v>113</v>
      </c>
      <c r="D1" s="77" t="s">
        <v>114</v>
      </c>
      <c r="E1" s="76" t="s">
        <v>115</v>
      </c>
      <c r="F1" s="78" t="s">
        <v>116</v>
      </c>
      <c r="G1" s="77" t="s">
        <v>117</v>
      </c>
      <c r="H1" s="77" t="s">
        <v>118</v>
      </c>
      <c r="I1" s="76" t="s">
        <v>119</v>
      </c>
      <c r="J1" s="76" t="s">
        <v>120</v>
      </c>
      <c r="K1" s="76" t="s">
        <v>121</v>
      </c>
      <c r="L1" s="76" t="s">
        <v>122</v>
      </c>
      <c r="M1" s="77" t="s">
        <v>123</v>
      </c>
      <c r="N1" s="77" t="s">
        <v>124</v>
      </c>
      <c r="O1" s="77" t="s">
        <v>125</v>
      </c>
      <c r="P1" s="77" t="s">
        <v>126</v>
      </c>
      <c r="Q1" s="77" t="s">
        <v>127</v>
      </c>
      <c r="R1" s="79" t="s">
        <v>128</v>
      </c>
      <c r="S1" s="77" t="s">
        <v>129</v>
      </c>
      <c r="T1" s="77" t="s">
        <v>130</v>
      </c>
      <c r="U1" s="77" t="s">
        <v>131</v>
      </c>
      <c r="V1" s="78" t="s">
        <v>132</v>
      </c>
      <c r="W1" s="78" t="s">
        <v>133</v>
      </c>
      <c r="X1" s="77" t="s">
        <v>134</v>
      </c>
      <c r="Y1" s="76" t="s">
        <v>135</v>
      </c>
      <c r="Z1" s="76" t="s">
        <v>136</v>
      </c>
      <c r="AA1" s="80" t="s">
        <v>137</v>
      </c>
      <c r="AB1" s="81" t="s">
        <v>138</v>
      </c>
      <c r="AC1" s="78" t="s">
        <v>116</v>
      </c>
    </row>
    <row r="2" spans="1:29" s="2" customFormat="1" ht="11.25">
      <c r="A2" s="1216"/>
      <c r="B2" s="1217"/>
      <c r="C2" s="82"/>
      <c r="D2" s="82"/>
      <c r="E2" s="82"/>
      <c r="F2" s="83" t="s">
        <v>139</v>
      </c>
      <c r="G2" s="84" t="s">
        <v>140</v>
      </c>
      <c r="H2" s="85" t="s">
        <v>141</v>
      </c>
      <c r="I2" s="82"/>
      <c r="J2" s="82"/>
      <c r="K2" s="84"/>
      <c r="L2" s="85" t="s">
        <v>142</v>
      </c>
      <c r="M2" s="85" t="s">
        <v>143</v>
      </c>
      <c r="N2" s="85" t="s">
        <v>144</v>
      </c>
      <c r="O2" s="85"/>
      <c r="P2" s="85" t="s">
        <v>145</v>
      </c>
      <c r="Q2" s="84" t="s">
        <v>146</v>
      </c>
      <c r="R2" s="86" t="s">
        <v>147</v>
      </c>
      <c r="S2" s="85" t="s">
        <v>148</v>
      </c>
      <c r="T2" s="85" t="s">
        <v>149</v>
      </c>
      <c r="U2" s="85" t="s">
        <v>149</v>
      </c>
      <c r="V2" s="83"/>
      <c r="W2" s="83" t="s">
        <v>150</v>
      </c>
      <c r="X2" s="85" t="s">
        <v>151</v>
      </c>
      <c r="Y2" s="85"/>
      <c r="Z2" s="85" t="s">
        <v>152</v>
      </c>
      <c r="AA2" s="87"/>
      <c r="AB2" s="87" t="s">
        <v>153</v>
      </c>
      <c r="AC2" s="83"/>
    </row>
    <row r="3" spans="1:29" s="2" customFormat="1" ht="11.25">
      <c r="A3" s="1216"/>
      <c r="B3" s="1217"/>
      <c r="C3" s="85" t="s">
        <v>154</v>
      </c>
      <c r="D3" s="85" t="s">
        <v>154</v>
      </c>
      <c r="E3" s="85" t="s">
        <v>154</v>
      </c>
      <c r="F3" s="83" t="s">
        <v>154</v>
      </c>
      <c r="G3" s="84" t="s">
        <v>154</v>
      </c>
      <c r="H3" s="85" t="s">
        <v>154</v>
      </c>
      <c r="I3" s="85" t="s">
        <v>154</v>
      </c>
      <c r="J3" s="85" t="s">
        <v>154</v>
      </c>
      <c r="K3" s="84" t="s">
        <v>154</v>
      </c>
      <c r="L3" s="85" t="s">
        <v>154</v>
      </c>
      <c r="M3" s="85" t="s">
        <v>154</v>
      </c>
      <c r="N3" s="85" t="s">
        <v>154</v>
      </c>
      <c r="O3" s="85" t="s">
        <v>154</v>
      </c>
      <c r="P3" s="85" t="s">
        <v>154</v>
      </c>
      <c r="Q3" s="84" t="s">
        <v>154</v>
      </c>
      <c r="R3" s="86" t="s">
        <v>154</v>
      </c>
      <c r="S3" s="85" t="s">
        <v>154</v>
      </c>
      <c r="T3" s="85" t="s">
        <v>154</v>
      </c>
      <c r="U3" s="85" t="s">
        <v>154</v>
      </c>
      <c r="V3" s="83" t="s">
        <v>154</v>
      </c>
      <c r="W3" s="83" t="s">
        <v>154</v>
      </c>
      <c r="X3" s="85" t="s">
        <v>154</v>
      </c>
      <c r="Y3" s="85" t="s">
        <v>154</v>
      </c>
      <c r="Z3" s="85" t="s">
        <v>154</v>
      </c>
      <c r="AA3" s="87" t="s">
        <v>154</v>
      </c>
      <c r="AB3" s="87" t="s">
        <v>154</v>
      </c>
      <c r="AC3" s="83" t="s">
        <v>154</v>
      </c>
    </row>
    <row r="4" spans="1:29" s="2" customFormat="1" ht="11.25">
      <c r="A4" s="1218"/>
      <c r="B4" s="1219"/>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c r="A5" s="152" t="s">
        <v>394</v>
      </c>
      <c r="B5" s="923" t="s">
        <v>745</v>
      </c>
      <c r="C5" s="145"/>
      <c r="D5" s="145"/>
      <c r="E5" s="145"/>
      <c r="F5" s="145"/>
      <c r="G5" s="146"/>
      <c r="H5" s="145"/>
      <c r="I5" s="145"/>
      <c r="J5" s="145"/>
      <c r="K5" s="146"/>
      <c r="L5" s="145"/>
      <c r="M5" s="145"/>
      <c r="N5" s="145"/>
      <c r="O5" s="145"/>
      <c r="P5" s="145"/>
      <c r="Q5" s="146"/>
      <c r="R5" s="146"/>
      <c r="S5" s="145"/>
      <c r="T5" s="145"/>
      <c r="U5" s="145"/>
      <c r="V5" s="145"/>
      <c r="W5" s="145"/>
      <c r="X5" s="145"/>
      <c r="Y5" s="145"/>
      <c r="Z5" s="145"/>
      <c r="AA5" s="147"/>
      <c r="AB5" s="147"/>
      <c r="AC5" s="148"/>
    </row>
    <row r="6" spans="1:29" s="2" customFormat="1">
      <c r="A6" s="211"/>
      <c r="B6" s="212"/>
      <c r="C6" s="150"/>
      <c r="D6" s="150"/>
      <c r="E6" s="150"/>
      <c r="F6" s="150"/>
      <c r="G6" s="149"/>
      <c r="H6" s="150"/>
      <c r="I6" s="150"/>
      <c r="J6" s="150"/>
      <c r="K6" s="149"/>
      <c r="L6" s="150"/>
      <c r="M6" s="150"/>
      <c r="N6" s="150"/>
      <c r="O6" s="150"/>
      <c r="P6" s="150"/>
      <c r="Q6" s="149"/>
      <c r="R6" s="149"/>
      <c r="S6" s="150"/>
      <c r="T6" s="150"/>
      <c r="U6" s="150"/>
      <c r="V6" s="150"/>
      <c r="W6" s="150"/>
      <c r="X6" s="150"/>
      <c r="Y6" s="150"/>
      <c r="Z6" s="150"/>
      <c r="AA6" s="151"/>
      <c r="AB6" s="151"/>
      <c r="AC6" s="213"/>
    </row>
    <row r="7" spans="1:29">
      <c r="A7" s="214" t="s">
        <v>155</v>
      </c>
      <c r="B7" s="215"/>
      <c r="C7" s="862">
        <v>0</v>
      </c>
      <c r="D7" s="862">
        <v>1.8018969387317698</v>
      </c>
      <c r="E7" s="862">
        <v>0</v>
      </c>
      <c r="F7" s="863">
        <v>1.8018969387317698</v>
      </c>
      <c r="G7" s="862">
        <v>0</v>
      </c>
      <c r="H7" s="862">
        <v>0</v>
      </c>
      <c r="I7" s="862">
        <v>1.4544188625769157</v>
      </c>
      <c r="J7" s="862">
        <v>0.64249392195859678</v>
      </c>
      <c r="K7" s="862">
        <v>0</v>
      </c>
      <c r="L7" s="862">
        <v>65.847309356287937</v>
      </c>
      <c r="M7" s="862">
        <v>0</v>
      </c>
      <c r="N7" s="862">
        <v>0</v>
      </c>
      <c r="O7" s="862">
        <v>0</v>
      </c>
      <c r="P7" s="862">
        <v>0</v>
      </c>
      <c r="Q7" s="862">
        <v>0</v>
      </c>
      <c r="R7" s="863">
        <v>67.944222140823456</v>
      </c>
      <c r="S7" s="862">
        <v>77.259963703713566</v>
      </c>
      <c r="T7" s="862">
        <v>0</v>
      </c>
      <c r="U7" s="862">
        <v>0</v>
      </c>
      <c r="V7" s="863">
        <v>77.259963703713566</v>
      </c>
      <c r="W7" s="863">
        <v>147.00608278326879</v>
      </c>
      <c r="X7" s="862">
        <v>0</v>
      </c>
      <c r="Y7" s="862">
        <v>10.980456101172695</v>
      </c>
      <c r="Z7" s="862">
        <v>39.784373392967233</v>
      </c>
      <c r="AA7" s="864">
        <v>0</v>
      </c>
      <c r="AB7" s="864">
        <v>0</v>
      </c>
      <c r="AC7" s="863">
        <v>197.77091227740874</v>
      </c>
    </row>
    <row r="8" spans="1:29">
      <c r="A8" s="216" t="s">
        <v>156</v>
      </c>
      <c r="B8" s="217"/>
      <c r="C8" s="865">
        <v>0</v>
      </c>
      <c r="D8" s="865">
        <v>0</v>
      </c>
      <c r="E8" s="865">
        <v>0</v>
      </c>
      <c r="F8" s="866">
        <v>0</v>
      </c>
      <c r="G8" s="865">
        <v>0</v>
      </c>
      <c r="H8" s="865">
        <v>0</v>
      </c>
      <c r="I8" s="865">
        <v>0.38635506316567747</v>
      </c>
      <c r="J8" s="865">
        <v>2.4877382136960411E-3</v>
      </c>
      <c r="K8" s="865">
        <v>0</v>
      </c>
      <c r="L8" s="865">
        <v>5.9740046491093821</v>
      </c>
      <c r="M8" s="865">
        <v>0</v>
      </c>
      <c r="N8" s="865">
        <v>0.32517674669033059</v>
      </c>
      <c r="O8" s="865">
        <v>0</v>
      </c>
      <c r="P8" s="865">
        <v>0</v>
      </c>
      <c r="Q8" s="865">
        <v>0</v>
      </c>
      <c r="R8" s="866">
        <v>6.6880241971790868</v>
      </c>
      <c r="S8" s="865">
        <v>39.19797319198959</v>
      </c>
      <c r="T8" s="865">
        <v>0</v>
      </c>
      <c r="U8" s="865">
        <v>0</v>
      </c>
      <c r="V8" s="866">
        <v>39.19797319198959</v>
      </c>
      <c r="W8" s="866">
        <v>45.885997389168679</v>
      </c>
      <c r="X8" s="865">
        <v>1.5626139999999999</v>
      </c>
      <c r="Y8" s="865">
        <v>3.6445493694070867</v>
      </c>
      <c r="Z8" s="865">
        <v>42.732954177521805</v>
      </c>
      <c r="AA8" s="867">
        <v>0</v>
      </c>
      <c r="AB8" s="867">
        <v>0</v>
      </c>
      <c r="AC8" s="866">
        <v>93.826114936097568</v>
      </c>
    </row>
    <row r="9" spans="1:29">
      <c r="A9" s="3"/>
      <c r="B9" s="6" t="s">
        <v>157</v>
      </c>
      <c r="C9" s="868">
        <v>0</v>
      </c>
      <c r="D9" s="868">
        <v>0</v>
      </c>
      <c r="E9" s="868">
        <v>0</v>
      </c>
      <c r="F9" s="869">
        <v>0</v>
      </c>
      <c r="G9" s="868">
        <v>0</v>
      </c>
      <c r="H9" s="868">
        <v>0</v>
      </c>
      <c r="I9" s="868">
        <v>0.18805127147062564</v>
      </c>
      <c r="J9" s="868">
        <v>0</v>
      </c>
      <c r="K9" s="868">
        <v>0</v>
      </c>
      <c r="L9" s="868">
        <v>0.96258602768452872</v>
      </c>
      <c r="M9" s="868">
        <v>0</v>
      </c>
      <c r="N9" s="868">
        <v>0</v>
      </c>
      <c r="O9" s="868">
        <v>0</v>
      </c>
      <c r="P9" s="868">
        <v>0</v>
      </c>
      <c r="Q9" s="868">
        <v>0</v>
      </c>
      <c r="R9" s="869">
        <v>1.1506372991551543</v>
      </c>
      <c r="S9" s="868">
        <v>4.6060123715387284</v>
      </c>
      <c r="T9" s="868">
        <v>0</v>
      </c>
      <c r="U9" s="868">
        <v>0</v>
      </c>
      <c r="V9" s="869">
        <v>4.6060123715387284</v>
      </c>
      <c r="W9" s="869">
        <v>5.756649670693883</v>
      </c>
      <c r="X9" s="868">
        <v>0</v>
      </c>
      <c r="Y9" s="868">
        <v>1.1544162330910002E-3</v>
      </c>
      <c r="Z9" s="868">
        <v>4.4798424941205699</v>
      </c>
      <c r="AA9" s="870">
        <v>0</v>
      </c>
      <c r="AB9" s="870">
        <v>0</v>
      </c>
      <c r="AC9" s="869">
        <v>10.237646581047544</v>
      </c>
    </row>
    <row r="10" spans="1:29">
      <c r="A10" s="3"/>
      <c r="B10" s="6" t="s">
        <v>158</v>
      </c>
      <c r="C10" s="868">
        <v>0</v>
      </c>
      <c r="D10" s="868">
        <v>0</v>
      </c>
      <c r="E10" s="868">
        <v>0</v>
      </c>
      <c r="F10" s="869">
        <v>0</v>
      </c>
      <c r="G10" s="868">
        <v>0</v>
      </c>
      <c r="H10" s="868">
        <v>0</v>
      </c>
      <c r="I10" s="868">
        <v>2.5434689508073175E-3</v>
      </c>
      <c r="J10" s="868">
        <v>0</v>
      </c>
      <c r="K10" s="868">
        <v>0</v>
      </c>
      <c r="L10" s="868">
        <v>0.38840488197599315</v>
      </c>
      <c r="M10" s="868">
        <v>0</v>
      </c>
      <c r="N10" s="868">
        <v>0</v>
      </c>
      <c r="O10" s="868">
        <v>0</v>
      </c>
      <c r="P10" s="868">
        <v>0</v>
      </c>
      <c r="Q10" s="868">
        <v>0</v>
      </c>
      <c r="R10" s="869">
        <v>0.39094835092680047</v>
      </c>
      <c r="S10" s="868">
        <v>4.9827726545172037</v>
      </c>
      <c r="T10" s="868">
        <v>0</v>
      </c>
      <c r="U10" s="868">
        <v>0</v>
      </c>
      <c r="V10" s="869">
        <v>4.9827726545172037</v>
      </c>
      <c r="W10" s="869">
        <v>5.3737210054440041</v>
      </c>
      <c r="X10" s="868">
        <v>0</v>
      </c>
      <c r="Y10" s="868">
        <v>2.5808792800000001E-2</v>
      </c>
      <c r="Z10" s="868">
        <v>3.1950531410885459</v>
      </c>
      <c r="AA10" s="870">
        <v>0</v>
      </c>
      <c r="AB10" s="870">
        <v>0</v>
      </c>
      <c r="AC10" s="869">
        <v>8.5945829393325504</v>
      </c>
    </row>
    <row r="11" spans="1:29">
      <c r="A11" s="3"/>
      <c r="B11" s="6" t="s">
        <v>159</v>
      </c>
      <c r="C11" s="868">
        <v>0</v>
      </c>
      <c r="D11" s="868">
        <v>0</v>
      </c>
      <c r="E11" s="868">
        <v>0</v>
      </c>
      <c r="F11" s="869">
        <v>0</v>
      </c>
      <c r="G11" s="868">
        <v>0</v>
      </c>
      <c r="H11" s="868">
        <v>0</v>
      </c>
      <c r="I11" s="868">
        <v>1.1988667792392855E-3</v>
      </c>
      <c r="J11" s="868">
        <v>0</v>
      </c>
      <c r="K11" s="868">
        <v>0</v>
      </c>
      <c r="L11" s="868">
        <v>0.45398883240775129</v>
      </c>
      <c r="M11" s="868">
        <v>0</v>
      </c>
      <c r="N11" s="868">
        <v>0</v>
      </c>
      <c r="O11" s="868">
        <v>0</v>
      </c>
      <c r="P11" s="868">
        <v>0</v>
      </c>
      <c r="Q11" s="868">
        <v>0</v>
      </c>
      <c r="R11" s="869">
        <v>0.45518769918699059</v>
      </c>
      <c r="S11" s="868">
        <v>5.2543792692141817</v>
      </c>
      <c r="T11" s="868">
        <v>0</v>
      </c>
      <c r="U11" s="868">
        <v>0</v>
      </c>
      <c r="V11" s="869">
        <v>5.2543792692141817</v>
      </c>
      <c r="W11" s="869">
        <v>5.7095669684011723</v>
      </c>
      <c r="X11" s="868">
        <v>0</v>
      </c>
      <c r="Y11" s="868">
        <v>1.72634592E-3</v>
      </c>
      <c r="Z11" s="868">
        <v>1.734297976874539</v>
      </c>
      <c r="AA11" s="870">
        <v>0</v>
      </c>
      <c r="AB11" s="870">
        <v>0</v>
      </c>
      <c r="AC11" s="869">
        <v>7.4455912911957114</v>
      </c>
    </row>
    <row r="12" spans="1:29">
      <c r="A12" s="3"/>
      <c r="B12" s="6" t="s">
        <v>160</v>
      </c>
      <c r="C12" s="868">
        <v>0</v>
      </c>
      <c r="D12" s="868">
        <v>0</v>
      </c>
      <c r="E12" s="868">
        <v>0</v>
      </c>
      <c r="F12" s="869">
        <v>0</v>
      </c>
      <c r="G12" s="868">
        <v>0</v>
      </c>
      <c r="H12" s="868">
        <v>0</v>
      </c>
      <c r="I12" s="868">
        <v>4.7480898068489423E-2</v>
      </c>
      <c r="J12" s="868">
        <v>2.4877382136960411E-3</v>
      </c>
      <c r="K12" s="868">
        <v>0</v>
      </c>
      <c r="L12" s="868">
        <v>1.8548565516115612</v>
      </c>
      <c r="M12" s="868">
        <v>0</v>
      </c>
      <c r="N12" s="868">
        <v>0</v>
      </c>
      <c r="O12" s="868">
        <v>0</v>
      </c>
      <c r="P12" s="868">
        <v>0</v>
      </c>
      <c r="Q12" s="868">
        <v>0</v>
      </c>
      <c r="R12" s="869">
        <v>1.9048251878937466</v>
      </c>
      <c r="S12" s="868">
        <v>13.249669542869039</v>
      </c>
      <c r="T12" s="868">
        <v>0</v>
      </c>
      <c r="U12" s="868">
        <v>0</v>
      </c>
      <c r="V12" s="869">
        <v>13.249669542869039</v>
      </c>
      <c r="W12" s="869">
        <v>15.154494730762785</v>
      </c>
      <c r="X12" s="868">
        <v>0</v>
      </c>
      <c r="Y12" s="868">
        <v>0.164040295496649</v>
      </c>
      <c r="Z12" s="868">
        <v>16.388848285638097</v>
      </c>
      <c r="AA12" s="870">
        <v>0</v>
      </c>
      <c r="AB12" s="870">
        <v>0</v>
      </c>
      <c r="AC12" s="869">
        <v>31.70738331189753</v>
      </c>
    </row>
    <row r="13" spans="1:29">
      <c r="A13" s="3"/>
      <c r="B13" s="6" t="s">
        <v>161</v>
      </c>
      <c r="C13" s="868">
        <v>0</v>
      </c>
      <c r="D13" s="868">
        <v>0</v>
      </c>
      <c r="E13" s="868">
        <v>0</v>
      </c>
      <c r="F13" s="869">
        <v>0</v>
      </c>
      <c r="G13" s="868">
        <v>0</v>
      </c>
      <c r="H13" s="868">
        <v>0</v>
      </c>
      <c r="I13" s="868">
        <v>0.13076736474406536</v>
      </c>
      <c r="J13" s="868">
        <v>0</v>
      </c>
      <c r="K13" s="868">
        <v>0</v>
      </c>
      <c r="L13" s="868">
        <v>1.5760537564738728</v>
      </c>
      <c r="M13" s="868">
        <v>0</v>
      </c>
      <c r="N13" s="868">
        <v>7.3193953011374245E-5</v>
      </c>
      <c r="O13" s="868">
        <v>0</v>
      </c>
      <c r="P13" s="868">
        <v>0</v>
      </c>
      <c r="Q13" s="868">
        <v>0</v>
      </c>
      <c r="R13" s="869">
        <v>1.7068943151709495</v>
      </c>
      <c r="S13" s="868">
        <v>7.5150473511522025</v>
      </c>
      <c r="T13" s="868">
        <v>0</v>
      </c>
      <c r="U13" s="868">
        <v>0</v>
      </c>
      <c r="V13" s="869">
        <v>7.5150473511522025</v>
      </c>
      <c r="W13" s="869">
        <v>9.2219416663231524</v>
      </c>
      <c r="X13" s="868">
        <v>0</v>
      </c>
      <c r="Y13" s="868">
        <v>9.8762551701792003E-2</v>
      </c>
      <c r="Z13" s="868">
        <v>12.174788822660046</v>
      </c>
      <c r="AA13" s="870">
        <v>0</v>
      </c>
      <c r="AB13" s="870">
        <v>0</v>
      </c>
      <c r="AC13" s="869">
        <v>21.495493040684991</v>
      </c>
    </row>
    <row r="14" spans="1:29">
      <c r="A14" s="218"/>
      <c r="B14" s="219" t="s">
        <v>162</v>
      </c>
      <c r="C14" s="871">
        <v>0</v>
      </c>
      <c r="D14" s="871">
        <v>0</v>
      </c>
      <c r="E14" s="871">
        <v>0</v>
      </c>
      <c r="F14" s="872">
        <v>0</v>
      </c>
      <c r="G14" s="868">
        <v>0</v>
      </c>
      <c r="H14" s="868">
        <v>0</v>
      </c>
      <c r="I14" s="868">
        <v>1.6313193152450424E-2</v>
      </c>
      <c r="J14" s="868">
        <v>0</v>
      </c>
      <c r="K14" s="868">
        <v>0</v>
      </c>
      <c r="L14" s="868">
        <v>0.73811459895567511</v>
      </c>
      <c r="M14" s="868">
        <v>0</v>
      </c>
      <c r="N14" s="868">
        <v>0.32510355273731922</v>
      </c>
      <c r="O14" s="868">
        <v>0</v>
      </c>
      <c r="P14" s="868">
        <v>0</v>
      </c>
      <c r="Q14" s="868">
        <v>0</v>
      </c>
      <c r="R14" s="872">
        <v>1.0795313448454447</v>
      </c>
      <c r="S14" s="868">
        <v>3.5900920026982375</v>
      </c>
      <c r="T14" s="871">
        <v>0</v>
      </c>
      <c r="U14" s="871">
        <v>0</v>
      </c>
      <c r="V14" s="872">
        <v>3.5900920026982375</v>
      </c>
      <c r="W14" s="872">
        <v>4.6696233475436824</v>
      </c>
      <c r="X14" s="868">
        <v>1.5626139999999999</v>
      </c>
      <c r="Y14" s="868">
        <v>3.3530569672555548</v>
      </c>
      <c r="Z14" s="868">
        <v>4.7601234571400015</v>
      </c>
      <c r="AA14" s="873">
        <v>0</v>
      </c>
      <c r="AB14" s="873">
        <v>0</v>
      </c>
      <c r="AC14" s="872">
        <v>14.345417771939239</v>
      </c>
    </row>
    <row r="15" spans="1:29">
      <c r="A15" s="216" t="s">
        <v>163</v>
      </c>
      <c r="B15" s="220"/>
      <c r="C15" s="874">
        <v>0</v>
      </c>
      <c r="D15" s="874">
        <v>3.6387030269999843E-2</v>
      </c>
      <c r="E15" s="874">
        <v>0.16730195192000002</v>
      </c>
      <c r="F15" s="874">
        <v>0.20368898218999987</v>
      </c>
      <c r="G15" s="874">
        <v>0</v>
      </c>
      <c r="H15" s="874">
        <v>0</v>
      </c>
      <c r="I15" s="874">
        <v>2.4699585435312246</v>
      </c>
      <c r="J15" s="874">
        <v>0.18076869619754402</v>
      </c>
      <c r="K15" s="874">
        <v>0</v>
      </c>
      <c r="L15" s="874">
        <v>10.48331928749155</v>
      </c>
      <c r="M15" s="874">
        <v>0</v>
      </c>
      <c r="N15" s="874">
        <v>0.58336168531888621</v>
      </c>
      <c r="O15" s="874">
        <v>0</v>
      </c>
      <c r="P15" s="874">
        <v>0</v>
      </c>
      <c r="Q15" s="874">
        <v>0</v>
      </c>
      <c r="R15" s="874">
        <v>13.717408212539207</v>
      </c>
      <c r="S15" s="874">
        <v>29.687273077981512</v>
      </c>
      <c r="T15" s="874">
        <v>0</v>
      </c>
      <c r="U15" s="874">
        <v>0</v>
      </c>
      <c r="V15" s="874">
        <v>29.687273077981512</v>
      </c>
      <c r="W15" s="874">
        <v>43.608370272710722</v>
      </c>
      <c r="X15" s="874">
        <v>0</v>
      </c>
      <c r="Y15" s="874">
        <v>9.1220173486147065</v>
      </c>
      <c r="Z15" s="874">
        <v>48.551357025498532</v>
      </c>
      <c r="AA15" s="876">
        <v>0</v>
      </c>
      <c r="AB15" s="876">
        <v>0</v>
      </c>
      <c r="AC15" s="875">
        <v>101.28174464682397</v>
      </c>
    </row>
    <row r="16" spans="1:29">
      <c r="A16" s="5"/>
      <c r="B16" s="6" t="s">
        <v>35</v>
      </c>
      <c r="C16" s="877">
        <v>0</v>
      </c>
      <c r="D16" s="877">
        <v>0</v>
      </c>
      <c r="E16" s="877">
        <v>0</v>
      </c>
      <c r="F16" s="869">
        <v>0</v>
      </c>
      <c r="G16" s="877">
        <v>0</v>
      </c>
      <c r="H16" s="877">
        <v>0</v>
      </c>
      <c r="I16" s="877">
        <v>1.8014999999999999E-3</v>
      </c>
      <c r="J16" s="877">
        <v>0</v>
      </c>
      <c r="K16" s="877">
        <v>0</v>
      </c>
      <c r="L16" s="877">
        <v>1.2682986835230003E-2</v>
      </c>
      <c r="M16" s="877">
        <v>0</v>
      </c>
      <c r="N16" s="877">
        <v>0</v>
      </c>
      <c r="O16" s="877">
        <v>0</v>
      </c>
      <c r="P16" s="877">
        <v>0</v>
      </c>
      <c r="Q16" s="877">
        <v>0</v>
      </c>
      <c r="R16" s="869">
        <v>1.4484486835230003E-2</v>
      </c>
      <c r="S16" s="877">
        <v>0.28289200612560084</v>
      </c>
      <c r="T16" s="877">
        <v>0</v>
      </c>
      <c r="U16" s="877">
        <v>0</v>
      </c>
      <c r="V16" s="878">
        <v>0.28289200612560084</v>
      </c>
      <c r="W16" s="869">
        <v>0.29737649296083085</v>
      </c>
      <c r="X16" s="877">
        <v>0</v>
      </c>
      <c r="Y16" s="877">
        <v>0</v>
      </c>
      <c r="Z16" s="877">
        <v>0.71840011679999893</v>
      </c>
      <c r="AA16" s="870">
        <v>0</v>
      </c>
      <c r="AB16" s="870">
        <v>0</v>
      </c>
      <c r="AC16" s="869">
        <v>1.0157766097608298</v>
      </c>
    </row>
    <row r="17" spans="1:31">
      <c r="A17" s="5"/>
      <c r="B17" s="6" t="s">
        <v>38</v>
      </c>
      <c r="C17" s="877">
        <v>0</v>
      </c>
      <c r="D17" s="877">
        <v>0</v>
      </c>
      <c r="E17" s="877">
        <v>0.15007461450000004</v>
      </c>
      <c r="F17" s="869">
        <v>0.15007461450000004</v>
      </c>
      <c r="G17" s="877">
        <v>0</v>
      </c>
      <c r="H17" s="877">
        <v>0</v>
      </c>
      <c r="I17" s="877">
        <v>1.3711180399999998E-3</v>
      </c>
      <c r="J17" s="877">
        <v>0</v>
      </c>
      <c r="K17" s="877">
        <v>0</v>
      </c>
      <c r="L17" s="877">
        <v>6.3396528591240023E-2</v>
      </c>
      <c r="M17" s="877">
        <v>0</v>
      </c>
      <c r="N17" s="877">
        <v>0</v>
      </c>
      <c r="O17" s="877">
        <v>0</v>
      </c>
      <c r="P17" s="877">
        <v>0</v>
      </c>
      <c r="Q17" s="877">
        <v>0</v>
      </c>
      <c r="R17" s="869">
        <v>6.4767646631240017E-2</v>
      </c>
      <c r="S17" s="877">
        <v>0.51127783694160023</v>
      </c>
      <c r="T17" s="877">
        <v>0</v>
      </c>
      <c r="U17" s="877">
        <v>0</v>
      </c>
      <c r="V17" s="878">
        <v>0.51127783694160023</v>
      </c>
      <c r="W17" s="869">
        <v>0.72612009807284028</v>
      </c>
      <c r="X17" s="877">
        <v>0</v>
      </c>
      <c r="Y17" s="877">
        <v>0</v>
      </c>
      <c r="Z17" s="877">
        <v>0.31973047919999953</v>
      </c>
      <c r="AA17" s="870">
        <v>0</v>
      </c>
      <c r="AB17" s="870">
        <v>0</v>
      </c>
      <c r="AC17" s="869">
        <v>1.0458505772728399</v>
      </c>
    </row>
    <row r="18" spans="1:31">
      <c r="A18" s="5"/>
      <c r="B18" s="6" t="s">
        <v>36</v>
      </c>
      <c r="C18" s="877">
        <v>0</v>
      </c>
      <c r="D18" s="877">
        <v>0</v>
      </c>
      <c r="E18" s="877">
        <v>0</v>
      </c>
      <c r="F18" s="869">
        <v>0</v>
      </c>
      <c r="G18" s="877">
        <v>0</v>
      </c>
      <c r="H18" s="877">
        <v>0</v>
      </c>
      <c r="I18" s="877">
        <v>6.436917966859633E-2</v>
      </c>
      <c r="J18" s="877">
        <v>0</v>
      </c>
      <c r="K18" s="877">
        <v>0</v>
      </c>
      <c r="L18" s="877">
        <v>0.79081834482437452</v>
      </c>
      <c r="M18" s="877">
        <v>0</v>
      </c>
      <c r="N18" s="877">
        <v>1.5272040825354818E-2</v>
      </c>
      <c r="O18" s="877">
        <v>0</v>
      </c>
      <c r="P18" s="877">
        <v>0</v>
      </c>
      <c r="Q18" s="877">
        <v>0</v>
      </c>
      <c r="R18" s="869">
        <v>0.87045956531832569</v>
      </c>
      <c r="S18" s="877">
        <v>3.662031461885543</v>
      </c>
      <c r="T18" s="877">
        <v>0</v>
      </c>
      <c r="U18" s="877">
        <v>0</v>
      </c>
      <c r="V18" s="878">
        <v>3.662031461885543</v>
      </c>
      <c r="W18" s="869">
        <v>4.5324910272038688</v>
      </c>
      <c r="X18" s="877">
        <v>0</v>
      </c>
      <c r="Y18" s="877">
        <v>6.4616340319999993E-2</v>
      </c>
      <c r="Z18" s="877">
        <v>2.5720408157649741</v>
      </c>
      <c r="AA18" s="870">
        <v>0</v>
      </c>
      <c r="AB18" s="870">
        <v>0</v>
      </c>
      <c r="AC18" s="869">
        <v>7.1691481832888426</v>
      </c>
    </row>
    <row r="19" spans="1:31">
      <c r="A19" s="5"/>
      <c r="B19" s="6" t="s">
        <v>33</v>
      </c>
      <c r="C19" s="877">
        <v>0</v>
      </c>
      <c r="D19" s="877">
        <v>0</v>
      </c>
      <c r="E19" s="877">
        <v>0</v>
      </c>
      <c r="F19" s="869">
        <v>0</v>
      </c>
      <c r="G19" s="877">
        <v>0</v>
      </c>
      <c r="H19" s="877">
        <v>0</v>
      </c>
      <c r="I19" s="877">
        <v>2.2614942071388806</v>
      </c>
      <c r="J19" s="877">
        <v>0.18076869619754402</v>
      </c>
      <c r="K19" s="877">
        <v>0</v>
      </c>
      <c r="L19" s="877">
        <v>6.2706681804894941</v>
      </c>
      <c r="M19" s="877">
        <v>0</v>
      </c>
      <c r="N19" s="877">
        <v>0.21193853931782766</v>
      </c>
      <c r="O19" s="877">
        <v>0</v>
      </c>
      <c r="P19" s="877">
        <v>0</v>
      </c>
      <c r="Q19" s="877">
        <v>0</v>
      </c>
      <c r="R19" s="869">
        <v>8.9248696231437457</v>
      </c>
      <c r="S19" s="877">
        <v>3.9377154094853708</v>
      </c>
      <c r="T19" s="877">
        <v>0</v>
      </c>
      <c r="U19" s="877">
        <v>0</v>
      </c>
      <c r="V19" s="878">
        <v>3.9377154094853708</v>
      </c>
      <c r="W19" s="869">
        <v>12.862585032629116</v>
      </c>
      <c r="X19" s="877">
        <v>0</v>
      </c>
      <c r="Y19" s="877">
        <v>2.6625984542999999</v>
      </c>
      <c r="Z19" s="877">
        <v>8.2248419981479568</v>
      </c>
      <c r="AA19" s="870">
        <v>0</v>
      </c>
      <c r="AB19" s="870">
        <v>0</v>
      </c>
      <c r="AC19" s="869">
        <v>23.750025485077074</v>
      </c>
    </row>
    <row r="20" spans="1:31">
      <c r="A20" s="5"/>
      <c r="B20" s="6" t="s">
        <v>41</v>
      </c>
      <c r="C20" s="877">
        <v>0</v>
      </c>
      <c r="D20" s="877">
        <v>3.4802639999999885E-2</v>
      </c>
      <c r="E20" s="877">
        <v>0</v>
      </c>
      <c r="F20" s="869">
        <v>3.4802639999999885E-2</v>
      </c>
      <c r="G20" s="877">
        <v>0</v>
      </c>
      <c r="H20" s="877">
        <v>0</v>
      </c>
      <c r="I20" s="877">
        <v>1.4824289035641225E-2</v>
      </c>
      <c r="J20" s="877">
        <v>0</v>
      </c>
      <c r="K20" s="877">
        <v>0</v>
      </c>
      <c r="L20" s="877">
        <v>2.686359855936808</v>
      </c>
      <c r="M20" s="877">
        <v>0</v>
      </c>
      <c r="N20" s="877">
        <v>6.0526121450941245E-2</v>
      </c>
      <c r="O20" s="877">
        <v>0</v>
      </c>
      <c r="P20" s="877">
        <v>0</v>
      </c>
      <c r="Q20" s="877">
        <v>0</v>
      </c>
      <c r="R20" s="869">
        <v>2.7617102664233903</v>
      </c>
      <c r="S20" s="877">
        <v>9.0088680128658041</v>
      </c>
      <c r="T20" s="877">
        <v>0</v>
      </c>
      <c r="U20" s="877">
        <v>0</v>
      </c>
      <c r="V20" s="878">
        <v>9.0088680128658041</v>
      </c>
      <c r="W20" s="869">
        <v>11.805380919289195</v>
      </c>
      <c r="X20" s="877">
        <v>0</v>
      </c>
      <c r="Y20" s="877">
        <v>0.76650614430000008</v>
      </c>
      <c r="Z20" s="877">
        <v>1.4541530292414042</v>
      </c>
      <c r="AA20" s="870">
        <v>0</v>
      </c>
      <c r="AB20" s="870">
        <v>0</v>
      </c>
      <c r="AC20" s="869">
        <v>14.026040092830598</v>
      </c>
    </row>
    <row r="21" spans="1:31">
      <c r="A21" s="5"/>
      <c r="B21" s="6" t="s">
        <v>40</v>
      </c>
      <c r="C21" s="877">
        <v>0</v>
      </c>
      <c r="D21" s="877">
        <v>0</v>
      </c>
      <c r="E21" s="877">
        <v>0</v>
      </c>
      <c r="F21" s="869">
        <v>0</v>
      </c>
      <c r="G21" s="877">
        <v>0</v>
      </c>
      <c r="H21" s="877">
        <v>0</v>
      </c>
      <c r="I21" s="877">
        <v>8.4678374501490523E-3</v>
      </c>
      <c r="J21" s="877">
        <v>0</v>
      </c>
      <c r="K21" s="877">
        <v>0</v>
      </c>
      <c r="L21" s="877">
        <v>6.7984835940642946E-2</v>
      </c>
      <c r="M21" s="877">
        <v>0</v>
      </c>
      <c r="N21" s="877">
        <v>7.4699146039404696E-2</v>
      </c>
      <c r="O21" s="877">
        <v>0</v>
      </c>
      <c r="P21" s="877">
        <v>0</v>
      </c>
      <c r="Q21" s="877">
        <v>0</v>
      </c>
      <c r="R21" s="869">
        <v>0.15115181943019668</v>
      </c>
      <c r="S21" s="877">
        <v>1.9894708457741683</v>
      </c>
      <c r="T21" s="877">
        <v>0</v>
      </c>
      <c r="U21" s="877">
        <v>0</v>
      </c>
      <c r="V21" s="878">
        <v>1.9894708457741683</v>
      </c>
      <c r="W21" s="869">
        <v>2.1406226652043649</v>
      </c>
      <c r="X21" s="877">
        <v>0</v>
      </c>
      <c r="Y21" s="877">
        <v>3.0108900000000001E-2</v>
      </c>
      <c r="Z21" s="877">
        <v>3.1948205615144181</v>
      </c>
      <c r="AA21" s="870">
        <v>0</v>
      </c>
      <c r="AB21" s="870">
        <v>0</v>
      </c>
      <c r="AC21" s="869">
        <v>5.3655521267187831</v>
      </c>
    </row>
    <row r="22" spans="1:31">
      <c r="A22" s="5"/>
      <c r="B22" s="6" t="s">
        <v>37</v>
      </c>
      <c r="C22" s="877">
        <v>0</v>
      </c>
      <c r="D22" s="877">
        <v>1.5843902699999579E-3</v>
      </c>
      <c r="E22" s="877">
        <v>1.7227337419999999E-2</v>
      </c>
      <c r="F22" s="869">
        <v>1.8811727689999957E-2</v>
      </c>
      <c r="G22" s="877">
        <v>0</v>
      </c>
      <c r="H22" s="877">
        <v>0</v>
      </c>
      <c r="I22" s="877">
        <v>3.8422618351031737E-2</v>
      </c>
      <c r="J22" s="877">
        <v>0</v>
      </c>
      <c r="K22" s="877">
        <v>0</v>
      </c>
      <c r="L22" s="877">
        <v>0.18921479680714254</v>
      </c>
      <c r="M22" s="877">
        <v>0</v>
      </c>
      <c r="N22" s="877">
        <v>0.20725902388535777</v>
      </c>
      <c r="O22" s="877">
        <v>0</v>
      </c>
      <c r="P22" s="877">
        <v>0</v>
      </c>
      <c r="Q22" s="877">
        <v>0</v>
      </c>
      <c r="R22" s="869">
        <v>0.43489643904353203</v>
      </c>
      <c r="S22" s="877">
        <v>0.97659961046980825</v>
      </c>
      <c r="T22" s="877">
        <v>0</v>
      </c>
      <c r="U22" s="877">
        <v>0</v>
      </c>
      <c r="V22" s="878">
        <v>0.97659961046980825</v>
      </c>
      <c r="W22" s="869">
        <v>1.4303077772033403</v>
      </c>
      <c r="X22" s="877">
        <v>0</v>
      </c>
      <c r="Y22" s="877">
        <v>0</v>
      </c>
      <c r="Z22" s="877">
        <v>12.68681322819554</v>
      </c>
      <c r="AA22" s="870">
        <v>0</v>
      </c>
      <c r="AB22" s="870">
        <v>0</v>
      </c>
      <c r="AC22" s="869">
        <v>14.11712100539888</v>
      </c>
    </row>
    <row r="23" spans="1:31">
      <c r="A23" s="5"/>
      <c r="B23" s="6" t="s">
        <v>39</v>
      </c>
      <c r="C23" s="877">
        <v>0</v>
      </c>
      <c r="D23" s="877">
        <v>0</v>
      </c>
      <c r="E23" s="877">
        <v>0</v>
      </c>
      <c r="F23" s="869">
        <v>0</v>
      </c>
      <c r="G23" s="877">
        <v>0</v>
      </c>
      <c r="H23" s="877">
        <v>0</v>
      </c>
      <c r="I23" s="877">
        <v>2.6275246534865578E-2</v>
      </c>
      <c r="J23" s="877">
        <v>0</v>
      </c>
      <c r="K23" s="877">
        <v>0</v>
      </c>
      <c r="L23" s="877">
        <v>0.25160670468093144</v>
      </c>
      <c r="M23" s="877">
        <v>0</v>
      </c>
      <c r="N23" s="877">
        <v>0</v>
      </c>
      <c r="O23" s="877">
        <v>0</v>
      </c>
      <c r="P23" s="877">
        <v>0</v>
      </c>
      <c r="Q23" s="877">
        <v>0</v>
      </c>
      <c r="R23" s="869">
        <v>0.27788195121579701</v>
      </c>
      <c r="S23" s="877">
        <v>1.8850822394960005</v>
      </c>
      <c r="T23" s="877">
        <v>0</v>
      </c>
      <c r="U23" s="877">
        <v>0</v>
      </c>
      <c r="V23" s="878">
        <v>1.8850822394960005</v>
      </c>
      <c r="W23" s="869">
        <v>2.1629641907117976</v>
      </c>
      <c r="X23" s="877">
        <v>0</v>
      </c>
      <c r="Y23" s="877">
        <v>5.3569798472187058</v>
      </c>
      <c r="Z23" s="877">
        <v>5.2620646564070412</v>
      </c>
      <c r="AA23" s="870">
        <v>0</v>
      </c>
      <c r="AB23" s="870">
        <v>0</v>
      </c>
      <c r="AC23" s="869">
        <v>12.782008694337545</v>
      </c>
    </row>
    <row r="24" spans="1:31">
      <c r="A24" s="221"/>
      <c r="B24" s="219" t="s">
        <v>34</v>
      </c>
      <c r="C24" s="877">
        <v>0</v>
      </c>
      <c r="D24" s="877">
        <v>0</v>
      </c>
      <c r="E24" s="877">
        <v>0</v>
      </c>
      <c r="F24" s="869">
        <v>0</v>
      </c>
      <c r="G24" s="877">
        <v>0</v>
      </c>
      <c r="H24" s="877">
        <v>0</v>
      </c>
      <c r="I24" s="877">
        <v>5.2932547312059999E-2</v>
      </c>
      <c r="J24" s="877">
        <v>0</v>
      </c>
      <c r="K24" s="877">
        <v>0</v>
      </c>
      <c r="L24" s="877">
        <v>0.15058705338568801</v>
      </c>
      <c r="M24" s="877">
        <v>0</v>
      </c>
      <c r="N24" s="877">
        <v>1.3666813800000011E-2</v>
      </c>
      <c r="O24" s="877">
        <v>0</v>
      </c>
      <c r="P24" s="877">
        <v>0</v>
      </c>
      <c r="Q24" s="877">
        <v>0</v>
      </c>
      <c r="R24" s="869">
        <v>0.217186414497748</v>
      </c>
      <c r="S24" s="877">
        <v>7.4333356549376184</v>
      </c>
      <c r="T24" s="877">
        <v>0</v>
      </c>
      <c r="U24" s="877">
        <v>0</v>
      </c>
      <c r="V24" s="878">
        <v>7.4333356549376184</v>
      </c>
      <c r="W24" s="869">
        <v>7.6505220694353664</v>
      </c>
      <c r="X24" s="877">
        <v>0</v>
      </c>
      <c r="Y24" s="877">
        <v>0.24120766247600001</v>
      </c>
      <c r="Z24" s="877">
        <v>14.1184921402272</v>
      </c>
      <c r="AA24" s="870">
        <v>0</v>
      </c>
      <c r="AB24" s="870">
        <v>0</v>
      </c>
      <c r="AC24" s="869">
        <v>22.010221872138565</v>
      </c>
    </row>
    <row r="25" spans="1:31">
      <c r="A25" s="5" t="s">
        <v>672</v>
      </c>
      <c r="B25" s="128"/>
      <c r="C25" s="874">
        <f>SUM(C27:C32)</f>
        <v>0</v>
      </c>
      <c r="D25" s="874">
        <f t="shared" ref="D25:AC25" si="0">SUM(D27:D32)</f>
        <v>0.38818740230221194</v>
      </c>
      <c r="E25" s="874">
        <f t="shared" si="0"/>
        <v>0</v>
      </c>
      <c r="F25" s="875">
        <f t="shared" si="0"/>
        <v>0.38818740230221194</v>
      </c>
      <c r="G25" s="865">
        <f t="shared" si="0"/>
        <v>0</v>
      </c>
      <c r="H25" s="865">
        <f t="shared" si="0"/>
        <v>0</v>
      </c>
      <c r="I25" s="865">
        <f t="shared" si="0"/>
        <v>2.3452658679176817E-2</v>
      </c>
      <c r="J25" s="865">
        <f t="shared" si="0"/>
        <v>9.5354955789076948E-2</v>
      </c>
      <c r="K25" s="865">
        <f t="shared" si="0"/>
        <v>0</v>
      </c>
      <c r="L25" s="865">
        <f t="shared" si="0"/>
        <v>6.1635194848544224</v>
      </c>
      <c r="M25" s="865">
        <f t="shared" si="0"/>
        <v>0</v>
      </c>
      <c r="N25" s="865">
        <f t="shared" si="0"/>
        <v>0.2607055295262285</v>
      </c>
      <c r="O25" s="865">
        <f t="shared" si="0"/>
        <v>0</v>
      </c>
      <c r="P25" s="865">
        <f t="shared" si="0"/>
        <v>0</v>
      </c>
      <c r="Q25" s="865">
        <f t="shared" si="0"/>
        <v>0</v>
      </c>
      <c r="R25" s="875">
        <f t="shared" si="0"/>
        <v>6.5430326288489047</v>
      </c>
      <c r="S25" s="865">
        <f t="shared" si="0"/>
        <v>13.602642191268888</v>
      </c>
      <c r="T25" s="874">
        <f t="shared" si="0"/>
        <v>0</v>
      </c>
      <c r="U25" s="874">
        <f t="shared" si="0"/>
        <v>0</v>
      </c>
      <c r="V25" s="875">
        <f t="shared" si="0"/>
        <v>13.602642191268888</v>
      </c>
      <c r="W25" s="875">
        <f t="shared" si="0"/>
        <v>20.533862222420005</v>
      </c>
      <c r="X25" s="874">
        <f t="shared" si="0"/>
        <v>0</v>
      </c>
      <c r="Y25" s="865">
        <f t="shared" si="0"/>
        <v>3.34466469801735</v>
      </c>
      <c r="Z25" s="867">
        <f t="shared" si="0"/>
        <v>-1.6622817163402364</v>
      </c>
      <c r="AA25" s="876">
        <f t="shared" si="0"/>
        <v>0</v>
      </c>
      <c r="AB25" s="876">
        <f t="shared" si="0"/>
        <v>0</v>
      </c>
      <c r="AC25" s="866">
        <f t="shared" si="0"/>
        <v>22.216245204097117</v>
      </c>
      <c r="AE25" s="38"/>
    </row>
    <row r="26" spans="1:31">
      <c r="A26" s="5"/>
      <c r="B26" s="128"/>
      <c r="C26" s="879"/>
      <c r="D26" s="880"/>
      <c r="E26" s="879"/>
      <c r="F26" s="869"/>
      <c r="G26" s="880"/>
      <c r="H26" s="880"/>
      <c r="I26" s="880"/>
      <c r="J26" s="880"/>
      <c r="K26" s="880"/>
      <c r="L26" s="880"/>
      <c r="M26" s="880"/>
      <c r="N26" s="880"/>
      <c r="O26" s="880"/>
      <c r="P26" s="880"/>
      <c r="Q26" s="880"/>
      <c r="R26" s="869"/>
      <c r="S26" s="880"/>
      <c r="T26" s="879"/>
      <c r="U26" s="879"/>
      <c r="V26" s="869"/>
      <c r="W26" s="869"/>
      <c r="X26" s="879"/>
      <c r="Y26" s="883"/>
      <c r="Z26" s="883">
        <v>2.5320231235595623</v>
      </c>
      <c r="AA26" s="884"/>
      <c r="AB26" s="881"/>
      <c r="AC26" s="882"/>
      <c r="AE26" s="38"/>
    </row>
    <row r="27" spans="1:31">
      <c r="A27" s="3"/>
      <c r="B27" s="6" t="s">
        <v>164</v>
      </c>
      <c r="C27" s="868">
        <v>0</v>
      </c>
      <c r="D27" s="868">
        <v>9.4745424270655746E-3</v>
      </c>
      <c r="E27" s="868">
        <v>0</v>
      </c>
      <c r="F27" s="869">
        <v>9.4745424270655746E-3</v>
      </c>
      <c r="G27" s="868">
        <v>0</v>
      </c>
      <c r="H27" s="868">
        <v>0</v>
      </c>
      <c r="I27" s="868">
        <v>9.6199478427351458E-3</v>
      </c>
      <c r="J27" s="868">
        <v>2.0312438871418172E-4</v>
      </c>
      <c r="K27" s="868">
        <v>0</v>
      </c>
      <c r="L27" s="868">
        <v>3.7838334905316673</v>
      </c>
      <c r="M27" s="868">
        <v>0</v>
      </c>
      <c r="N27" s="868">
        <v>0</v>
      </c>
      <c r="O27" s="868">
        <v>0</v>
      </c>
      <c r="P27" s="868">
        <v>0</v>
      </c>
      <c r="Q27" s="868">
        <v>0</v>
      </c>
      <c r="R27" s="869">
        <v>3.7936565627631165</v>
      </c>
      <c r="S27" s="868">
        <v>6.3914674787559994E-2</v>
      </c>
      <c r="T27" s="868">
        <v>0</v>
      </c>
      <c r="U27" s="868">
        <v>0</v>
      </c>
      <c r="V27" s="869">
        <v>6.3914674787559994E-2</v>
      </c>
      <c r="W27" s="869">
        <v>3.867045779977742</v>
      </c>
      <c r="X27" s="868">
        <v>0</v>
      </c>
      <c r="Y27" s="868">
        <v>1.1258794240529042</v>
      </c>
      <c r="Z27" s="868">
        <v>1.8457960174978298</v>
      </c>
      <c r="AA27" s="870">
        <v>0</v>
      </c>
      <c r="AB27" s="870">
        <v>0</v>
      </c>
      <c r="AC27" s="869">
        <v>6.8387212215284761</v>
      </c>
    </row>
    <row r="28" spans="1:31">
      <c r="A28" s="3"/>
      <c r="B28" s="6" t="s">
        <v>165</v>
      </c>
      <c r="C28" s="868">
        <v>0</v>
      </c>
      <c r="D28" s="868">
        <v>3.9067787030746496E-4</v>
      </c>
      <c r="E28" s="868">
        <v>0</v>
      </c>
      <c r="F28" s="869">
        <v>3.9067787030746496E-4</v>
      </c>
      <c r="G28" s="868">
        <v>0</v>
      </c>
      <c r="H28" s="868">
        <v>0</v>
      </c>
      <c r="I28" s="868">
        <v>2.8618549947438698E-3</v>
      </c>
      <c r="J28" s="868">
        <v>1.7081429587443027E-4</v>
      </c>
      <c r="K28" s="868">
        <v>0</v>
      </c>
      <c r="L28" s="868">
        <v>1.093013556141802</v>
      </c>
      <c r="M28" s="868">
        <v>0</v>
      </c>
      <c r="N28" s="868">
        <v>0</v>
      </c>
      <c r="O28" s="868">
        <v>0</v>
      </c>
      <c r="P28" s="868">
        <v>0</v>
      </c>
      <c r="Q28" s="868">
        <v>0</v>
      </c>
      <c r="R28" s="869">
        <v>1.0960462254324204</v>
      </c>
      <c r="S28" s="868">
        <v>0.22900849645020005</v>
      </c>
      <c r="T28" s="868">
        <v>0</v>
      </c>
      <c r="U28" s="868">
        <v>0</v>
      </c>
      <c r="V28" s="869">
        <v>0.22900849645020005</v>
      </c>
      <c r="W28" s="869">
        <v>1.3254453997529279</v>
      </c>
      <c r="X28" s="868">
        <v>0</v>
      </c>
      <c r="Y28" s="868">
        <v>1.8627878903041739</v>
      </c>
      <c r="Z28" s="868">
        <v>0.12709273506601643</v>
      </c>
      <c r="AA28" s="870">
        <v>0</v>
      </c>
      <c r="AB28" s="870">
        <v>0</v>
      </c>
      <c r="AC28" s="869">
        <v>3.315326025123118</v>
      </c>
    </row>
    <row r="29" spans="1:31">
      <c r="A29" s="3"/>
      <c r="B29" s="6" t="s">
        <v>166</v>
      </c>
      <c r="C29" s="868">
        <v>0</v>
      </c>
      <c r="D29" s="868">
        <v>0.2048901255029934</v>
      </c>
      <c r="E29" s="868">
        <v>0</v>
      </c>
      <c r="F29" s="869">
        <v>0.2048901255029934</v>
      </c>
      <c r="G29" s="868">
        <v>0</v>
      </c>
      <c r="H29" s="868">
        <v>0</v>
      </c>
      <c r="I29" s="868">
        <v>4.5449460986004726E-3</v>
      </c>
      <c r="J29" s="868">
        <v>9.7582854017812595E-4</v>
      </c>
      <c r="K29" s="868">
        <v>0</v>
      </c>
      <c r="L29" s="868">
        <v>0.45220226236886618</v>
      </c>
      <c r="M29" s="868">
        <v>0</v>
      </c>
      <c r="N29" s="868">
        <v>0.21925768068546872</v>
      </c>
      <c r="O29" s="868">
        <v>0</v>
      </c>
      <c r="P29" s="868">
        <v>0</v>
      </c>
      <c r="Q29" s="868">
        <v>0</v>
      </c>
      <c r="R29" s="869">
        <v>0.67698071769311352</v>
      </c>
      <c r="S29" s="868">
        <v>13.309719020031128</v>
      </c>
      <c r="T29" s="868">
        <v>0</v>
      </c>
      <c r="U29" s="868">
        <v>0</v>
      </c>
      <c r="V29" s="869">
        <v>13.309719020031128</v>
      </c>
      <c r="W29" s="869">
        <v>14.191589863227236</v>
      </c>
      <c r="X29" s="868">
        <v>0</v>
      </c>
      <c r="Y29" s="868">
        <v>0.35581227718027197</v>
      </c>
      <c r="Z29" s="868">
        <v>-4.4152627630714534</v>
      </c>
      <c r="AA29" s="870">
        <v>0</v>
      </c>
      <c r="AB29" s="870">
        <v>0</v>
      </c>
      <c r="AC29" s="869">
        <v>10.132139377336054</v>
      </c>
    </row>
    <row r="30" spans="1:31">
      <c r="A30" s="3"/>
      <c r="B30" s="6" t="s">
        <v>167</v>
      </c>
      <c r="C30" s="868">
        <v>0</v>
      </c>
      <c r="D30" s="868">
        <v>0.17343205650184546</v>
      </c>
      <c r="E30" s="868">
        <v>0</v>
      </c>
      <c r="F30" s="869">
        <v>0.17343205650184546</v>
      </c>
      <c r="G30" s="868">
        <v>0</v>
      </c>
      <c r="H30" s="868">
        <v>0</v>
      </c>
      <c r="I30" s="868">
        <v>6.4241520560003309E-3</v>
      </c>
      <c r="J30" s="868">
        <v>4.2097231406107204E-3</v>
      </c>
      <c r="K30" s="868">
        <v>0</v>
      </c>
      <c r="L30" s="868">
        <v>0.82423998608028826</v>
      </c>
      <c r="M30" s="868">
        <v>0</v>
      </c>
      <c r="N30" s="868">
        <v>4.1447848840759749E-2</v>
      </c>
      <c r="O30" s="868">
        <v>0</v>
      </c>
      <c r="P30" s="868">
        <v>0</v>
      </c>
      <c r="Q30" s="868">
        <v>0</v>
      </c>
      <c r="R30" s="869">
        <v>0.87632171011765903</v>
      </c>
      <c r="S30" s="868">
        <v>0</v>
      </c>
      <c r="T30" s="868">
        <v>0</v>
      </c>
      <c r="U30" s="868">
        <v>0</v>
      </c>
      <c r="V30" s="869">
        <v>0</v>
      </c>
      <c r="W30" s="869">
        <v>1.0497537666195045</v>
      </c>
      <c r="X30" s="868">
        <v>0</v>
      </c>
      <c r="Y30" s="868">
        <v>1.8510647999999999E-4</v>
      </c>
      <c r="Z30" s="868">
        <v>0.78009229416737091</v>
      </c>
      <c r="AA30" s="870">
        <v>0</v>
      </c>
      <c r="AB30" s="870">
        <v>0</v>
      </c>
      <c r="AC30" s="869">
        <v>1.8300311672668754</v>
      </c>
    </row>
    <row r="31" spans="1:31">
      <c r="A31" s="3"/>
      <c r="B31" s="6" t="s">
        <v>168</v>
      </c>
      <c r="C31" s="868">
        <v>0</v>
      </c>
      <c r="D31" s="868">
        <v>0</v>
      </c>
      <c r="E31" s="868">
        <v>0</v>
      </c>
      <c r="F31" s="869">
        <v>0</v>
      </c>
      <c r="G31" s="868">
        <v>0</v>
      </c>
      <c r="H31" s="868">
        <v>0</v>
      </c>
      <c r="I31" s="868">
        <v>1.7576870969999996E-6</v>
      </c>
      <c r="J31" s="868">
        <v>8.6829831279295638E-2</v>
      </c>
      <c r="K31" s="868">
        <v>0</v>
      </c>
      <c r="L31" s="868">
        <v>6.8157765275399847E-3</v>
      </c>
      <c r="M31" s="868">
        <v>0</v>
      </c>
      <c r="N31" s="868">
        <v>0</v>
      </c>
      <c r="O31" s="868">
        <v>0</v>
      </c>
      <c r="P31" s="868">
        <v>0</v>
      </c>
      <c r="Q31" s="868">
        <v>0</v>
      </c>
      <c r="R31" s="869">
        <v>9.3647365493932613E-2</v>
      </c>
      <c r="S31" s="868">
        <v>0</v>
      </c>
      <c r="T31" s="868">
        <v>0</v>
      </c>
      <c r="U31" s="868">
        <v>0</v>
      </c>
      <c r="V31" s="869">
        <v>0</v>
      </c>
      <c r="W31" s="869">
        <v>9.3647365493932613E-2</v>
      </c>
      <c r="X31" s="868">
        <v>0</v>
      </c>
      <c r="Y31" s="868">
        <v>0</v>
      </c>
      <c r="Z31" s="868">
        <v>0</v>
      </c>
      <c r="AA31" s="870">
        <v>0</v>
      </c>
      <c r="AB31" s="870">
        <v>0</v>
      </c>
      <c r="AC31" s="869">
        <v>9.3647365493932613E-2</v>
      </c>
    </row>
    <row r="32" spans="1:31">
      <c r="A32" s="4"/>
      <c r="B32" s="127" t="s">
        <v>169</v>
      </c>
      <c r="C32" s="886">
        <v>0</v>
      </c>
      <c r="D32" s="886">
        <v>0</v>
      </c>
      <c r="E32" s="886">
        <v>0</v>
      </c>
      <c r="F32" s="885">
        <v>0</v>
      </c>
      <c r="G32" s="886">
        <v>0</v>
      </c>
      <c r="H32" s="886">
        <v>0</v>
      </c>
      <c r="I32" s="886">
        <v>0</v>
      </c>
      <c r="J32" s="886">
        <v>2.9656341444038409E-3</v>
      </c>
      <c r="K32" s="886">
        <v>0</v>
      </c>
      <c r="L32" s="886">
        <v>3.4144132042592998E-3</v>
      </c>
      <c r="M32" s="886">
        <v>0</v>
      </c>
      <c r="N32" s="886">
        <v>0</v>
      </c>
      <c r="O32" s="886">
        <v>0</v>
      </c>
      <c r="P32" s="886">
        <v>0</v>
      </c>
      <c r="Q32" s="886">
        <v>0</v>
      </c>
      <c r="R32" s="885">
        <v>6.3800473486631407E-3</v>
      </c>
      <c r="S32" s="886">
        <v>0</v>
      </c>
      <c r="T32" s="886">
        <v>0</v>
      </c>
      <c r="U32" s="886">
        <v>0</v>
      </c>
      <c r="V32" s="885">
        <v>0</v>
      </c>
      <c r="W32" s="885">
        <v>6.3800473486631407E-3</v>
      </c>
      <c r="X32" s="886">
        <v>0</v>
      </c>
      <c r="Y32" s="886">
        <v>0</v>
      </c>
      <c r="Z32" s="886">
        <v>0</v>
      </c>
      <c r="AA32" s="887">
        <v>0</v>
      </c>
      <c r="AB32" s="887">
        <v>0</v>
      </c>
      <c r="AC32" s="885">
        <v>6.3800473486631407E-3</v>
      </c>
    </row>
    <row r="35" spans="5:8">
      <c r="E35" s="929"/>
      <c r="F35" s="929"/>
      <c r="G35" s="929"/>
      <c r="H35" s="929"/>
    </row>
  </sheetData>
  <mergeCells count="1">
    <mergeCell ref="A1:B4"/>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sheetPr codeName="Sheet27">
    <tabColor theme="5" tint="-0.249977111117893"/>
  </sheetPr>
  <dimension ref="A1:C27"/>
  <sheetViews>
    <sheetView showGridLines="0" topLeftCell="A22" workbookViewId="0">
      <selection activeCell="C19" sqref="C19"/>
    </sheetView>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220" t="s">
        <v>477</v>
      </c>
      <c r="B2" s="1221"/>
      <c r="C2" s="111"/>
    </row>
    <row r="3" spans="1:3" s="15" customFormat="1" ht="15.75">
      <c r="A3" s="98"/>
      <c r="B3" s="70"/>
      <c r="C3" s="99"/>
    </row>
    <row r="4" spans="1:3">
      <c r="A4" s="95" t="s">
        <v>363</v>
      </c>
      <c r="B4" s="69" t="s">
        <v>375</v>
      </c>
      <c r="C4" s="100" t="s">
        <v>374</v>
      </c>
    </row>
    <row r="5" spans="1:3">
      <c r="A5" s="112"/>
      <c r="B5" s="43"/>
      <c r="C5" s="96"/>
    </row>
    <row r="6" spans="1:3" s="11" customFormat="1" ht="30">
      <c r="A6" s="113" t="s">
        <v>194</v>
      </c>
      <c r="B6" s="130" t="s">
        <v>479</v>
      </c>
      <c r="C6" s="161" t="s">
        <v>495</v>
      </c>
    </row>
    <row r="7" spans="1:3" s="11" customFormat="1">
      <c r="A7" s="132"/>
      <c r="B7" s="133"/>
      <c r="C7" s="134"/>
    </row>
    <row r="8" spans="1:3" s="11" customFormat="1" ht="60">
      <c r="A8" s="113" t="s">
        <v>155</v>
      </c>
      <c r="B8" s="130" t="s">
        <v>479</v>
      </c>
      <c r="C8" s="313" t="s">
        <v>496</v>
      </c>
    </row>
    <row r="9" spans="1:3" s="11" customFormat="1">
      <c r="A9" s="132"/>
      <c r="B9" s="133"/>
      <c r="C9" s="134"/>
    </row>
    <row r="10" spans="1:3" s="11" customFormat="1" ht="60">
      <c r="A10" s="113" t="s">
        <v>156</v>
      </c>
      <c r="B10" s="130" t="s">
        <v>479</v>
      </c>
      <c r="C10" s="313" t="s">
        <v>496</v>
      </c>
    </row>
    <row r="11" spans="1:3" s="11" customFormat="1">
      <c r="A11" s="132"/>
      <c r="B11" s="133"/>
      <c r="C11" s="134"/>
    </row>
    <row r="12" spans="1:3" s="11" customFormat="1" ht="60">
      <c r="A12" s="113" t="s">
        <v>389</v>
      </c>
      <c r="B12" s="130" t="s">
        <v>479</v>
      </c>
      <c r="C12" s="313" t="s">
        <v>496</v>
      </c>
    </row>
    <row r="13" spans="1:3" s="11" customFormat="1">
      <c r="A13" s="132"/>
      <c r="B13" s="133"/>
      <c r="C13" s="134"/>
    </row>
    <row r="14" spans="1:3" s="11" customFormat="1" ht="60">
      <c r="A14" s="113" t="s">
        <v>112</v>
      </c>
      <c r="B14" s="130" t="s">
        <v>497</v>
      </c>
      <c r="C14" s="313" t="s">
        <v>496</v>
      </c>
    </row>
    <row r="15" spans="1:3" s="11" customFormat="1" ht="63">
      <c r="A15" s="123"/>
      <c r="B15" s="130" t="s">
        <v>498</v>
      </c>
      <c r="C15" s="313" t="s">
        <v>502</v>
      </c>
    </row>
    <row r="16" spans="1:3" s="11" customFormat="1">
      <c r="A16" s="132"/>
      <c r="B16" s="133"/>
      <c r="C16" s="134"/>
    </row>
    <row r="17" spans="1:3" s="11" customFormat="1" ht="45">
      <c r="A17" s="113" t="s">
        <v>478</v>
      </c>
      <c r="B17" s="130" t="s">
        <v>552</v>
      </c>
      <c r="C17" s="161" t="s">
        <v>553</v>
      </c>
    </row>
    <row r="18" spans="1:3" s="11" customFormat="1">
      <c r="A18" s="132"/>
      <c r="B18" s="133"/>
      <c r="C18" s="134"/>
    </row>
    <row r="19" spans="1:3" s="11" customFormat="1" ht="60">
      <c r="A19" s="113" t="s">
        <v>392</v>
      </c>
      <c r="B19" s="312" t="s">
        <v>550</v>
      </c>
      <c r="C19" s="161" t="s">
        <v>551</v>
      </c>
    </row>
    <row r="20" spans="1:3" s="11" customFormat="1">
      <c r="A20" s="113"/>
      <c r="B20" s="130"/>
      <c r="C20" s="131"/>
    </row>
    <row r="21" spans="1:3" ht="21">
      <c r="A21" s="126" t="s">
        <v>481</v>
      </c>
      <c r="B21" s="125"/>
      <c r="C21" s="122"/>
    </row>
    <row r="27" spans="1:3">
      <c r="B27" t="s">
        <v>236</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4.xml><?xml version="1.0" encoding="utf-8"?>
<worksheet xmlns="http://schemas.openxmlformats.org/spreadsheetml/2006/main" xmlns:r="http://schemas.openxmlformats.org/officeDocument/2006/relationships">
  <sheetPr codeName="Sheet4">
    <tabColor theme="5" tint="-0.249977111117893"/>
  </sheetPr>
  <dimension ref="A1:P12"/>
  <sheetViews>
    <sheetView showGridLines="0" zoomScale="80" zoomScaleNormal="80" workbookViewId="0">
      <selection sqref="A1:A3"/>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34" customFormat="1" ht="17.25" thickTop="1" thickBot="1">
      <c r="A1" s="1222" t="s">
        <v>194</v>
      </c>
      <c r="B1" s="1223" t="s">
        <v>195</v>
      </c>
      <c r="C1" s="1224"/>
      <c r="D1" s="1224"/>
      <c r="E1" s="1224"/>
      <c r="F1" s="1224"/>
      <c r="G1" s="1224"/>
      <c r="H1" s="1224"/>
      <c r="I1" s="1224"/>
      <c r="J1" s="1224"/>
      <c r="K1" s="1224"/>
      <c r="L1" s="1224"/>
      <c r="M1" s="1224"/>
      <c r="N1" s="1224"/>
      <c r="O1" s="1224"/>
      <c r="P1" s="1224"/>
    </row>
    <row r="2" spans="1:16" s="334" customFormat="1" ht="15.75" thickTop="1">
      <c r="A2" s="1222"/>
      <c r="B2" s="1225" t="s">
        <v>21</v>
      </c>
      <c r="C2" s="1225" t="s">
        <v>196</v>
      </c>
      <c r="D2" s="1227" t="s">
        <v>197</v>
      </c>
      <c r="E2" s="1228"/>
      <c r="F2" s="1228"/>
      <c r="G2" s="1228"/>
      <c r="H2" s="1228"/>
      <c r="I2" s="1228"/>
      <c r="J2" s="1228"/>
      <c r="K2" s="1229"/>
      <c r="L2" s="1227" t="s">
        <v>198</v>
      </c>
      <c r="M2" s="1228"/>
      <c r="N2" s="1228"/>
      <c r="O2" s="1228"/>
      <c r="P2" s="1229"/>
    </row>
    <row r="3" spans="1:16" s="334" customFormat="1" ht="45">
      <c r="A3" s="1222"/>
      <c r="B3" s="1226"/>
      <c r="C3" s="1226"/>
      <c r="D3" s="382" t="s">
        <v>199</v>
      </c>
      <c r="E3" s="382" t="s">
        <v>200</v>
      </c>
      <c r="F3" s="382" t="s">
        <v>201</v>
      </c>
      <c r="G3" s="382" t="s">
        <v>202</v>
      </c>
      <c r="H3" s="382" t="s">
        <v>120</v>
      </c>
      <c r="I3" s="382" t="s">
        <v>203</v>
      </c>
      <c r="J3" s="382" t="s">
        <v>204</v>
      </c>
      <c r="K3" s="382" t="s">
        <v>205</v>
      </c>
      <c r="L3" s="382" t="s">
        <v>206</v>
      </c>
      <c r="M3" s="382" t="s">
        <v>207</v>
      </c>
      <c r="N3" s="382" t="s">
        <v>208</v>
      </c>
      <c r="O3" s="382" t="s">
        <v>209</v>
      </c>
      <c r="P3" s="382" t="s">
        <v>210</v>
      </c>
    </row>
    <row r="4" spans="1:16" s="15" customFormat="1" ht="15.75">
      <c r="A4" s="13"/>
      <c r="B4" s="14"/>
      <c r="C4" s="14"/>
      <c r="D4" s="14"/>
      <c r="E4" s="14"/>
      <c r="F4" s="14"/>
      <c r="G4" s="14"/>
      <c r="H4" s="14"/>
      <c r="I4" s="14"/>
      <c r="J4" s="14"/>
      <c r="K4" s="14"/>
      <c r="L4" s="14"/>
      <c r="M4" s="14"/>
      <c r="N4" s="14"/>
      <c r="O4" s="14"/>
      <c r="P4" s="14"/>
    </row>
    <row r="5" spans="1:16">
      <c r="A5" s="16" t="s">
        <v>547</v>
      </c>
      <c r="B5" s="30">
        <f>SUM(OV_ov_ele_kWh,OV_rest_ele_kWh)/1000</f>
        <v>552.26099999999997</v>
      </c>
      <c r="C5" s="18" t="s">
        <v>211</v>
      </c>
      <c r="D5" s="18" t="s">
        <v>211</v>
      </c>
      <c r="E5" s="18" t="s">
        <v>211</v>
      </c>
      <c r="F5" s="18" t="s">
        <v>211</v>
      </c>
      <c r="G5" s="18" t="s">
        <v>211</v>
      </c>
      <c r="H5" s="18" t="s">
        <v>211</v>
      </c>
      <c r="I5" s="18" t="s">
        <v>211</v>
      </c>
      <c r="J5" s="18" t="s">
        <v>211</v>
      </c>
      <c r="K5" s="18" t="s">
        <v>211</v>
      </c>
      <c r="L5" s="18" t="s">
        <v>211</v>
      </c>
      <c r="M5" s="18" t="s">
        <v>211</v>
      </c>
      <c r="N5" s="18" t="s">
        <v>211</v>
      </c>
      <c r="O5" s="18" t="s">
        <v>211</v>
      </c>
      <c r="P5" s="18" t="s">
        <v>211</v>
      </c>
    </row>
    <row r="6" spans="1:16">
      <c r="A6" s="16" t="s">
        <v>548</v>
      </c>
      <c r="B6" s="30">
        <f>(IF(ISERROR('Eigen openbare verlichting'!B15),0,'Eigen openbare verlichting'!B15))*(-1)</f>
        <v>0</v>
      </c>
      <c r="C6" s="18" t="s">
        <v>211</v>
      </c>
      <c r="D6" s="18" t="s">
        <v>211</v>
      </c>
      <c r="E6" s="18" t="s">
        <v>211</v>
      </c>
      <c r="F6" s="18" t="s">
        <v>211</v>
      </c>
      <c r="G6" s="18" t="s">
        <v>211</v>
      </c>
      <c r="H6" s="18" t="s">
        <v>211</v>
      </c>
      <c r="I6" s="18" t="s">
        <v>211</v>
      </c>
      <c r="J6" s="18" t="s">
        <v>211</v>
      </c>
      <c r="K6" s="18" t="s">
        <v>211</v>
      </c>
      <c r="L6" s="18" t="s">
        <v>211</v>
      </c>
      <c r="M6" s="18" t="s">
        <v>211</v>
      </c>
      <c r="N6" s="18" t="s">
        <v>211</v>
      </c>
      <c r="O6" s="18" t="s">
        <v>211</v>
      </c>
      <c r="P6" s="18" t="s">
        <v>211</v>
      </c>
    </row>
    <row r="7" spans="1:16">
      <c r="B7" s="19"/>
      <c r="C7" s="19"/>
      <c r="D7" s="19"/>
      <c r="E7" s="19"/>
      <c r="F7" s="19"/>
      <c r="G7" s="19"/>
      <c r="H7" s="19"/>
      <c r="I7" s="19"/>
      <c r="J7" s="19"/>
      <c r="K7" s="19"/>
      <c r="L7" s="19"/>
      <c r="M7" s="19"/>
      <c r="N7" s="19"/>
      <c r="O7" s="19"/>
      <c r="P7" s="19"/>
    </row>
    <row r="8" spans="1:16" s="8" customFormat="1">
      <c r="A8" s="20" t="s">
        <v>482</v>
      </c>
      <c r="B8" s="21">
        <f>MAX((B5+B6),0)</f>
        <v>552.26099999999997</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214</v>
      </c>
      <c r="B10" s="25">
        <f ca="1">'EF ele_warmte'!B12</f>
        <v>0.20504171472650515</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213</v>
      </c>
      <c r="B12" s="23">
        <f ca="1">B10*B8</f>
        <v>113.23654241657445</v>
      </c>
      <c r="C12" s="160"/>
      <c r="D12" s="160"/>
      <c r="E12" s="160"/>
      <c r="F12" s="160"/>
      <c r="G12" s="160"/>
      <c r="H12" s="160"/>
      <c r="I12" s="160"/>
      <c r="J12" s="160"/>
      <c r="K12" s="160"/>
      <c r="L12" s="160"/>
      <c r="M12" s="160"/>
      <c r="N12" s="160"/>
      <c r="O12" s="160"/>
      <c r="P12" s="160"/>
    </row>
  </sheetData>
  <mergeCells count="6">
    <mergeCell ref="A1:A3"/>
    <mergeCell ref="B1:P1"/>
    <mergeCell ref="B2:B3"/>
    <mergeCell ref="C2:C3"/>
    <mergeCell ref="D2:K2"/>
    <mergeCell ref="L2:P2"/>
  </mergeCells>
  <pageMargins left="0.7" right="0.7" top="0.75" bottom="0.75" header="0.3" footer="0.3"/>
  <legacyDrawing r:id="rId1"/>
</worksheet>
</file>

<file path=xl/worksheets/sheet25.xml><?xml version="1.0" encoding="utf-8"?>
<worksheet xmlns="http://schemas.openxmlformats.org/spreadsheetml/2006/main" xmlns:r="http://schemas.openxmlformats.org/officeDocument/2006/relationships">
  <sheetPr codeName="Sheet5">
    <tabColor theme="5" tint="-0.249977111117893"/>
  </sheetPr>
  <dimension ref="A1:P81"/>
  <sheetViews>
    <sheetView showGridLines="0" zoomScale="80" zoomScaleNormal="80" workbookViewId="0">
      <pane xSplit="1" ySplit="3" topLeftCell="B10" activePane="bottomRight" state="frozen"/>
      <selection activeCell="B35" sqref="B35"/>
      <selection pane="topRight" activeCell="B35" sqref="B35"/>
      <selection pane="bottomLeft" activeCell="B35" sqref="B35"/>
      <selection pane="bottomRight" sqref="A1:A3"/>
    </sheetView>
  </sheetViews>
  <sheetFormatPr defaultRowHeight="15"/>
  <cols>
    <col min="1" max="1" width="61.7109375" customWidth="1"/>
    <col min="2" max="2" width="37.140625" customWidth="1"/>
    <col min="3" max="3" width="58" bestFit="1" customWidth="1"/>
    <col min="4" max="4" width="66.710937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34" customFormat="1" ht="17.25" thickTop="1" thickBot="1">
      <c r="A1" s="1222" t="s">
        <v>155</v>
      </c>
      <c r="B1" s="1223" t="s">
        <v>195</v>
      </c>
      <c r="C1" s="1224"/>
      <c r="D1" s="1224"/>
      <c r="E1" s="1224"/>
      <c r="F1" s="1224"/>
      <c r="G1" s="1224"/>
      <c r="H1" s="1224"/>
      <c r="I1" s="1224"/>
      <c r="J1" s="1224"/>
      <c r="K1" s="1224"/>
      <c r="L1" s="1224"/>
      <c r="M1" s="1224"/>
      <c r="N1" s="1224"/>
      <c r="O1" s="1224"/>
      <c r="P1" s="1224"/>
    </row>
    <row r="2" spans="1:16" s="334" customFormat="1" ht="15.75" thickTop="1">
      <c r="A2" s="1222"/>
      <c r="B2" s="1225" t="s">
        <v>21</v>
      </c>
      <c r="C2" s="1225" t="s">
        <v>196</v>
      </c>
      <c r="D2" s="1227" t="s">
        <v>197</v>
      </c>
      <c r="E2" s="1228"/>
      <c r="F2" s="1228"/>
      <c r="G2" s="1228"/>
      <c r="H2" s="1228"/>
      <c r="I2" s="1228"/>
      <c r="J2" s="1228"/>
      <c r="K2" s="1229"/>
      <c r="L2" s="1227" t="s">
        <v>198</v>
      </c>
      <c r="M2" s="1228"/>
      <c r="N2" s="1228"/>
      <c r="O2" s="1228"/>
      <c r="P2" s="1229"/>
    </row>
    <row r="3" spans="1:16" s="334" customFormat="1" ht="45">
      <c r="A3" s="1222"/>
      <c r="B3" s="1226"/>
      <c r="C3" s="1226"/>
      <c r="D3" s="382" t="s">
        <v>199</v>
      </c>
      <c r="E3" s="382" t="s">
        <v>200</v>
      </c>
      <c r="F3" s="382" t="s">
        <v>201</v>
      </c>
      <c r="G3" s="382" t="s">
        <v>202</v>
      </c>
      <c r="H3" s="382" t="s">
        <v>120</v>
      </c>
      <c r="I3" s="382" t="s">
        <v>203</v>
      </c>
      <c r="J3" s="382" t="s">
        <v>204</v>
      </c>
      <c r="K3" s="382" t="s">
        <v>205</v>
      </c>
      <c r="L3" s="382" t="s">
        <v>206</v>
      </c>
      <c r="M3" s="382" t="s">
        <v>207</v>
      </c>
      <c r="N3" s="382" t="s">
        <v>208</v>
      </c>
      <c r="O3" s="382" t="s">
        <v>209</v>
      </c>
      <c r="P3" s="382" t="s">
        <v>210</v>
      </c>
    </row>
    <row r="4" spans="1:16" s="15" customFormat="1" ht="15.75">
      <c r="A4" s="13"/>
      <c r="B4" s="14"/>
      <c r="C4" s="14"/>
      <c r="D4" s="14"/>
      <c r="E4" s="14"/>
      <c r="F4" s="14"/>
      <c r="G4" s="14"/>
      <c r="H4" s="14"/>
      <c r="I4" s="14"/>
      <c r="J4" s="14"/>
      <c r="K4" s="14"/>
      <c r="L4" s="14"/>
      <c r="M4" s="14"/>
      <c r="N4" s="14"/>
      <c r="O4" s="14"/>
      <c r="P4" s="14"/>
    </row>
    <row r="5" spans="1:16">
      <c r="A5" s="16" t="s">
        <v>549</v>
      </c>
      <c r="B5" s="30">
        <f>IF(ISERROR(SUM(HH_hh_ele_kWh,HH_rest_kWh)/1000),0,SUM(HH_hh_ele_kWh,HH_rest_kWh)/1000)</f>
        <v>11140.936</v>
      </c>
      <c r="C5" s="17">
        <f>IF(ISERROR('Eigen informatie GS &amp; warmtenet'!B57),0,'Eigen informatie GS &amp; warmtenet'!B57)</f>
        <v>0</v>
      </c>
      <c r="D5" s="30">
        <f>(SUM(HH_hh_gas_kWh,HH_rest_gas_kWh)/1000)*0.902</f>
        <v>16215.795199999999</v>
      </c>
      <c r="E5" s="17">
        <f>B46*B57</f>
        <v>1340.7626615858364</v>
      </c>
      <c r="F5" s="17">
        <f>B51*B62</f>
        <v>29874.567349167544</v>
      </c>
      <c r="G5" s="18"/>
      <c r="H5" s="17"/>
      <c r="I5" s="17"/>
      <c r="J5" s="17">
        <f>B50*B61+C50*C61</f>
        <v>365.81192702416899</v>
      </c>
      <c r="K5" s="17"/>
      <c r="L5" s="17"/>
      <c r="M5" s="17"/>
      <c r="N5" s="17">
        <f>B48*B59+C48*C59</f>
        <v>11016.463387471211</v>
      </c>
      <c r="O5" s="17">
        <f>B69*B70*B71</f>
        <v>110.99666666666667</v>
      </c>
      <c r="P5" s="17">
        <f>B77*B78*B79/1000-B77*B78*B79/1000/B80</f>
        <v>457.6</v>
      </c>
    </row>
    <row r="6" spans="1:16">
      <c r="A6" s="16" t="s">
        <v>631</v>
      </c>
      <c r="B6" s="789">
        <f>kWh_PV_kleiner_dan_10kW</f>
        <v>2640.4801476294256</v>
      </c>
      <c r="C6" s="790"/>
      <c r="D6" s="790"/>
      <c r="E6" s="791"/>
      <c r="F6" s="791"/>
      <c r="G6" s="791"/>
      <c r="H6" s="791"/>
      <c r="I6" s="791"/>
      <c r="J6" s="791"/>
      <c r="K6" s="791"/>
      <c r="L6" s="791"/>
      <c r="M6" s="791"/>
      <c r="N6" s="791"/>
      <c r="O6" s="791"/>
      <c r="P6" s="791"/>
    </row>
    <row r="7" spans="1:16">
      <c r="B7" s="19"/>
      <c r="C7" s="19"/>
      <c r="D7" s="19"/>
      <c r="E7" s="19"/>
      <c r="F7" s="19"/>
      <c r="G7" s="19"/>
      <c r="H7" s="19"/>
      <c r="I7" s="19"/>
      <c r="J7" s="19"/>
      <c r="K7" s="19"/>
      <c r="L7" s="19"/>
      <c r="M7" s="19"/>
      <c r="N7" s="19"/>
      <c r="O7" s="19"/>
      <c r="P7" s="19"/>
    </row>
    <row r="8" spans="1:16" s="8" customFormat="1">
      <c r="A8" s="20" t="s">
        <v>212</v>
      </c>
      <c r="B8" s="21">
        <f>B5+B6</f>
        <v>13781.416147629425</v>
      </c>
      <c r="C8" s="21">
        <f>C5</f>
        <v>0</v>
      </c>
      <c r="D8" s="21">
        <f>D5</f>
        <v>16215.795199999999</v>
      </c>
      <c r="E8" s="21">
        <f>E5</f>
        <v>1340.7626615858364</v>
      </c>
      <c r="F8" s="21">
        <f>F5</f>
        <v>29874.567349167544</v>
      </c>
      <c r="G8" s="21"/>
      <c r="H8" s="21"/>
      <c r="I8" s="21"/>
      <c r="J8" s="21">
        <f>J5</f>
        <v>365.81192702416899</v>
      </c>
      <c r="K8" s="21"/>
      <c r="L8" s="21">
        <f>L5</f>
        <v>0</v>
      </c>
      <c r="M8" s="21">
        <f>M5</f>
        <v>0</v>
      </c>
      <c r="N8" s="21">
        <f>N5</f>
        <v>11016.463387471211</v>
      </c>
      <c r="O8" s="21">
        <f>O5</f>
        <v>110.99666666666667</v>
      </c>
      <c r="P8" s="21">
        <f>P5</f>
        <v>457.6</v>
      </c>
    </row>
    <row r="9" spans="1:16">
      <c r="B9" s="19"/>
      <c r="C9" s="19"/>
      <c r="D9" s="258"/>
      <c r="E9" s="19"/>
      <c r="F9" s="19"/>
      <c r="G9" s="19"/>
      <c r="H9" s="19"/>
      <c r="I9" s="19"/>
      <c r="J9" s="19"/>
      <c r="K9" s="19"/>
      <c r="L9" s="19"/>
      <c r="M9" s="19"/>
      <c r="N9" s="19"/>
      <c r="O9" s="19"/>
      <c r="P9" s="19"/>
    </row>
    <row r="10" spans="1:16">
      <c r="A10" s="24" t="s">
        <v>214</v>
      </c>
      <c r="B10" s="25">
        <f ca="1">'EF ele_warmte'!B12</f>
        <v>0.20504171472650515</v>
      </c>
      <c r="C10" s="25">
        <f ca="1">'EF ele_warmte'!B22</f>
        <v>0</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213</v>
      </c>
      <c r="B12" s="23">
        <f ca="1">B10*B8</f>
        <v>2825.7651982694842</v>
      </c>
      <c r="C12" s="23">
        <f ca="1">C10*C8</f>
        <v>0</v>
      </c>
      <c r="D12" s="23">
        <f>D8*D10</f>
        <v>3275.5906304</v>
      </c>
      <c r="E12" s="23">
        <f>E10*E8</f>
        <v>304.35312417998489</v>
      </c>
      <c r="F12" s="23">
        <f>F10*F8</f>
        <v>7976.5094822277351</v>
      </c>
      <c r="G12" s="23"/>
      <c r="H12" s="23"/>
      <c r="I12" s="23"/>
      <c r="J12" s="23">
        <f>J10*J8</f>
        <v>129.49742216655582</v>
      </c>
      <c r="K12" s="23"/>
      <c r="L12" s="23">
        <f>L10*L8</f>
        <v>0</v>
      </c>
      <c r="M12" s="23">
        <f>M10*M8</f>
        <v>0</v>
      </c>
      <c r="N12" s="23">
        <f>N10*N8</f>
        <v>0</v>
      </c>
      <c r="O12" s="23">
        <f>O10*O8</f>
        <v>0</v>
      </c>
      <c r="P12" s="23">
        <f>P10*P8</f>
        <v>0</v>
      </c>
    </row>
    <row r="15" spans="1:16">
      <c r="A15" s="193" t="s">
        <v>493</v>
      </c>
      <c r="B15" s="203"/>
      <c r="C15" s="203"/>
      <c r="D15" s="225"/>
    </row>
    <row r="16" spans="1:16">
      <c r="A16" s="3"/>
      <c r="B16" s="43"/>
      <c r="C16" s="43"/>
      <c r="D16" s="174"/>
    </row>
    <row r="17" spans="1:7">
      <c r="A17" s="226" t="s">
        <v>215</v>
      </c>
      <c r="B17" s="202" t="s">
        <v>216</v>
      </c>
      <c r="C17" s="202" t="s">
        <v>220</v>
      </c>
      <c r="D17" s="227" t="s">
        <v>182</v>
      </c>
      <c r="E17" s="15"/>
    </row>
    <row r="18" spans="1:7">
      <c r="A18" s="171" t="s">
        <v>71</v>
      </c>
      <c r="B18" s="37">
        <f>Aantalw2001_aardgas</f>
        <v>226</v>
      </c>
      <c r="C18" s="166" t="s">
        <v>111</v>
      </c>
      <c r="D18" s="228"/>
      <c r="E18" s="15"/>
    </row>
    <row r="19" spans="1:7">
      <c r="A19" s="171" t="s">
        <v>72</v>
      </c>
      <c r="B19" s="37">
        <f>aantalw2001_ander</f>
        <v>2</v>
      </c>
      <c r="C19" s="166" t="s">
        <v>111</v>
      </c>
      <c r="D19" s="229"/>
      <c r="E19" s="15"/>
    </row>
    <row r="20" spans="1:7">
      <c r="A20" s="171" t="s">
        <v>73</v>
      </c>
      <c r="B20" s="37">
        <f>aantalw2001_propaan</f>
        <v>18</v>
      </c>
      <c r="C20" s="167">
        <f>IF(ISERROR(B20/SUM($B$20,$B$21,$B$22)*100),0,B20/SUM($B$20,$B$21,$B$22)*100)</f>
        <v>13.953488372093023</v>
      </c>
      <c r="D20" s="229"/>
      <c r="E20" s="15"/>
    </row>
    <row r="21" spans="1:7">
      <c r="A21" s="171" t="s">
        <v>74</v>
      </c>
      <c r="B21" s="37">
        <f>aantalw2001_elektriciteit</f>
        <v>72</v>
      </c>
      <c r="C21" s="167">
        <f>IF(ISERROR(B21/SUM($B$20,$B$21,$B$22)*100),0,B21/SUM($B$20,$B$21,$B$22)*100)</f>
        <v>55.813953488372093</v>
      </c>
      <c r="D21" s="229"/>
      <c r="E21" s="15"/>
    </row>
    <row r="22" spans="1:7">
      <c r="A22" s="171" t="s">
        <v>75</v>
      </c>
      <c r="B22" s="37">
        <f>aantalw2001_hout</f>
        <v>39</v>
      </c>
      <c r="C22" s="167">
        <f>IF(ISERROR(B22/SUM($B$20,$B$21,$B$22)*100),0,B22/SUM($B$20,$B$21,$B$22)*100)</f>
        <v>30.232558139534881</v>
      </c>
      <c r="D22" s="229"/>
      <c r="E22" s="15"/>
    </row>
    <row r="23" spans="1:7">
      <c r="A23" s="171" t="s">
        <v>76</v>
      </c>
      <c r="B23" s="37">
        <f>aantalw2001_niet_gespec</f>
        <v>22</v>
      </c>
      <c r="C23" s="166" t="s">
        <v>111</v>
      </c>
      <c r="D23" s="228"/>
      <c r="E23" s="15"/>
    </row>
    <row r="24" spans="1:7">
      <c r="A24" s="171" t="s">
        <v>77</v>
      </c>
      <c r="B24" s="37">
        <f>aantalw2001_steenkool</f>
        <v>103</v>
      </c>
      <c r="C24" s="166" t="s">
        <v>111</v>
      </c>
      <c r="D24" s="229"/>
      <c r="E24" s="15"/>
    </row>
    <row r="25" spans="1:7">
      <c r="A25" s="171" t="s">
        <v>78</v>
      </c>
      <c r="B25" s="37">
        <f>aantalw2001_stookolie</f>
        <v>2047</v>
      </c>
      <c r="C25" s="166" t="s">
        <v>111</v>
      </c>
      <c r="D25" s="228"/>
      <c r="E25" s="52"/>
    </row>
    <row r="26" spans="1:7">
      <c r="A26" s="171" t="s">
        <v>79</v>
      </c>
      <c r="B26" s="37">
        <f>aantalw2001_WP</f>
        <v>1</v>
      </c>
      <c r="C26" s="166" t="s">
        <v>111</v>
      </c>
      <c r="D26" s="228"/>
      <c r="E26" s="15"/>
    </row>
    <row r="27" spans="1:7" s="15" customFormat="1">
      <c r="A27" s="171"/>
      <c r="B27" s="29"/>
      <c r="C27" s="36"/>
      <c r="D27" s="228"/>
    </row>
    <row r="28" spans="1:7" s="15" customFormat="1">
      <c r="A28" s="230" t="s">
        <v>740</v>
      </c>
      <c r="B28" s="37">
        <f>aantalHuishoudens2011</f>
        <v>3044</v>
      </c>
      <c r="C28" s="36"/>
      <c r="D28" s="228"/>
    </row>
    <row r="29" spans="1:7" s="15" customFormat="1">
      <c r="A29" s="230" t="s">
        <v>741</v>
      </c>
      <c r="B29" s="37">
        <f>SUM(HH_hh_gas_aantal,HH_rest_gas_aantal)</f>
        <v>1152</v>
      </c>
      <c r="C29" s="36"/>
      <c r="D29" s="228"/>
    </row>
    <row r="30" spans="1:7" s="15" customFormat="1">
      <c r="A30" s="231"/>
      <c r="B30" s="29"/>
      <c r="C30" s="36"/>
      <c r="D30" s="232"/>
    </row>
    <row r="31" spans="1:7">
      <c r="A31" s="172" t="s">
        <v>742</v>
      </c>
      <c r="B31" s="168" t="s">
        <v>216</v>
      </c>
      <c r="C31" s="165" t="s">
        <v>217</v>
      </c>
      <c r="D31" s="174"/>
      <c r="G31" s="15"/>
    </row>
    <row r="32" spans="1:7">
      <c r="A32" s="171" t="s">
        <v>71</v>
      </c>
      <c r="B32" s="37">
        <f>B29</f>
        <v>1152</v>
      </c>
      <c r="C32" s="167">
        <f>IF(ISERROR(B32/SUM($B$32,$B$34,$B$35,$B$36,$B$38,$B$39)*100),0,B32/SUM($B$32,$B$34,$B$35,$B$36,$B$38,$B$39)*100)</f>
        <v>38.145695364238414</v>
      </c>
      <c r="D32" s="233"/>
      <c r="G32" s="15"/>
    </row>
    <row r="33" spans="1:7">
      <c r="A33" s="171" t="s">
        <v>72</v>
      </c>
      <c r="B33" s="34" t="s">
        <v>111</v>
      </c>
      <c r="C33" s="167"/>
      <c r="D33" s="233"/>
      <c r="G33" s="15"/>
    </row>
    <row r="34" spans="1:7">
      <c r="A34" s="171" t="s">
        <v>73</v>
      </c>
      <c r="B34" s="33">
        <f>IF((($B$28-$B$32-$B$39-$B$77-$B$38)*C20/100)&lt;0,0,($B$28-$B$32-$B$39-$B$77-$B$38)*C20/100)</f>
        <v>89.860465116279087</v>
      </c>
      <c r="C34" s="167">
        <f>IF(ISERROR(B34/SUM($B$32,$B$34,$B$35,$B$36,$B$38,$B$39)*100),0,B34/SUM($B$32,$B$34,$B$35,$B$36,$B$38,$B$39)*100)</f>
        <v>2.9755120899430163</v>
      </c>
      <c r="D34" s="233"/>
      <c r="G34" s="15"/>
    </row>
    <row r="35" spans="1:7">
      <c r="A35" s="171" t="s">
        <v>74</v>
      </c>
      <c r="B35" s="33">
        <f>IF((($B$28-$B$32-$B$39-$B$77-$B$38)*C21/100)&lt;0,0,($B$28-$B$32-$B$39-$B$77-$B$38)*C21/100)</f>
        <v>359.44186046511635</v>
      </c>
      <c r="C35" s="167">
        <f>IF(ISERROR(B35/SUM($B$32,$B$34,$B$35,$B$36,$B$38,$B$39)*100),0,B35/SUM($B$32,$B$34,$B$35,$B$36,$B$38,$B$39)*100)</f>
        <v>11.902048359772065</v>
      </c>
      <c r="D35" s="233"/>
      <c r="G35" s="15"/>
    </row>
    <row r="36" spans="1:7">
      <c r="A36" s="171" t="s">
        <v>75</v>
      </c>
      <c r="B36" s="33">
        <f>IF((($B$28-$B$32-$B$39-$B$77-$B$38)*C22/100)&lt;0,0,($B$28-$B$32-$B$39-$B$77-$B$38)*C22/100)</f>
        <v>194.69767441860466</v>
      </c>
      <c r="C36" s="167">
        <f>IF(ISERROR(B36/SUM($B$32,$B$34,$B$35,$B$36,$B$38,$B$39)*100),0,B36/SUM($B$32,$B$34,$B$35,$B$36,$B$38,$B$39)*100)</f>
        <v>6.4469428615432003</v>
      </c>
      <c r="D36" s="233"/>
      <c r="G36" s="15"/>
    </row>
    <row r="37" spans="1:7">
      <c r="A37" s="171" t="s">
        <v>76</v>
      </c>
      <c r="B37" s="34" t="s">
        <v>111</v>
      </c>
      <c r="C37" s="167"/>
      <c r="D37" s="173"/>
      <c r="G37" s="15"/>
    </row>
    <row r="38" spans="1:7">
      <c r="A38" s="171" t="s">
        <v>77</v>
      </c>
      <c r="B38" s="33">
        <f>IF((B24-(B29-B18)*0.1)&lt;0,0,B24-(B29-B18)*0.1)</f>
        <v>10.399999999999991</v>
      </c>
      <c r="C38" s="167">
        <f>IF(ISERROR(B38/SUM($B$32,$B$34,$B$35,$B$36,$B$38,$B$39)*100),0,B38/SUM($B$32,$B$34,$B$35,$B$36,$B$38,$B$39)*100)</f>
        <v>0.34437086092715202</v>
      </c>
      <c r="D38" s="234"/>
      <c r="G38" s="15"/>
    </row>
    <row r="39" spans="1:7">
      <c r="A39" s="171" t="s">
        <v>78</v>
      </c>
      <c r="B39" s="33">
        <f>IF((B25-(B29-B18))&lt;0,0,B25-(B29-B18)*0.9)</f>
        <v>1213.5999999999999</v>
      </c>
      <c r="C39" s="167">
        <f>IF(ISERROR(B39/SUM($B$32,$B$34,$B$35,$B$36,$B$38,$B$39)*100),0,B39/SUM($B$32,$B$34,$B$35,$B$36,$B$38,$B$39)*100)</f>
        <v>40.185430463576154</v>
      </c>
      <c r="D39" s="234"/>
      <c r="G39" s="15"/>
    </row>
    <row r="40" spans="1:7">
      <c r="A40" s="171" t="s">
        <v>79</v>
      </c>
      <c r="B40" s="33" t="s">
        <v>219</v>
      </c>
      <c r="C40" s="167"/>
      <c r="D40" s="233"/>
      <c r="G40" s="15"/>
    </row>
    <row r="41" spans="1:7">
      <c r="A41" s="3"/>
      <c r="B41" s="43"/>
      <c r="C41" s="43"/>
      <c r="D41" s="174"/>
    </row>
    <row r="42" spans="1:7">
      <c r="A42" s="3"/>
      <c r="B42" s="43"/>
      <c r="C42" s="43"/>
      <c r="D42" s="174"/>
    </row>
    <row r="43" spans="1:7">
      <c r="A43" s="172" t="s">
        <v>485</v>
      </c>
      <c r="B43" s="169" t="s">
        <v>695</v>
      </c>
      <c r="C43" s="169" t="s">
        <v>696</v>
      </c>
      <c r="D43" s="174"/>
    </row>
    <row r="44" spans="1:7">
      <c r="A44" s="171" t="s">
        <v>71</v>
      </c>
      <c r="B44" s="33">
        <f t="shared" ref="B44:B52" si="0">B32</f>
        <v>1152</v>
      </c>
      <c r="C44" s="34" t="s">
        <v>111</v>
      </c>
      <c r="D44" s="174"/>
    </row>
    <row r="45" spans="1:7">
      <c r="A45" s="171" t="s">
        <v>72</v>
      </c>
      <c r="B45" s="33" t="str">
        <f t="shared" si="0"/>
        <v>-</v>
      </c>
      <c r="C45" s="34" t="s">
        <v>111</v>
      </c>
      <c r="D45" s="174"/>
    </row>
    <row r="46" spans="1:7">
      <c r="A46" s="171" t="s">
        <v>73</v>
      </c>
      <c r="B46" s="33">
        <f t="shared" si="0"/>
        <v>89.860465116279087</v>
      </c>
      <c r="C46" s="34" t="s">
        <v>111</v>
      </c>
      <c r="D46" s="174"/>
    </row>
    <row r="47" spans="1:7">
      <c r="A47" s="171" t="s">
        <v>74</v>
      </c>
      <c r="B47" s="33">
        <f t="shared" si="0"/>
        <v>359.44186046511635</v>
      </c>
      <c r="C47" s="34" t="s">
        <v>111</v>
      </c>
      <c r="D47" s="174"/>
    </row>
    <row r="48" spans="1:7">
      <c r="A48" s="171" t="s">
        <v>75</v>
      </c>
      <c r="B48" s="33">
        <f t="shared" si="0"/>
        <v>194.69767441860466</v>
      </c>
      <c r="C48" s="33">
        <f>B48*10</f>
        <v>1946.9767441860467</v>
      </c>
      <c r="D48" s="234"/>
    </row>
    <row r="49" spans="1:6">
      <c r="A49" s="171" t="s">
        <v>76</v>
      </c>
      <c r="B49" s="33" t="str">
        <f t="shared" si="0"/>
        <v>-</v>
      </c>
      <c r="C49" s="34" t="s">
        <v>111</v>
      </c>
      <c r="D49" s="234"/>
    </row>
    <row r="50" spans="1:6">
      <c r="A50" s="171" t="s">
        <v>77</v>
      </c>
      <c r="B50" s="33">
        <f t="shared" si="0"/>
        <v>10.399999999999991</v>
      </c>
      <c r="C50" s="33">
        <f>B50*2</f>
        <v>20.799999999999983</v>
      </c>
      <c r="D50" s="234"/>
    </row>
    <row r="51" spans="1:6">
      <c r="A51" s="171" t="s">
        <v>78</v>
      </c>
      <c r="B51" s="33">
        <f t="shared" si="0"/>
        <v>1213.5999999999999</v>
      </c>
      <c r="C51" s="34" t="s">
        <v>111</v>
      </c>
      <c r="D51" s="174"/>
    </row>
    <row r="52" spans="1:6">
      <c r="A52" s="171" t="s">
        <v>79</v>
      </c>
      <c r="B52" s="33" t="str">
        <f t="shared" si="0"/>
        <v>zie verder</v>
      </c>
      <c r="C52" s="34" t="s">
        <v>111</v>
      </c>
      <c r="D52" s="174"/>
    </row>
    <row r="53" spans="1:6">
      <c r="A53" s="3"/>
      <c r="B53" s="43"/>
      <c r="C53" s="43"/>
      <c r="D53" s="174"/>
    </row>
    <row r="54" spans="1:6">
      <c r="A54" s="172" t="s">
        <v>488</v>
      </c>
      <c r="B54" s="165" t="s">
        <v>693</v>
      </c>
      <c r="C54" s="165" t="s">
        <v>694</v>
      </c>
      <c r="D54" s="301" t="s">
        <v>692</v>
      </c>
      <c r="E54" s="162"/>
      <c r="F54" s="162"/>
    </row>
    <row r="55" spans="1:6">
      <c r="A55" s="171" t="s">
        <v>71</v>
      </c>
      <c r="B55" s="163">
        <v>12.805116383233845</v>
      </c>
      <c r="C55" s="170" t="s">
        <v>111</v>
      </c>
      <c r="D55" s="173"/>
      <c r="E55" s="163"/>
      <c r="F55" s="163"/>
    </row>
    <row r="56" spans="1:6">
      <c r="A56" s="171" t="s">
        <v>72</v>
      </c>
      <c r="B56" s="170" t="s">
        <v>111</v>
      </c>
      <c r="C56" s="170" t="s">
        <v>111</v>
      </c>
      <c r="D56" s="173"/>
      <c r="E56" s="163"/>
      <c r="F56" s="163"/>
    </row>
    <row r="57" spans="1:6">
      <c r="A57" s="171" t="s">
        <v>73</v>
      </c>
      <c r="B57" s="163">
        <v>14.920495457606355</v>
      </c>
      <c r="C57" s="170" t="s">
        <v>111</v>
      </c>
      <c r="D57" s="173"/>
      <c r="E57" s="163"/>
      <c r="F57" s="163"/>
    </row>
    <row r="58" spans="1:6">
      <c r="A58" s="171" t="s">
        <v>74</v>
      </c>
      <c r="B58" s="163">
        <v>12.827171742296379</v>
      </c>
      <c r="C58" s="170" t="s">
        <v>111</v>
      </c>
      <c r="D58" s="173"/>
      <c r="E58" s="163"/>
      <c r="F58" s="163"/>
    </row>
    <row r="59" spans="1:6">
      <c r="A59" s="171" t="s">
        <v>75</v>
      </c>
      <c r="B59" s="170">
        <v>8.1546290411096809</v>
      </c>
      <c r="C59" s="170">
        <v>4.8427779661859978</v>
      </c>
      <c r="D59" s="173"/>
      <c r="E59" s="163"/>
      <c r="F59" s="163"/>
    </row>
    <row r="60" spans="1:6">
      <c r="A60" s="171" t="s">
        <v>76</v>
      </c>
      <c r="B60" s="170" t="s">
        <v>111</v>
      </c>
      <c r="C60" s="170" t="s">
        <v>111</v>
      </c>
      <c r="D60" s="173"/>
      <c r="E60" s="163"/>
      <c r="F60" s="163"/>
    </row>
    <row r="61" spans="1:6">
      <c r="A61" s="171" t="s">
        <v>77</v>
      </c>
      <c r="B61" s="163">
        <v>12.922165983626325</v>
      </c>
      <c r="C61" s="170">
        <v>11.126028884348822</v>
      </c>
      <c r="D61" s="173"/>
      <c r="E61" s="163"/>
      <c r="F61" s="163"/>
    </row>
    <row r="62" spans="1:6">
      <c r="A62" s="171" t="s">
        <v>78</v>
      </c>
      <c r="B62" s="170">
        <v>24.616485950203977</v>
      </c>
      <c r="C62" s="170" t="s">
        <v>111</v>
      </c>
      <c r="D62" s="174"/>
      <c r="E62" s="163"/>
      <c r="F62" s="163"/>
    </row>
    <row r="63" spans="1:6">
      <c r="A63" s="171" t="s">
        <v>79</v>
      </c>
      <c r="B63" s="170" t="s">
        <v>219</v>
      </c>
      <c r="C63" s="170" t="s">
        <v>111</v>
      </c>
      <c r="D63" s="174"/>
      <c r="E63" s="163"/>
      <c r="F63" s="163"/>
    </row>
    <row r="64" spans="1:6">
      <c r="A64" s="175"/>
      <c r="B64" s="235"/>
      <c r="C64" s="235"/>
      <c r="D64" s="176"/>
      <c r="E64" s="163"/>
      <c r="F64" s="163"/>
    </row>
    <row r="65" spans="1:6">
      <c r="E65" s="15"/>
      <c r="F65" s="15"/>
    </row>
    <row r="66" spans="1:6">
      <c r="A66" s="194" t="s">
        <v>486</v>
      </c>
      <c r="B66" s="203"/>
      <c r="C66" s="203"/>
      <c r="D66" s="204"/>
    </row>
    <row r="67" spans="1:6" s="15" customFormat="1">
      <c r="A67" s="172"/>
      <c r="B67" s="32"/>
      <c r="C67" s="32"/>
      <c r="D67" s="205"/>
    </row>
    <row r="68" spans="1:6" s="15" customFormat="1">
      <c r="A68" s="206"/>
      <c r="B68" s="207"/>
      <c r="C68" s="208" t="s">
        <v>377</v>
      </c>
      <c r="D68" s="222" t="s">
        <v>182</v>
      </c>
    </row>
    <row r="69" spans="1:6">
      <c r="A69" s="171" t="s">
        <v>266</v>
      </c>
      <c r="B69" s="319">
        <f>aantalZB_NB_wonen+aantalZB_NB_wonen_met_kantoor+ZB_HH_bestaande_bouw</f>
        <v>71</v>
      </c>
      <c r="C69" s="43"/>
      <c r="D69" s="173"/>
    </row>
    <row r="70" spans="1:6">
      <c r="A70" s="171" t="s">
        <v>483</v>
      </c>
      <c r="B70" s="315">
        <v>4.2</v>
      </c>
      <c r="C70" s="43"/>
      <c r="D70" s="309" t="s">
        <v>517</v>
      </c>
    </row>
    <row r="71" spans="1:6">
      <c r="A71" s="245" t="s">
        <v>484</v>
      </c>
      <c r="B71" s="320">
        <f>1.34/3.6</f>
        <v>0.37222222222222223</v>
      </c>
      <c r="C71" s="43" t="s">
        <v>218</v>
      </c>
      <c r="D71" s="309" t="s">
        <v>517</v>
      </c>
    </row>
    <row r="72" spans="1:6">
      <c r="A72" s="175"/>
      <c r="B72" s="246"/>
      <c r="C72" s="178"/>
      <c r="D72" s="179"/>
    </row>
    <row r="73" spans="1:6">
      <c r="D73" s="164"/>
    </row>
    <row r="74" spans="1:6">
      <c r="A74" s="194" t="s">
        <v>487</v>
      </c>
      <c r="B74" s="203"/>
      <c r="C74" s="203"/>
      <c r="D74" s="204"/>
    </row>
    <row r="75" spans="1:6">
      <c r="A75" s="172"/>
      <c r="B75" s="32"/>
      <c r="C75" s="32"/>
      <c r="D75" s="209"/>
    </row>
    <row r="76" spans="1:6">
      <c r="A76" s="183"/>
      <c r="B76" s="182"/>
      <c r="C76" s="208" t="s">
        <v>377</v>
      </c>
      <c r="D76" s="223" t="s">
        <v>182</v>
      </c>
    </row>
    <row r="77" spans="1:6">
      <c r="A77" s="171" t="s">
        <v>266</v>
      </c>
      <c r="B77" s="319">
        <f>aantalWP_NB_wonen+aantalWP_NB_wonen_met_kantoor+WP_HH_bestaande_bouw</f>
        <v>24</v>
      </c>
      <c r="C77" s="32"/>
      <c r="D77" s="177"/>
    </row>
    <row r="78" spans="1:6">
      <c r="A78" s="171" t="s">
        <v>453</v>
      </c>
      <c r="B78" s="315">
        <v>13</v>
      </c>
      <c r="C78" s="32" t="s">
        <v>263</v>
      </c>
      <c r="D78" s="309" t="s">
        <v>517</v>
      </c>
    </row>
    <row r="79" spans="1:6">
      <c r="A79" s="171" t="s">
        <v>454</v>
      </c>
      <c r="B79" s="315">
        <v>2000</v>
      </c>
      <c r="C79" s="32" t="s">
        <v>265</v>
      </c>
      <c r="D79" s="309" t="s">
        <v>517</v>
      </c>
    </row>
    <row r="80" spans="1:6">
      <c r="A80" s="171" t="s">
        <v>415</v>
      </c>
      <c r="B80" s="315">
        <v>3.75</v>
      </c>
      <c r="C80" s="43"/>
      <c r="D80" s="309" t="s">
        <v>517</v>
      </c>
    </row>
    <row r="81" spans="1:4">
      <c r="A81" s="4"/>
      <c r="B81" s="178"/>
      <c r="C81" s="178"/>
      <c r="D81" s="176"/>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sheetPr codeName="Sheet6">
    <tabColor theme="5" tint="-0.249977111117893"/>
  </sheetPr>
  <dimension ref="A1:R55"/>
  <sheetViews>
    <sheetView showGridLines="0" topLeftCell="D1" zoomScale="80" zoomScaleNormal="80" workbookViewId="0">
      <selection activeCell="H46" sqref="H46"/>
    </sheetView>
  </sheetViews>
  <sheetFormatPr defaultColWidth="9.140625" defaultRowHeight="15"/>
  <cols>
    <col min="1" max="1" width="67.5703125" style="15" customWidth="1"/>
    <col min="2" max="2" width="31.85546875" style="15" customWidth="1"/>
    <col min="3" max="3" width="34" style="15" customWidth="1"/>
    <col min="4" max="4" width="6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222" t="s">
        <v>156</v>
      </c>
      <c r="B1" s="1223" t="s">
        <v>195</v>
      </c>
      <c r="C1" s="1224"/>
      <c r="D1" s="1224"/>
      <c r="E1" s="1224"/>
      <c r="F1" s="1224"/>
      <c r="G1" s="1224"/>
      <c r="H1" s="1224"/>
      <c r="I1" s="1224"/>
      <c r="J1" s="1224"/>
      <c r="K1" s="1224"/>
      <c r="L1" s="1224"/>
      <c r="M1" s="1224"/>
      <c r="N1" s="1224"/>
      <c r="O1" s="1224"/>
      <c r="P1" s="1224"/>
    </row>
    <row r="2" spans="1:18" s="316" customFormat="1" ht="15.75" thickTop="1">
      <c r="A2" s="1222"/>
      <c r="B2" s="1225" t="s">
        <v>21</v>
      </c>
      <c r="C2" s="1225" t="s">
        <v>196</v>
      </c>
      <c r="D2" s="1227" t="s">
        <v>197</v>
      </c>
      <c r="E2" s="1228"/>
      <c r="F2" s="1228"/>
      <c r="G2" s="1228"/>
      <c r="H2" s="1228"/>
      <c r="I2" s="1228"/>
      <c r="J2" s="1228"/>
      <c r="K2" s="1229"/>
      <c r="L2" s="1227" t="s">
        <v>198</v>
      </c>
      <c r="M2" s="1228"/>
      <c r="N2" s="1228"/>
      <c r="O2" s="1228"/>
      <c r="P2" s="1229"/>
    </row>
    <row r="3" spans="1:18" s="316" customFormat="1" ht="45">
      <c r="A3" s="1222"/>
      <c r="B3" s="1226"/>
      <c r="C3" s="1226"/>
      <c r="D3" s="382" t="s">
        <v>199</v>
      </c>
      <c r="E3" s="382" t="s">
        <v>200</v>
      </c>
      <c r="F3" s="382" t="s">
        <v>201</v>
      </c>
      <c r="G3" s="382" t="s">
        <v>202</v>
      </c>
      <c r="H3" s="382" t="s">
        <v>120</v>
      </c>
      <c r="I3" s="382" t="s">
        <v>203</v>
      </c>
      <c r="J3" s="382" t="s">
        <v>204</v>
      </c>
      <c r="K3" s="382" t="s">
        <v>205</v>
      </c>
      <c r="L3" s="382" t="s">
        <v>206</v>
      </c>
      <c r="M3" s="382" t="s">
        <v>207</v>
      </c>
      <c r="N3" s="382" t="s">
        <v>208</v>
      </c>
      <c r="O3" s="382" t="s">
        <v>209</v>
      </c>
      <c r="P3" s="382" t="s">
        <v>210</v>
      </c>
    </row>
    <row r="4" spans="1:18" ht="15.75">
      <c r="A4" s="13"/>
      <c r="B4" s="14"/>
      <c r="C4" s="14"/>
      <c r="D4" s="14"/>
      <c r="E4" s="14"/>
      <c r="F4" s="251"/>
      <c r="G4" s="14"/>
      <c r="H4" s="14"/>
      <c r="I4" s="14"/>
      <c r="J4" s="14"/>
      <c r="K4" s="14"/>
      <c r="L4" s="14"/>
      <c r="M4" s="14"/>
      <c r="N4" s="14"/>
      <c r="O4" s="14"/>
      <c r="P4" s="14"/>
      <c r="R4" s="6"/>
    </row>
    <row r="5" spans="1:18">
      <c r="A5" s="16" t="s">
        <v>259</v>
      </c>
      <c r="B5" s="30">
        <f>SUM(B6:B12)</f>
        <v>5601.6580000000004</v>
      </c>
      <c r="C5" s="17">
        <f>IF(ISERROR('Eigen informatie GS &amp; warmtenet'!B58),0,'Eigen informatie GS &amp; warmtenet'!B58)</f>
        <v>0</v>
      </c>
      <c r="D5" s="30">
        <f>SUM(D6:D12)</f>
        <v>3675.7807899999998</v>
      </c>
      <c r="E5" s="17">
        <f>SUM(E6:E12)</f>
        <v>54.273150297451856</v>
      </c>
      <c r="F5" s="17">
        <f>SUM(F6:F12)</f>
        <v>842.54354842826638</v>
      </c>
      <c r="G5" s="18"/>
      <c r="H5" s="17"/>
      <c r="I5" s="17"/>
      <c r="J5" s="17">
        <f>SUM(J6:J12)</f>
        <v>0</v>
      </c>
      <c r="K5" s="17"/>
      <c r="L5" s="17"/>
      <c r="M5" s="17"/>
      <c r="N5" s="17">
        <f>SUM(N6:N12)</f>
        <v>714.72022352989711</v>
      </c>
      <c r="O5" s="17">
        <f>B38*B39*B40</f>
        <v>0</v>
      </c>
      <c r="P5" s="17">
        <f>B46*B47*B48/1000-B46*B47*B48/1000/B49</f>
        <v>19.066666666666666</v>
      </c>
      <c r="R5" s="32"/>
    </row>
    <row r="6" spans="1:18">
      <c r="A6" s="32" t="s">
        <v>54</v>
      </c>
      <c r="B6" s="37">
        <f>B26</f>
        <v>1419.4480000000001</v>
      </c>
      <c r="C6" s="33"/>
      <c r="D6" s="37">
        <f>IF(ISERROR(TER_kantoor_gas_kWh/1000),0,TER_kantoor_gas_kWh/1000)*0.902</f>
        <v>891.63331399999993</v>
      </c>
      <c r="E6" s="33">
        <f>$C$26*'E Balans VL '!I12/100/3.6*1000000</f>
        <v>4.1123491185516885</v>
      </c>
      <c r="F6" s="33">
        <f>$C$26*('E Balans VL '!L12+'E Balans VL '!N12)/100/3.6*1000000</f>
        <v>160.65024073590158</v>
      </c>
      <c r="G6" s="34"/>
      <c r="H6" s="33"/>
      <c r="I6" s="33"/>
      <c r="J6" s="33">
        <f>$C$26*('E Balans VL '!D12+'E Balans VL '!E12)/100/3.6*1000000</f>
        <v>0</v>
      </c>
      <c r="K6" s="33"/>
      <c r="L6" s="33"/>
      <c r="M6" s="33"/>
      <c r="N6" s="33">
        <f>$C$26*'E Balans VL '!Y12/100/3.6*1000000</f>
        <v>14.207628584015636</v>
      </c>
      <c r="O6" s="33"/>
      <c r="P6" s="33"/>
      <c r="R6" s="32"/>
    </row>
    <row r="7" spans="1:18">
      <c r="A7" s="32" t="s">
        <v>53</v>
      </c>
      <c r="B7" s="37">
        <f t="shared" ref="B7:B12" si="0">B27</f>
        <v>498.17200000000003</v>
      </c>
      <c r="C7" s="33"/>
      <c r="D7" s="37">
        <f>IF(ISERROR(TER_horeca_gas_kWh/1000),0,TER_horeca_gas_kWh/1000)*0.902</f>
        <v>477.28788800000001</v>
      </c>
      <c r="E7" s="33">
        <f>$C$27*'E Balans VL '!I9/100/3.6*1000000</f>
        <v>20.911868694940587</v>
      </c>
      <c r="F7" s="33">
        <f>$C$27*('E Balans VL '!L9+'E Balans VL '!N9)/100/3.6*1000000</f>
        <v>107.04247017903103</v>
      </c>
      <c r="G7" s="34"/>
      <c r="H7" s="33"/>
      <c r="I7" s="33"/>
      <c r="J7" s="33">
        <f>$C$27*('E Balans VL '!D9+'E Balans VL '!E9)/100/3.6*1000000</f>
        <v>0</v>
      </c>
      <c r="K7" s="33"/>
      <c r="L7" s="33"/>
      <c r="M7" s="33"/>
      <c r="N7" s="33">
        <f>$C$27*'E Balans VL '!Y9/100/3.6*1000000</f>
        <v>0.12837456772781164</v>
      </c>
      <c r="O7" s="33"/>
      <c r="P7" s="33"/>
      <c r="R7" s="32"/>
    </row>
    <row r="8" spans="1:18">
      <c r="A8" s="6" t="s">
        <v>52</v>
      </c>
      <c r="B8" s="37">
        <f t="shared" si="0"/>
        <v>2392.0329999999999</v>
      </c>
      <c r="C8" s="33"/>
      <c r="D8" s="37">
        <f>IF(ISERROR(TER_handel_gas_kWh/1000),0,TER_handel_gas_kWh/1000)*0.902</f>
        <v>812.94824600000004</v>
      </c>
      <c r="E8" s="33">
        <f>$C$28*'E Balans VL '!I13/100/3.6*1000000</f>
        <v>25.69242525247331</v>
      </c>
      <c r="F8" s="33">
        <f>$C$28*('E Balans VL '!L13+'E Balans VL '!N13)/100/3.6*1000000</f>
        <v>309.66842485130985</v>
      </c>
      <c r="G8" s="34"/>
      <c r="H8" s="33"/>
      <c r="I8" s="33"/>
      <c r="J8" s="33">
        <f>$C$28*('E Balans VL '!D13+'E Balans VL '!E13)/100/3.6*1000000</f>
        <v>0</v>
      </c>
      <c r="K8" s="33"/>
      <c r="L8" s="33"/>
      <c r="M8" s="33"/>
      <c r="N8" s="33">
        <f>$C$28*'E Balans VL '!Y13/100/3.6*1000000</f>
        <v>19.404302306680687</v>
      </c>
      <c r="O8" s="33"/>
      <c r="P8" s="33"/>
      <c r="R8" s="32"/>
    </row>
    <row r="9" spans="1:18">
      <c r="A9" s="32" t="s">
        <v>51</v>
      </c>
      <c r="B9" s="37">
        <f t="shared" si="0"/>
        <v>256.834</v>
      </c>
      <c r="C9" s="33"/>
      <c r="D9" s="37">
        <f>IF(ISERROR(TER_gezond_gas_kWh/1000),0,TER_gezond_gas_kWh/1000)*0.902</f>
        <v>604.08383200000003</v>
      </c>
      <c r="E9" s="33">
        <f>$C$29*'E Balans VL '!I10/100/3.6*1000000</f>
        <v>0.20445647557808266</v>
      </c>
      <c r="F9" s="33">
        <f>$C$29*('E Balans VL '!L10+'E Balans VL '!N10)/100/3.6*1000000</f>
        <v>31.221884285604016</v>
      </c>
      <c r="G9" s="34"/>
      <c r="H9" s="33"/>
      <c r="I9" s="33"/>
      <c r="J9" s="33">
        <f>$C$29*('E Balans VL '!D10+'E Balans VL '!E10)/100/3.6*1000000</f>
        <v>0</v>
      </c>
      <c r="K9" s="33"/>
      <c r="L9" s="33"/>
      <c r="M9" s="33"/>
      <c r="N9" s="33">
        <f>$C$29*'E Balans VL '!Y10/100/3.6*1000000</f>
        <v>2.0746370083024228</v>
      </c>
      <c r="O9" s="33"/>
      <c r="P9" s="33"/>
      <c r="R9" s="32"/>
    </row>
    <row r="10" spans="1:18">
      <c r="A10" s="32" t="s">
        <v>50</v>
      </c>
      <c r="B10" s="37">
        <f t="shared" si="0"/>
        <v>963.69799999999998</v>
      </c>
      <c r="C10" s="33"/>
      <c r="D10" s="37">
        <f>IF(ISERROR(TER_ander_gas_kWh/1000),0,TER_ander_gas_kWh/1000)*0.902</f>
        <v>727.14008400000012</v>
      </c>
      <c r="E10" s="33">
        <f>$C$30*'E Balans VL '!I14/100/3.6*1000000</f>
        <v>3.3026436722033519</v>
      </c>
      <c r="F10" s="33">
        <f>$C$30*('E Balans VL '!L14+'E Balans VL '!N14)/100/3.6*1000000</f>
        <v>215.25097312619968</v>
      </c>
      <c r="G10" s="34"/>
      <c r="H10" s="33"/>
      <c r="I10" s="33"/>
      <c r="J10" s="33">
        <f>$C$30*('E Balans VL '!D14+'E Balans VL '!E14)/100/3.6*1000000</f>
        <v>0</v>
      </c>
      <c r="K10" s="33"/>
      <c r="L10" s="33"/>
      <c r="M10" s="33"/>
      <c r="N10" s="33">
        <f>$C$30*'E Balans VL '!Y14/100/3.6*1000000</f>
        <v>678.83413577926581</v>
      </c>
      <c r="O10" s="33"/>
      <c r="P10" s="33"/>
      <c r="R10" s="32"/>
    </row>
    <row r="11" spans="1:18">
      <c r="A11" s="32" t="s">
        <v>55</v>
      </c>
      <c r="B11" s="37">
        <f t="shared" si="0"/>
        <v>71.472999999999999</v>
      </c>
      <c r="C11" s="33"/>
      <c r="D11" s="37">
        <f>IF(ISERROR(TER_onderwijs_gas_kWh/1000),0,TER_onderwijs_gas_kWh/1000)*0.902</f>
        <v>0</v>
      </c>
      <c r="E11" s="33">
        <f>$C$31*'E Balans VL '!I11/100/3.6*1000000</f>
        <v>4.9407083704836798E-2</v>
      </c>
      <c r="F11" s="33">
        <f>$C$31*('E Balans VL '!L11+'E Balans VL '!N11)/100/3.6*1000000</f>
        <v>18.709555250220149</v>
      </c>
      <c r="G11" s="34"/>
      <c r="H11" s="33"/>
      <c r="I11" s="33"/>
      <c r="J11" s="33">
        <f>$C$31*('E Balans VL '!D11+'E Balans VL '!E11)/100/3.6*1000000</f>
        <v>0</v>
      </c>
      <c r="K11" s="33"/>
      <c r="L11" s="33"/>
      <c r="M11" s="33"/>
      <c r="N11" s="33">
        <f>$C$31*'E Balans VL '!Y11/100/3.6*1000000</f>
        <v>7.1145283904742729E-2</v>
      </c>
      <c r="O11" s="33"/>
      <c r="P11" s="33"/>
      <c r="R11" s="32"/>
    </row>
    <row r="12" spans="1:18">
      <c r="A12" s="32" t="s">
        <v>260</v>
      </c>
      <c r="B12" s="37">
        <f t="shared" si="0"/>
        <v>0</v>
      </c>
      <c r="C12" s="33"/>
      <c r="D12" s="37">
        <f>IF(ISERROR(TER_rest_gas_kWh/1000),0,TER_rest_gas_kWh/1000)*0.902</f>
        <v>162.68742600000002</v>
      </c>
      <c r="E12" s="33">
        <f>$C$32*'E Balans VL '!I8/100/3.6*1000000</f>
        <v>0</v>
      </c>
      <c r="F12" s="33">
        <f>$C$32*('E Balans VL '!L8+'E Balans VL '!N8)/100/3.6*1000000</f>
        <v>0</v>
      </c>
      <c r="G12" s="34"/>
      <c r="H12" s="33"/>
      <c r="I12" s="33"/>
      <c r="J12" s="33">
        <f>$C$32*('E Balans VL '!D8+'E Balans VL '!E8)/100/3.6*1000000</f>
        <v>0</v>
      </c>
      <c r="K12" s="33"/>
      <c r="L12" s="33"/>
      <c r="M12" s="33"/>
      <c r="N12" s="33">
        <f>$C$32*'E Balans VL '!Y8/100/3.6*1000000</f>
        <v>0</v>
      </c>
      <c r="O12" s="33"/>
      <c r="P12" s="33"/>
      <c r="R12" s="32"/>
    </row>
    <row r="13" spans="1:18">
      <c r="A13" s="16" t="s">
        <v>494</v>
      </c>
      <c r="B13" s="247">
        <f ca="1">'lokale energieproductie'!N91+'lokale energieproductie'!N60</f>
        <v>0</v>
      </c>
      <c r="C13" s="247">
        <f ca="1">'lokale energieproductie'!O91+'lokale energieproductie'!O60</f>
        <v>0</v>
      </c>
      <c r="D13" s="310">
        <f ca="1">('lokale energieproductie'!P60+'lokale energieproductie'!P91)*(-1)</f>
        <v>0</v>
      </c>
      <c r="E13" s="248"/>
      <c r="F13" s="310">
        <f ca="1">('lokale energieproductie'!S60+'lokale energieproductie'!S91)*(-1)</f>
        <v>0</v>
      </c>
      <c r="G13" s="249"/>
      <c r="H13" s="248"/>
      <c r="I13" s="248"/>
      <c r="J13" s="248"/>
      <c r="K13" s="248"/>
      <c r="L13" s="310">
        <f ca="1">('lokale energieproductie'!U60+'lokale energieproductie'!T60+'lokale energieproductie'!U91+'lokale energieproductie'!T91)*(-1)</f>
        <v>0</v>
      </c>
      <c r="M13" s="248"/>
      <c r="N13" s="310">
        <f ca="1">('lokale energieproductie'!Q60+'lokale energieproductie'!R60+'lokale energieproductie'!V60+'lokale energieproductie'!Q91+'lokale energieproductie'!R91+'lokale energieproductie'!V91)*(-1)</f>
        <v>0</v>
      </c>
      <c r="O13" s="248"/>
      <c r="P13" s="248"/>
      <c r="R13" s="32"/>
    </row>
    <row r="14" spans="1:18">
      <c r="A14" s="16" t="s">
        <v>508</v>
      </c>
      <c r="B14" s="247">
        <f>('Eigen gebouwen'!B15)*(-1)</f>
        <v>0</v>
      </c>
      <c r="C14" s="247">
        <f>('Eigen gebouwen'!C15)*(-1)</f>
        <v>0</v>
      </c>
      <c r="D14" s="247">
        <f>('Eigen gebouwen'!D15)*(-1)</f>
        <v>0</v>
      </c>
      <c r="E14" s="247">
        <f>('Eigen gebouwen'!E15)*(-1)</f>
        <v>0</v>
      </c>
      <c r="F14" s="247">
        <f>('Eigen gebouwen'!F15)*(-1)</f>
        <v>0</v>
      </c>
      <c r="G14" s="247">
        <f>('Eigen gebouwen'!G15)*(-1)</f>
        <v>0</v>
      </c>
      <c r="H14" s="247">
        <f>('Eigen gebouwen'!H15)*(-1)</f>
        <v>0</v>
      </c>
      <c r="I14" s="247">
        <f>('Eigen gebouwen'!I15)*(-1)</f>
        <v>0</v>
      </c>
      <c r="J14" s="247">
        <f>('Eigen gebouwen'!J15)*(-1)</f>
        <v>0</v>
      </c>
      <c r="K14" s="247">
        <f>('Eigen gebouwen'!K15)*(-1)</f>
        <v>0</v>
      </c>
      <c r="L14" s="247">
        <f>('Eigen gebouwen'!L15)*(-1)</f>
        <v>0</v>
      </c>
      <c r="M14" s="247">
        <f>('Eigen gebouwen'!M15)*(-1)</f>
        <v>0</v>
      </c>
      <c r="N14" s="247">
        <f>('Eigen gebouwen'!N15)*(-1)</f>
        <v>0</v>
      </c>
      <c r="O14" s="247"/>
      <c r="P14" s="247"/>
      <c r="R14" s="32"/>
    </row>
    <row r="15" spans="1:18">
      <c r="A15" s="32"/>
      <c r="B15" s="29"/>
      <c r="C15" s="29"/>
      <c r="D15" s="250"/>
      <c r="E15" s="29"/>
      <c r="F15" s="29"/>
      <c r="G15" s="28"/>
      <c r="H15" s="29"/>
      <c r="I15" s="29"/>
      <c r="J15" s="29"/>
      <c r="K15" s="29"/>
      <c r="L15" s="29"/>
      <c r="M15" s="29"/>
      <c r="N15" s="29"/>
      <c r="O15" s="29"/>
      <c r="P15" s="29"/>
      <c r="R15" s="32"/>
    </row>
    <row r="16" spans="1:18">
      <c r="A16" s="20" t="s">
        <v>261</v>
      </c>
      <c r="B16" s="21">
        <f t="shared" ref="B16:N16" ca="1" si="1">MAX((B5+B13+B14),0)</f>
        <v>5601.6580000000004</v>
      </c>
      <c r="C16" s="21">
        <f t="shared" ca="1" si="1"/>
        <v>0</v>
      </c>
      <c r="D16" s="21">
        <f t="shared" ca="1" si="1"/>
        <v>3675.7807899999998</v>
      </c>
      <c r="E16" s="21">
        <f t="shared" si="1"/>
        <v>54.273150297451856</v>
      </c>
      <c r="F16" s="21">
        <f t="shared" ca="1" si="1"/>
        <v>842.54354842826638</v>
      </c>
      <c r="G16" s="21">
        <f t="shared" si="1"/>
        <v>0</v>
      </c>
      <c r="H16" s="21">
        <f t="shared" si="1"/>
        <v>0</v>
      </c>
      <c r="I16" s="21">
        <f t="shared" si="1"/>
        <v>0</v>
      </c>
      <c r="J16" s="21">
        <f t="shared" si="1"/>
        <v>0</v>
      </c>
      <c r="K16" s="21">
        <f t="shared" si="1"/>
        <v>0</v>
      </c>
      <c r="L16" s="21">
        <f t="shared" ca="1" si="1"/>
        <v>0</v>
      </c>
      <c r="M16" s="21">
        <f t="shared" si="1"/>
        <v>0</v>
      </c>
      <c r="N16" s="21">
        <f t="shared" ca="1" si="1"/>
        <v>714.72022352989711</v>
      </c>
      <c r="O16" s="21">
        <f>O5</f>
        <v>0</v>
      </c>
      <c r="P16" s="21">
        <f>P5</f>
        <v>19.066666666666666</v>
      </c>
      <c r="R16" s="32"/>
    </row>
    <row r="17" spans="1:18">
      <c r="A17"/>
      <c r="B17" s="19"/>
      <c r="C17" s="19"/>
      <c r="D17" s="19"/>
      <c r="E17" s="19"/>
      <c r="F17" s="19"/>
      <c r="G17" s="19"/>
      <c r="H17" s="19"/>
      <c r="I17" s="19"/>
      <c r="J17" s="19"/>
      <c r="K17" s="19"/>
      <c r="L17" s="19"/>
      <c r="M17" s="19"/>
      <c r="N17" s="19"/>
      <c r="O17" s="19"/>
      <c r="P17" s="19"/>
      <c r="R17" s="32"/>
    </row>
    <row r="18" spans="1:18">
      <c r="A18" s="24" t="s">
        <v>214</v>
      </c>
      <c r="B18" s="25">
        <f ca="1">'EF ele_warmte'!B12</f>
        <v>0.20504171472650515</v>
      </c>
      <c r="C18" s="25">
        <f ca="1">'EF ele_warmte'!B22</f>
        <v>0</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213</v>
      </c>
      <c r="B20" s="23">
        <f ca="1">B16*B18</f>
        <v>1148.5735616314455</v>
      </c>
      <c r="C20" s="23">
        <f t="shared" ref="C20:P20" ca="1" si="2">C16*C18</f>
        <v>0</v>
      </c>
      <c r="D20" s="23">
        <f t="shared" ca="1" si="2"/>
        <v>742.50771957999996</v>
      </c>
      <c r="E20" s="23">
        <f t="shared" si="2"/>
        <v>12.320005117521571</v>
      </c>
      <c r="F20" s="23">
        <f t="shared" ca="1" si="2"/>
        <v>224.95912743034714</v>
      </c>
      <c r="G20" s="23">
        <f t="shared" si="2"/>
        <v>0</v>
      </c>
      <c r="H20" s="23">
        <f t="shared" si="2"/>
        <v>0</v>
      </c>
      <c r="I20" s="23">
        <f t="shared" si="2"/>
        <v>0</v>
      </c>
      <c r="J20" s="23">
        <f t="shared" si="2"/>
        <v>0</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3" t="s">
        <v>493</v>
      </c>
      <c r="B23" s="203"/>
      <c r="C23" s="203"/>
      <c r="D23" s="225"/>
    </row>
    <row r="24" spans="1:18">
      <c r="A24" s="236"/>
      <c r="B24" s="32"/>
      <c r="C24" s="32"/>
      <c r="D24" s="237"/>
    </row>
    <row r="25" spans="1:18">
      <c r="A25" s="238"/>
      <c r="B25" s="224" t="s">
        <v>267</v>
      </c>
      <c r="C25" s="224" t="s">
        <v>268</v>
      </c>
      <c r="D25" s="239" t="s">
        <v>182</v>
      </c>
    </row>
    <row r="26" spans="1:18">
      <c r="A26" s="231" t="s">
        <v>54</v>
      </c>
      <c r="B26" s="33">
        <f>IF(ISERROR(TER_kantoor_ele_kWh/1000),0,TER_kantoor_ele_kWh/1000)</f>
        <v>1419.4480000000001</v>
      </c>
      <c r="C26" s="39">
        <f>IF(ISERROR(B26*3.6/1000000/'E Balans VL '!Z12*100),0,B26*3.6/1000000/'E Balans VL '!Z12*100)</f>
        <v>3.117981636621785E-2</v>
      </c>
      <c r="D26" s="237" t="s">
        <v>692</v>
      </c>
      <c r="F26" s="6"/>
    </row>
    <row r="27" spans="1:18">
      <c r="A27" s="231" t="s">
        <v>53</v>
      </c>
      <c r="B27" s="33">
        <f>IF(ISERROR(TER_horeca_ele_kWh/1000),0,TER_horeca_ele_kWh/1000)</f>
        <v>498.17200000000003</v>
      </c>
      <c r="C27" s="39">
        <f>IF(ISERROR(B27*3.6/1000000/'E Balans VL '!Z9*100),0,B27*3.6/1000000/'E Balans VL '!Z9*100)</f>
        <v>4.0033086037147898E-2</v>
      </c>
      <c r="D27" s="237" t="s">
        <v>692</v>
      </c>
      <c r="F27" s="6"/>
    </row>
    <row r="28" spans="1:18">
      <c r="A28" s="171" t="s">
        <v>52</v>
      </c>
      <c r="B28" s="33">
        <f>IF(ISERROR(TER_handel_ele_kWh/1000),0,TER_handel_ele_kWh/1000)</f>
        <v>2392.0329999999999</v>
      </c>
      <c r="C28" s="39">
        <f>IF(ISERROR(B28*3.6/1000000/'E Balans VL '!Z13*100),0,B28*3.6/1000000/'E Balans VL '!Z13*100)</f>
        <v>7.0730744700658613E-2</v>
      </c>
      <c r="D28" s="237" t="s">
        <v>692</v>
      </c>
      <c r="F28" s="6"/>
    </row>
    <row r="29" spans="1:18">
      <c r="A29" s="231" t="s">
        <v>51</v>
      </c>
      <c r="B29" s="33">
        <f>IF(ISERROR(TER_gezond_ele_kWh/1000),0,TER_gezond_ele_kWh/1000)</f>
        <v>256.834</v>
      </c>
      <c r="C29" s="39">
        <f>IF(ISERROR(B29*3.6/1000000/'E Balans VL '!Z10*100),0,B29*3.6/1000000/'E Balans VL '!Z10*100)</f>
        <v>2.8938560930632611E-2</v>
      </c>
      <c r="D29" s="237" t="s">
        <v>692</v>
      </c>
      <c r="F29" s="6"/>
    </row>
    <row r="30" spans="1:18">
      <c r="A30" s="231" t="s">
        <v>50</v>
      </c>
      <c r="B30" s="33">
        <f>IF(ISERROR(TER_ander_ele_kWh/1000),0,TER_ander_ele_kWh/1000)</f>
        <v>963.69799999999998</v>
      </c>
      <c r="C30" s="39">
        <f>IF(ISERROR(B30*3.6/1000000/'E Balans VL '!Z14*100),0,B30*3.6/1000000/'E Balans VL '!Z14*100)</f>
        <v>7.2882832372680686E-2</v>
      </c>
      <c r="D30" s="237" t="s">
        <v>692</v>
      </c>
      <c r="F30" s="6"/>
    </row>
    <row r="31" spans="1:18">
      <c r="A31" s="231" t="s">
        <v>55</v>
      </c>
      <c r="B31" s="33">
        <f>IF(ISERROR(TER_onderwijs_ele_kWh/1000),0,TER_onderwijs_ele_kWh/1000)</f>
        <v>71.472999999999999</v>
      </c>
      <c r="C31" s="39">
        <f>IF(ISERROR(B31*3.6/1000000/'E Balans VL '!Z11*100),0,B31*3.6/1000000/'E Balans VL '!Z11*100)</f>
        <v>1.4836135625534064E-2</v>
      </c>
      <c r="D31" s="237" t="s">
        <v>692</v>
      </c>
    </row>
    <row r="32" spans="1:18">
      <c r="A32" s="231" t="s">
        <v>260</v>
      </c>
      <c r="B32" s="33">
        <f>IF(ISERROR(TER_rest_ele_kWh/1000),0,TER_rest_ele_kWh/1000)</f>
        <v>0</v>
      </c>
      <c r="C32" s="39">
        <f>IF(ISERROR(B32*3.6/1000000/'E Balans VL '!Z8*100),0,B32*3.6/1000000/'E Balans VL '!Z8*100)</f>
        <v>0</v>
      </c>
      <c r="D32" s="237" t="s">
        <v>692</v>
      </c>
    </row>
    <row r="33" spans="1:4">
      <c r="A33" s="240"/>
      <c r="B33" s="180"/>
      <c r="C33" s="180"/>
      <c r="D33" s="241"/>
    </row>
    <row r="34" spans="1:4">
      <c r="A34" s="32"/>
      <c r="B34" s="32"/>
      <c r="C34" s="32"/>
    </row>
    <row r="35" spans="1:4">
      <c r="A35" s="193" t="s">
        <v>486</v>
      </c>
      <c r="B35" s="203"/>
      <c r="C35" s="203"/>
      <c r="D35" s="225"/>
    </row>
    <row r="36" spans="1:4">
      <c r="A36" s="236"/>
      <c r="B36" s="32"/>
      <c r="C36" s="32"/>
      <c r="D36" s="232"/>
    </row>
    <row r="37" spans="1:4">
      <c r="A37" s="242"/>
      <c r="B37" s="243"/>
      <c r="C37" s="224" t="s">
        <v>377</v>
      </c>
      <c r="D37" s="244" t="s">
        <v>182</v>
      </c>
    </row>
    <row r="38" spans="1:4">
      <c r="A38" s="171" t="s">
        <v>266</v>
      </c>
      <c r="B38" s="319">
        <f>aantalZB_NB_ander+aantalZB_NB_ander_met_kantoor+aantalZB_NB_kantoor+aantalZB_NB_school+ZB_NHH_bestaande_bouw</f>
        <v>0</v>
      </c>
      <c r="C38" s="43"/>
      <c r="D38" s="232"/>
    </row>
    <row r="39" spans="1:4">
      <c r="A39" s="171" t="s">
        <v>483</v>
      </c>
      <c r="B39" s="315">
        <v>4.2</v>
      </c>
      <c r="C39" s="43"/>
      <c r="D39" s="309" t="s">
        <v>517</v>
      </c>
    </row>
    <row r="40" spans="1:4">
      <c r="A40" s="6" t="s">
        <v>484</v>
      </c>
      <c r="B40" s="320">
        <f>1.34/3.6</f>
        <v>0.37222222222222223</v>
      </c>
      <c r="C40" s="43" t="s">
        <v>218</v>
      </c>
      <c r="D40" s="309" t="s">
        <v>517</v>
      </c>
    </row>
    <row r="41" spans="1:4">
      <c r="A41" s="240"/>
      <c r="B41" s="180"/>
      <c r="C41" s="180"/>
      <c r="D41" s="241"/>
    </row>
    <row r="43" spans="1:4">
      <c r="A43" s="194" t="s">
        <v>487</v>
      </c>
      <c r="B43" s="203"/>
      <c r="C43" s="203"/>
      <c r="D43" s="225"/>
    </row>
    <row r="44" spans="1:4">
      <c r="A44" s="230"/>
      <c r="B44" s="32"/>
      <c r="C44" s="32"/>
      <c r="D44" s="232"/>
    </row>
    <row r="45" spans="1:4">
      <c r="A45" s="242"/>
      <c r="B45" s="243"/>
      <c r="C45" s="224" t="s">
        <v>377</v>
      </c>
      <c r="D45" s="244" t="s">
        <v>182</v>
      </c>
    </row>
    <row r="46" spans="1:4">
      <c r="A46" s="171" t="s">
        <v>266</v>
      </c>
      <c r="B46" s="558">
        <f>aantalWP_NB_ander+antalWP_NB_ander_met_kantoor+aantalWP_NB_kantoor+aantalWP_NB_school+WP_NHH_bestaande_bouw</f>
        <v>1</v>
      </c>
      <c r="C46" s="32"/>
      <c r="D46" s="232"/>
    </row>
    <row r="47" spans="1:4">
      <c r="A47" s="171" t="s">
        <v>453</v>
      </c>
      <c r="B47" s="559">
        <v>13</v>
      </c>
      <c r="C47" s="32" t="s">
        <v>263</v>
      </c>
      <c r="D47" s="309" t="s">
        <v>517</v>
      </c>
    </row>
    <row r="48" spans="1:4">
      <c r="A48" s="171" t="s">
        <v>454</v>
      </c>
      <c r="B48" s="559">
        <v>2000</v>
      </c>
      <c r="C48" s="32" t="s">
        <v>265</v>
      </c>
      <c r="D48" s="309" t="s">
        <v>517</v>
      </c>
    </row>
    <row r="49" spans="1:4">
      <c r="A49" s="171" t="s">
        <v>415</v>
      </c>
      <c r="B49" s="559">
        <v>3.75</v>
      </c>
      <c r="C49" s="32"/>
      <c r="D49" s="309" t="s">
        <v>517</v>
      </c>
    </row>
    <row r="50" spans="1:4">
      <c r="A50" s="175"/>
      <c r="B50" s="180"/>
      <c r="C50" s="180"/>
      <c r="D50" s="241"/>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sheetPr codeName="Sheet7">
    <tabColor theme="5" tint="-0.249977111117893"/>
  </sheetPr>
  <dimension ref="A1:R55"/>
  <sheetViews>
    <sheetView showGridLines="0" topLeftCell="D1" zoomScale="80" zoomScaleNormal="80" workbookViewId="0">
      <selection activeCell="P16" sqref="P16"/>
    </sheetView>
  </sheetViews>
  <sheetFormatPr defaultColWidth="9.140625" defaultRowHeight="15"/>
  <cols>
    <col min="1" max="1" width="67.5703125" style="15" customWidth="1"/>
    <col min="2" max="2" width="22.5703125" style="15" customWidth="1"/>
    <col min="3" max="3" width="39.5703125" style="15" customWidth="1"/>
    <col min="4" max="4" width="65.710937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222" t="s">
        <v>163</v>
      </c>
      <c r="B1" s="1223" t="s">
        <v>195</v>
      </c>
      <c r="C1" s="1224"/>
      <c r="D1" s="1224"/>
      <c r="E1" s="1224"/>
      <c r="F1" s="1224"/>
      <c r="G1" s="1224"/>
      <c r="H1" s="1224"/>
      <c r="I1" s="1224"/>
      <c r="J1" s="1224"/>
      <c r="K1" s="1224"/>
      <c r="L1" s="1224"/>
      <c r="M1" s="1224"/>
      <c r="N1" s="1224"/>
      <c r="O1" s="1224"/>
      <c r="P1" s="1224"/>
      <c r="R1" s="774"/>
    </row>
    <row r="2" spans="1:18" s="316" customFormat="1" ht="15.75" thickTop="1">
      <c r="A2" s="1222"/>
      <c r="B2" s="1225" t="s">
        <v>21</v>
      </c>
      <c r="C2" s="1225" t="s">
        <v>196</v>
      </c>
      <c r="D2" s="1227" t="s">
        <v>197</v>
      </c>
      <c r="E2" s="1228"/>
      <c r="F2" s="1228"/>
      <c r="G2" s="1228"/>
      <c r="H2" s="1228"/>
      <c r="I2" s="1228"/>
      <c r="J2" s="1228"/>
      <c r="K2" s="1229"/>
      <c r="L2" s="1227" t="s">
        <v>198</v>
      </c>
      <c r="M2" s="1228"/>
      <c r="N2" s="1228"/>
      <c r="O2" s="1228"/>
      <c r="P2" s="1229"/>
      <c r="R2" s="774"/>
    </row>
    <row r="3" spans="1:18" s="316" customFormat="1" ht="45">
      <c r="A3" s="1222"/>
      <c r="B3" s="1226"/>
      <c r="C3" s="1226"/>
      <c r="D3" s="382" t="s">
        <v>199</v>
      </c>
      <c r="E3" s="382" t="s">
        <v>200</v>
      </c>
      <c r="F3" s="382" t="s">
        <v>201</v>
      </c>
      <c r="G3" s="382" t="s">
        <v>202</v>
      </c>
      <c r="H3" s="382" t="s">
        <v>120</v>
      </c>
      <c r="I3" s="382" t="s">
        <v>203</v>
      </c>
      <c r="J3" s="382" t="s">
        <v>204</v>
      </c>
      <c r="K3" s="382" t="s">
        <v>205</v>
      </c>
      <c r="L3" s="382" t="s">
        <v>206</v>
      </c>
      <c r="M3" s="382" t="s">
        <v>207</v>
      </c>
      <c r="N3" s="382" t="s">
        <v>208</v>
      </c>
      <c r="O3" s="382" t="s">
        <v>209</v>
      </c>
      <c r="P3" s="382" t="s">
        <v>210</v>
      </c>
      <c r="R3" s="774"/>
    </row>
    <row r="4" spans="1:18" ht="15.75">
      <c r="A4" s="13"/>
      <c r="B4" s="14"/>
      <c r="C4" s="14"/>
      <c r="D4" s="14"/>
      <c r="E4" s="14"/>
      <c r="F4" s="14"/>
      <c r="G4" s="14"/>
      <c r="H4" s="14"/>
      <c r="I4" s="14"/>
      <c r="J4" s="14"/>
      <c r="K4" s="14"/>
      <c r="L4" s="14"/>
      <c r="M4" s="14"/>
      <c r="N4" s="14"/>
      <c r="O4" s="14"/>
      <c r="P4" s="14"/>
      <c r="R4" s="6"/>
    </row>
    <row r="5" spans="1:18">
      <c r="A5" s="16" t="s">
        <v>269</v>
      </c>
      <c r="B5" s="30">
        <f>SUM(B6:B15)</f>
        <v>40814.803</v>
      </c>
      <c r="C5" s="17">
        <f>IF(ISERROR('Eigen informatie GS &amp; warmtenet'!B59),0,'Eigen informatie GS &amp; warmtenet'!B59)</f>
        <v>0</v>
      </c>
      <c r="D5" s="30">
        <f>SUM(D6:D15)</f>
        <v>5851.4408700000004</v>
      </c>
      <c r="E5" s="17">
        <f>SUM(E6:E15)</f>
        <v>10726.626071165165</v>
      </c>
      <c r="F5" s="17">
        <f>SUM(F6:F15)</f>
        <v>31470.673580207396</v>
      </c>
      <c r="G5" s="18"/>
      <c r="H5" s="17"/>
      <c r="I5" s="17"/>
      <c r="J5" s="17">
        <f>SUM(J6:J15)</f>
        <v>8.514333319086024</v>
      </c>
      <c r="K5" s="17"/>
      <c r="L5" s="17"/>
      <c r="M5" s="17"/>
      <c r="N5" s="17">
        <f>SUM(N6:N15)</f>
        <v>13361.258167131999</v>
      </c>
      <c r="O5" s="17">
        <f>B43*B44*B45</f>
        <v>0</v>
      </c>
      <c r="P5" s="17">
        <f>B51*B52*B53/1000-B51*B52*B53/1000/B54</f>
        <v>0</v>
      </c>
      <c r="R5" s="32"/>
    </row>
    <row r="6" spans="1:18">
      <c r="A6" s="6" t="s">
        <v>35</v>
      </c>
      <c r="B6" s="37">
        <f>IF( ISERROR(IND_ijzer_ele_kWh/1000),0,IND_ijzer_ele_kWh/1000)</f>
        <v>0</v>
      </c>
      <c r="C6" s="33"/>
      <c r="D6" s="37">
        <f>IF( ISERROR(IND_ijzer_gas_kWh/1000),0,IND_ijzer_gas_kWh/1000)*0.902</f>
        <v>0</v>
      </c>
      <c r="E6" s="33"/>
      <c r="F6" s="33"/>
      <c r="G6" s="34"/>
      <c r="H6" s="33"/>
      <c r="I6" s="33"/>
      <c r="J6" s="40"/>
      <c r="K6" s="33"/>
      <c r="L6" s="33"/>
      <c r="M6" s="33"/>
      <c r="N6" s="33"/>
      <c r="O6" s="33"/>
      <c r="P6" s="33"/>
      <c r="R6" s="32"/>
    </row>
    <row r="7" spans="1:18">
      <c r="A7" s="6" t="s">
        <v>38</v>
      </c>
      <c r="B7" s="37">
        <f t="shared" ref="B7:B15" si="0">B29</f>
        <v>0</v>
      </c>
      <c r="C7" s="33"/>
      <c r="D7" s="37">
        <f>IF( ISERROR(IND_nonf_gas_kWhh/1000),0,IND_nonf_gas_kWh/1000)*0.902</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36</v>
      </c>
      <c r="B8" s="37">
        <f t="shared" si="0"/>
        <v>177.22200000000001</v>
      </c>
      <c r="C8" s="33"/>
      <c r="D8" s="37">
        <f>IF( ISERROR(IND_metaal_Gas_kWH/1000),0,IND_metaal_Gas_kWH/1000)*0.902</f>
        <v>0</v>
      </c>
      <c r="E8" s="33">
        <f>C30*'E Balans VL '!I18/100/3.6*1000000</f>
        <v>4.4352463962882842</v>
      </c>
      <c r="F8" s="33">
        <f>C30*'E Balans VL '!L18/100/3.6*1000000+C30*'E Balans VL '!N18/100/3.6*1000000</f>
        <v>55.542256347564198</v>
      </c>
      <c r="G8" s="34"/>
      <c r="H8" s="33"/>
      <c r="I8" s="33"/>
      <c r="J8" s="40">
        <f>C30*'E Balans VL '!D18/100/3.6*1000000+C30*'E Balans VL '!E18/100/3.6*1000000</f>
        <v>0</v>
      </c>
      <c r="K8" s="33"/>
      <c r="L8" s="33"/>
      <c r="M8" s="33"/>
      <c r="N8" s="33">
        <f>C30*'E Balans VL '!Y18/100/3.6*1000000</f>
        <v>4.4522765711963093</v>
      </c>
      <c r="O8" s="33"/>
      <c r="P8" s="33"/>
      <c r="R8" s="32"/>
    </row>
    <row r="9" spans="1:18">
      <c r="A9" s="6" t="s">
        <v>33</v>
      </c>
      <c r="B9" s="37">
        <f t="shared" si="0"/>
        <v>38972.548999999999</v>
      </c>
      <c r="C9" s="33"/>
      <c r="D9" s="37">
        <f>IF( ISERROR(IND_andere_gas_kWh/1000),0,IND_andere_gas_kWh/1000)*0.902</f>
        <v>5450.9203980000002</v>
      </c>
      <c r="E9" s="33">
        <f>C31*'E Balans VL '!I19/100/3.6*1000000</f>
        <v>10715.852513736118</v>
      </c>
      <c r="F9" s="33">
        <f>C31*'E Balans VL '!L19/100/3.6*1000000+C31*'E Balans VL '!N19/100/3.6*1000000</f>
        <v>30717.150322438978</v>
      </c>
      <c r="G9" s="34"/>
      <c r="H9" s="33"/>
      <c r="I9" s="33"/>
      <c r="J9" s="40">
        <f>C31*'E Balans VL '!D19/100/3.6*1000000+C31*'E Balans VL '!E19/100/3.6*1000000</f>
        <v>0</v>
      </c>
      <c r="K9" s="33"/>
      <c r="L9" s="33"/>
      <c r="M9" s="33"/>
      <c r="N9" s="33">
        <f>C31*'E Balans VL '!Y19/100/3.6*1000000</f>
        <v>12616.442814451293</v>
      </c>
      <c r="O9" s="33"/>
      <c r="P9" s="33"/>
      <c r="R9" s="32"/>
    </row>
    <row r="10" spans="1:18">
      <c r="A10" s="6" t="s">
        <v>41</v>
      </c>
      <c r="B10" s="37">
        <f t="shared" si="0"/>
        <v>355.75299999999999</v>
      </c>
      <c r="C10" s="33"/>
      <c r="D10" s="37">
        <f>IF( ISERROR(IND_voed_gas_kWh/1000),0,IND_voed_gas_kWh/1000)*0.902</f>
        <v>180.63001</v>
      </c>
      <c r="E10" s="33">
        <f>C32*'E Balans VL '!I20/100/3.6*1000000</f>
        <v>3.6267058495540021</v>
      </c>
      <c r="F10" s="33">
        <f>C32*'E Balans VL '!L20/100/3.6*1000000+C32*'E Balans VL '!N20/100/3.6*1000000</f>
        <v>672.01519197976836</v>
      </c>
      <c r="G10" s="34"/>
      <c r="H10" s="33"/>
      <c r="I10" s="33"/>
      <c r="J10" s="40">
        <f>C32*'E Balans VL '!D20/100/3.6*1000000+C32*'E Balans VL '!E20/100/3.6*1000000</f>
        <v>8.514333319086024</v>
      </c>
      <c r="K10" s="33"/>
      <c r="L10" s="33"/>
      <c r="M10" s="33"/>
      <c r="N10" s="33">
        <f>C32*'E Balans VL '!Y20/100/3.6*1000000</f>
        <v>187.52280872076574</v>
      </c>
      <c r="O10" s="33"/>
      <c r="P10" s="33"/>
      <c r="R10" s="32"/>
    </row>
    <row r="11" spans="1:18">
      <c r="A11" s="6" t="s">
        <v>40</v>
      </c>
      <c r="B11" s="37">
        <f t="shared" si="0"/>
        <v>0</v>
      </c>
      <c r="C11" s="33"/>
      <c r="D11" s="37">
        <f>IF( ISERROR(IND_textiel_gas_kWh/1000),0,IND_textiel_gas_kWh/1000)*0.902</f>
        <v>0</v>
      </c>
      <c r="E11" s="33">
        <f>C33*'E Balans VL '!I21/100/3.6*1000000</f>
        <v>0</v>
      </c>
      <c r="F11" s="33">
        <f>C33*'E Balans VL '!L21/100/3.6*1000000+C33*'E Balans VL '!N21/100/3.6*1000000</f>
        <v>0</v>
      </c>
      <c r="G11" s="34"/>
      <c r="H11" s="33"/>
      <c r="I11" s="33"/>
      <c r="J11" s="40">
        <f>C33*'E Balans VL '!D21/100/3.6*1000000+C33*'E Balans VL '!E21/100/3.6*1000000</f>
        <v>0</v>
      </c>
      <c r="K11" s="33"/>
      <c r="L11" s="33"/>
      <c r="M11" s="33"/>
      <c r="N11" s="33">
        <f>C33*'E Balans VL '!Y21/100/3.6*1000000</f>
        <v>0</v>
      </c>
      <c r="O11" s="33"/>
      <c r="P11" s="33"/>
      <c r="R11" s="32"/>
    </row>
    <row r="12" spans="1:18">
      <c r="A12" s="6" t="s">
        <v>37</v>
      </c>
      <c r="B12" s="37">
        <f t="shared" si="0"/>
        <v>0</v>
      </c>
      <c r="C12" s="33"/>
      <c r="D12" s="37">
        <f>IF( ISERROR(IND_min_gas_kWh/1000),0,IND_min_gas_kWh/1000)*0.902</f>
        <v>0</v>
      </c>
      <c r="E12" s="33">
        <f>C34*'E Balans VL '!I22/100/3.6*1000000</f>
        <v>0</v>
      </c>
      <c r="F12" s="33">
        <f>C34*'E Balans VL '!L22/100/3.6*1000000+C34*'E Balans VL '!N22/100/3.6*1000000</f>
        <v>0</v>
      </c>
      <c r="G12" s="34"/>
      <c r="H12" s="33"/>
      <c r="I12" s="33"/>
      <c r="J12" s="40">
        <f>C34*'E Balans VL '!D22/100/3.6*1000000+C34*'E Balans VL '!E22/100/3.6*1000000</f>
        <v>0</v>
      </c>
      <c r="K12" s="33"/>
      <c r="L12" s="33"/>
      <c r="M12" s="33"/>
      <c r="N12" s="33">
        <f>C34*'E Balans VL '!Y22/100/3.6*1000000</f>
        <v>0</v>
      </c>
      <c r="O12" s="33"/>
      <c r="P12" s="33"/>
      <c r="R12" s="32"/>
    </row>
    <row r="13" spans="1:18">
      <c r="A13" s="6" t="s">
        <v>39</v>
      </c>
      <c r="B13" s="37">
        <f t="shared" si="0"/>
        <v>1309.279</v>
      </c>
      <c r="C13" s="33"/>
      <c r="D13" s="37">
        <f>IF( ISERROR(IND_papier_gas_kWh/1000),0,IND_papier_gas_kWh/1000)*0.902</f>
        <v>0</v>
      </c>
      <c r="E13" s="33">
        <f>C35*'E Balans VL '!I23/100/3.6*1000000</f>
        <v>2.7116051832044863</v>
      </c>
      <c r="F13" s="33">
        <f>C35*'E Balans VL '!L23/100/3.6*1000000+C35*'E Balans VL '!N23/100/3.6*1000000</f>
        <v>25.965809441083692</v>
      </c>
      <c r="G13" s="34"/>
      <c r="H13" s="33"/>
      <c r="I13" s="33"/>
      <c r="J13" s="40">
        <f>C35*'E Balans VL '!D23/100/3.6*1000000+C35*'E Balans VL '!E23/100/3.6*1000000</f>
        <v>0</v>
      </c>
      <c r="K13" s="33"/>
      <c r="L13" s="33"/>
      <c r="M13" s="33"/>
      <c r="N13" s="33">
        <f>C35*'E Balans VL '!Y23/100/3.6*1000000</f>
        <v>552.84026738874275</v>
      </c>
      <c r="O13" s="33"/>
      <c r="P13" s="33"/>
      <c r="R13" s="32"/>
    </row>
    <row r="14" spans="1:18">
      <c r="A14" s="6" t="s">
        <v>34</v>
      </c>
      <c r="B14" s="37">
        <f t="shared" si="0"/>
        <v>0</v>
      </c>
      <c r="C14" s="33"/>
      <c r="D14" s="37">
        <f>IF( ISERROR(IND_chemie_gas_kWh/1000),0,IND_chemie_gas_kWh/1000)*0.902</f>
        <v>0</v>
      </c>
      <c r="E14" s="33">
        <f>C36*'E Balans VL '!I24/100/3.6*1000000</f>
        <v>0</v>
      </c>
      <c r="F14" s="33">
        <f>C36*'E Balans VL '!L24/100/3.6*1000000+C36*'E Balans VL '!N24/100/3.6*1000000</f>
        <v>0</v>
      </c>
      <c r="G14" s="34"/>
      <c r="H14" s="33"/>
      <c r="I14" s="33"/>
      <c r="J14" s="40">
        <f>C36*'E Balans VL '!D24/100/3.6*1000000+C36*'E Balans VL '!E24/100/3.6*1000000</f>
        <v>0</v>
      </c>
      <c r="K14" s="33"/>
      <c r="L14" s="33"/>
      <c r="M14" s="33"/>
      <c r="N14" s="33">
        <f>C36*'E Balans VL '!Y24/100/3.6*1000000</f>
        <v>0</v>
      </c>
      <c r="O14" s="33"/>
      <c r="P14" s="33"/>
      <c r="R14" s="32"/>
    </row>
    <row r="15" spans="1:18">
      <c r="A15" s="6" t="s">
        <v>270</v>
      </c>
      <c r="B15" s="37">
        <f t="shared" si="0"/>
        <v>0</v>
      </c>
      <c r="C15" s="33"/>
      <c r="D15" s="37">
        <f>IF( ISERROR(IND_rest_gas_kWh/1000),0,IND_rest_gas_kWh/1000)*0.902</f>
        <v>219.89046200000001</v>
      </c>
      <c r="E15" s="33">
        <f>C37*'E Balans VL '!I15/100/3.6*1000000</f>
        <v>0</v>
      </c>
      <c r="F15" s="33">
        <f>C37*'E Balans VL '!L15/100/3.6*1000000+C37*'E Balans VL '!N15/100/3.6*1000000</f>
        <v>0</v>
      </c>
      <c r="G15" s="34"/>
      <c r="H15" s="33"/>
      <c r="I15" s="33"/>
      <c r="J15" s="40">
        <f>C37*'E Balans VL '!D15/100/3.6*1000000+C37*'E Balans VL '!E15/100/3.6*1000000</f>
        <v>0</v>
      </c>
      <c r="K15" s="33"/>
      <c r="L15" s="33"/>
      <c r="M15" s="33"/>
      <c r="N15" s="33">
        <f>C37*'E Balans VL '!Y15/100/3.6*1000000</f>
        <v>0</v>
      </c>
      <c r="O15" s="33"/>
      <c r="P15" s="33"/>
      <c r="R15" s="32"/>
    </row>
    <row r="16" spans="1:18">
      <c r="A16" s="16" t="s">
        <v>494</v>
      </c>
      <c r="B16" s="247">
        <f>'lokale energieproductie'!N90+'lokale energieproductie'!N59</f>
        <v>0</v>
      </c>
      <c r="C16" s="247">
        <f>'lokale energieproductie'!O90+'lokale energieproductie'!O59</f>
        <v>0</v>
      </c>
      <c r="D16" s="310">
        <f>('lokale energieproductie'!P59+'lokale energieproductie'!P90)*(-1)</f>
        <v>0</v>
      </c>
      <c r="E16" s="248"/>
      <c r="F16" s="310">
        <f>('lokale energieproductie'!S59+'lokale energieproductie'!S90)*(-1)</f>
        <v>0</v>
      </c>
      <c r="G16" s="249"/>
      <c r="H16" s="248"/>
      <c r="I16" s="248"/>
      <c r="J16" s="248"/>
      <c r="K16" s="248"/>
      <c r="L16" s="310">
        <f>('lokale energieproductie'!T59+'lokale energieproductie'!U59+'lokale energieproductie'!T90+'lokale energieproductie'!U90)*(-1)</f>
        <v>0</v>
      </c>
      <c r="M16" s="248"/>
      <c r="N16" s="310">
        <f>('lokale energieproductie'!Q59+'lokale energieproductie'!R59+'lokale energieproductie'!V59+'lokale energieproductie'!Q90+'lokale energieproductie'!R90+'lokale energieproductie'!V90)*(-1)</f>
        <v>0</v>
      </c>
      <c r="O16" s="248"/>
      <c r="P16" s="248"/>
      <c r="R16" s="32"/>
    </row>
    <row r="17" spans="1:18">
      <c r="A17" s="6"/>
      <c r="B17" s="29"/>
      <c r="C17" s="29"/>
      <c r="D17" s="250"/>
      <c r="E17" s="29"/>
      <c r="F17" s="29"/>
      <c r="G17" s="28"/>
      <c r="H17" s="29"/>
      <c r="I17" s="29"/>
      <c r="J17" s="29"/>
      <c r="K17" s="29"/>
      <c r="L17" s="29"/>
      <c r="M17" s="29"/>
      <c r="N17" s="29"/>
      <c r="O17" s="29"/>
      <c r="P17" s="29"/>
      <c r="R17" s="32"/>
    </row>
    <row r="18" spans="1:18">
      <c r="A18" s="20" t="s">
        <v>278</v>
      </c>
      <c r="B18" s="21">
        <f>B5+B16</f>
        <v>40814.803</v>
      </c>
      <c r="C18" s="21">
        <f>C5+C16</f>
        <v>0</v>
      </c>
      <c r="D18" s="21">
        <f>MAX((D5+D16),0)</f>
        <v>5851.4408700000004</v>
      </c>
      <c r="E18" s="21">
        <f>MAX((E5+E16),0)</f>
        <v>10726.626071165165</v>
      </c>
      <c r="F18" s="21">
        <f>MAX((F5+F16),0)</f>
        <v>31470.673580207396</v>
      </c>
      <c r="G18" s="21"/>
      <c r="H18" s="21"/>
      <c r="I18" s="21"/>
      <c r="J18" s="21">
        <f>MAX((J5+J16),0)</f>
        <v>8.514333319086024</v>
      </c>
      <c r="K18" s="21"/>
      <c r="L18" s="21">
        <f>MAX((L5+L16),0)</f>
        <v>0</v>
      </c>
      <c r="M18" s="21"/>
      <c r="N18" s="21">
        <f>MAX((N5+N16),0)</f>
        <v>13361.258167131999</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214</v>
      </c>
      <c r="B20" s="25">
        <f ca="1">'EF ele_warmte'!B12</f>
        <v>0.20504171472650515</v>
      </c>
      <c r="C20" s="25">
        <f ca="1">'EF ele_warmte'!B22</f>
        <v>0</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213</v>
      </c>
      <c r="B22" s="23">
        <f ca="1">B18*B20</f>
        <v>8368.7371933445065</v>
      </c>
      <c r="C22" s="23">
        <f ca="1">C18*C20</f>
        <v>0</v>
      </c>
      <c r="D22" s="23">
        <f>D18*D20</f>
        <v>1181.9910557400001</v>
      </c>
      <c r="E22" s="23">
        <f>E18*E20</f>
        <v>2434.9441181544926</v>
      </c>
      <c r="F22" s="23">
        <f>F18*F20</f>
        <v>8402.6698459153758</v>
      </c>
      <c r="G22" s="23"/>
      <c r="H22" s="23"/>
      <c r="I22" s="23"/>
      <c r="J22" s="23">
        <f>J18*J20</f>
        <v>3.0140739949564521</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3" t="s">
        <v>493</v>
      </c>
      <c r="B25" s="203"/>
      <c r="C25" s="203"/>
      <c r="D25" s="225"/>
    </row>
    <row r="26" spans="1:18">
      <c r="A26" s="236"/>
      <c r="B26" s="32"/>
      <c r="C26" s="32"/>
      <c r="D26" s="237"/>
    </row>
    <row r="27" spans="1:18">
      <c r="A27" s="238"/>
      <c r="B27" s="224" t="s">
        <v>267</v>
      </c>
      <c r="C27" s="224" t="s">
        <v>268</v>
      </c>
      <c r="D27" s="239" t="s">
        <v>182</v>
      </c>
    </row>
    <row r="28" spans="1:18">
      <c r="A28" s="171" t="s">
        <v>35</v>
      </c>
      <c r="B28" s="37"/>
      <c r="C28" s="39"/>
      <c r="D28" s="237" t="s">
        <v>692</v>
      </c>
    </row>
    <row r="29" spans="1:18">
      <c r="A29" s="171" t="s">
        <v>38</v>
      </c>
      <c r="B29" s="37">
        <f>IF( ISERROR(IND_nonf_ele_kWh/1000),0,IND_nonf_ele_kWh/1000)</f>
        <v>0</v>
      </c>
      <c r="C29" s="39">
        <f>IF(ISERROR(B29*3.6/1000000/'E Balans VL '!Z17*100),0,B29*3.6/1000000/'E Balans VL '!Z17*100)</f>
        <v>0</v>
      </c>
      <c r="D29" s="237" t="s">
        <v>692</v>
      </c>
    </row>
    <row r="30" spans="1:18">
      <c r="A30" s="171" t="s">
        <v>36</v>
      </c>
      <c r="B30" s="37">
        <f>IF( ISERROR(IND_metaal_ele_kWh/1000),0,IND_metaal_ele_kWh/1000)</f>
        <v>177.22200000000001</v>
      </c>
      <c r="C30" s="39">
        <f>IF(ISERROR(B30*3.6/1000000/'E Balans VL '!Z18*100),0,B30*3.6/1000000/'E Balans VL '!Z18*100)</f>
        <v>2.4805174011604744E-2</v>
      </c>
      <c r="D30" s="237" t="s">
        <v>692</v>
      </c>
    </row>
    <row r="31" spans="1:18">
      <c r="A31" s="6" t="s">
        <v>33</v>
      </c>
      <c r="B31" s="37">
        <f>IF( ISERROR(IND_ander_ele_kWh/1000),0,IND_ander_ele_kWh/1000)</f>
        <v>38972.548999999999</v>
      </c>
      <c r="C31" s="39">
        <f>IF(ISERROR(B31*3.6/1000000/'E Balans VL '!Z19*100),0,B31*3.6/1000000/'E Balans VL '!Z19*100)</f>
        <v>1.7058221474843234</v>
      </c>
      <c r="D31" s="237" t="s">
        <v>692</v>
      </c>
    </row>
    <row r="32" spans="1:18">
      <c r="A32" s="171" t="s">
        <v>41</v>
      </c>
      <c r="B32" s="37">
        <f>IF( ISERROR(IND_voed_ele_kWh/1000),0,IND_voed_ele_kWh/1000)</f>
        <v>355.75299999999999</v>
      </c>
      <c r="C32" s="39">
        <f>IF(ISERROR(B32*3.6/1000000/'E Balans VL '!Z20*100),0,B32*3.6/1000000/'E Balans VL '!Z20*100)</f>
        <v>8.8072628825599963E-2</v>
      </c>
      <c r="D32" s="237" t="s">
        <v>692</v>
      </c>
    </row>
    <row r="33" spans="1:5">
      <c r="A33" s="171" t="s">
        <v>40</v>
      </c>
      <c r="B33" s="37">
        <f>IF( ISERROR(IND_textiel_ele_kWh/1000),0,IND_textiel_ele_kWh/1000)</f>
        <v>0</v>
      </c>
      <c r="C33" s="39">
        <f>IF(ISERROR(B33*3.6/1000000/'E Balans VL '!Z21*100),0,B33*3.6/1000000/'E Balans VL '!Z21*100)</f>
        <v>0</v>
      </c>
      <c r="D33" s="237" t="s">
        <v>692</v>
      </c>
    </row>
    <row r="34" spans="1:5">
      <c r="A34" s="171" t="s">
        <v>37</v>
      </c>
      <c r="B34" s="37">
        <f>IF( ISERROR(IND_min_ele_kWh/1000),0,IND_min_ele_kWh/1000)</f>
        <v>0</v>
      </c>
      <c r="C34" s="39">
        <f>IF(ISERROR(B34*3.6/1000000/'E Balans VL '!Z22*100),0,B34*3.6/1000000/'E Balans VL '!Z22*100)</f>
        <v>0</v>
      </c>
      <c r="D34" s="237" t="s">
        <v>692</v>
      </c>
    </row>
    <row r="35" spans="1:5">
      <c r="A35" s="171" t="s">
        <v>39</v>
      </c>
      <c r="B35" s="37">
        <f>IF( ISERROR(IND_papier_ele_kWh/1000),0,IND_papier_ele_kWh/1000)</f>
        <v>1309.279</v>
      </c>
      <c r="C35" s="39">
        <f>IF(ISERROR(B35*3.6/1000000/'E Balans VL '!Z22*100),0,B35*3.6/1000000/'E Balans VL '!Z22*100)</f>
        <v>3.7151996448759834E-2</v>
      </c>
      <c r="D35" s="237" t="s">
        <v>692</v>
      </c>
    </row>
    <row r="36" spans="1:5">
      <c r="A36" s="171" t="s">
        <v>34</v>
      </c>
      <c r="B36" s="37">
        <f>IF( ISERROR(IND_chemie_ele_kWh/1000),0,IND_chemie_ele_kWh/1000)</f>
        <v>0</v>
      </c>
      <c r="C36" s="39">
        <f>IF(ISERROR(B36*3.6/1000000/'E Balans VL '!Z24*100),0,B36*3.6/1000000/'E Balans VL '!Z24*100)</f>
        <v>0</v>
      </c>
      <c r="D36" s="237" t="s">
        <v>692</v>
      </c>
    </row>
    <row r="37" spans="1:5">
      <c r="A37" s="171" t="s">
        <v>270</v>
      </c>
      <c r="B37" s="37">
        <f>IF( ISERROR(IND_rest_ele_kWh/1000),0,IND_rest_ele_kWh/1000)</f>
        <v>0</v>
      </c>
      <c r="C37" s="39">
        <f>IF(ISERROR(B37*3.6/1000000/'E Balans VL '!Z15*100),0,B37*3.6/1000000/'E Balans VL '!Z15*100)</f>
        <v>0</v>
      </c>
      <c r="D37" s="237" t="s">
        <v>692</v>
      </c>
    </row>
    <row r="38" spans="1:5">
      <c r="A38" s="240"/>
      <c r="B38" s="180"/>
      <c r="C38" s="180"/>
      <c r="D38" s="241"/>
    </row>
    <row r="39" spans="1:5">
      <c r="A39" s="231"/>
      <c r="B39" s="32"/>
      <c r="C39" s="32"/>
      <c r="D39" s="32"/>
      <c r="E39" s="32"/>
    </row>
    <row r="40" spans="1:5">
      <c r="A40" s="193" t="s">
        <v>486</v>
      </c>
      <c r="B40" s="203"/>
      <c r="C40" s="203"/>
      <c r="D40" s="225"/>
    </row>
    <row r="41" spans="1:5">
      <c r="A41" s="236"/>
      <c r="B41" s="32"/>
      <c r="C41" s="32"/>
      <c r="D41" s="232"/>
    </row>
    <row r="42" spans="1:5">
      <c r="A42" s="242"/>
      <c r="B42" s="243"/>
      <c r="C42" s="224" t="s">
        <v>377</v>
      </c>
      <c r="D42" s="244" t="s">
        <v>182</v>
      </c>
    </row>
    <row r="43" spans="1:5">
      <c r="A43" s="171" t="s">
        <v>266</v>
      </c>
      <c r="B43" s="319">
        <f>aantalZB_NB_industrie+aantalZB_NB_industrie_met_kantoor</f>
        <v>0</v>
      </c>
      <c r="C43" s="43"/>
      <c r="D43" s="232"/>
    </row>
    <row r="44" spans="1:5">
      <c r="A44" s="171" t="s">
        <v>483</v>
      </c>
      <c r="B44" s="315">
        <v>4.2</v>
      </c>
      <c r="C44" s="43"/>
      <c r="D44" s="309" t="s">
        <v>517</v>
      </c>
    </row>
    <row r="45" spans="1:5">
      <c r="A45" s="6" t="s">
        <v>484</v>
      </c>
      <c r="B45" s="320">
        <f>1.34/3.6</f>
        <v>0.37222222222222223</v>
      </c>
      <c r="C45" s="43" t="s">
        <v>218</v>
      </c>
      <c r="D45" s="309" t="s">
        <v>517</v>
      </c>
    </row>
    <row r="46" spans="1:5" s="32" customFormat="1">
      <c r="A46" s="175"/>
      <c r="B46" s="246"/>
      <c r="C46" s="180"/>
      <c r="D46" s="241"/>
    </row>
    <row r="48" spans="1:5">
      <c r="A48" s="194" t="s">
        <v>487</v>
      </c>
      <c r="B48" s="203"/>
      <c r="C48" s="203"/>
      <c r="D48" s="225"/>
    </row>
    <row r="49" spans="1:4">
      <c r="A49" s="230"/>
      <c r="B49" s="32"/>
      <c r="C49" s="32"/>
      <c r="D49" s="232"/>
    </row>
    <row r="50" spans="1:4">
      <c r="A50" s="242"/>
      <c r="B50" s="243"/>
      <c r="C50" s="224" t="s">
        <v>377</v>
      </c>
      <c r="D50" s="244" t="s">
        <v>182</v>
      </c>
    </row>
    <row r="51" spans="1:4">
      <c r="A51" s="171" t="s">
        <v>266</v>
      </c>
      <c r="B51" s="319">
        <f>aantalWP_NB_industrie+AantalWP_NB_industrie_met_kantoor</f>
        <v>0</v>
      </c>
      <c r="C51" s="32"/>
      <c r="D51" s="232"/>
    </row>
    <row r="52" spans="1:4">
      <c r="A52" s="171" t="s">
        <v>262</v>
      </c>
      <c r="B52" s="315">
        <v>13</v>
      </c>
      <c r="C52" s="32" t="s">
        <v>263</v>
      </c>
      <c r="D52" s="309" t="s">
        <v>517</v>
      </c>
    </row>
    <row r="53" spans="1:4">
      <c r="A53" s="171" t="s">
        <v>264</v>
      </c>
      <c r="B53" s="315">
        <v>2000</v>
      </c>
      <c r="C53" s="32" t="s">
        <v>265</v>
      </c>
      <c r="D53" s="309" t="s">
        <v>517</v>
      </c>
    </row>
    <row r="54" spans="1:4">
      <c r="A54" s="171" t="s">
        <v>415</v>
      </c>
      <c r="B54" s="315">
        <v>3.75</v>
      </c>
      <c r="C54" s="32"/>
      <c r="D54" s="309" t="s">
        <v>517</v>
      </c>
    </row>
    <row r="55" spans="1:4">
      <c r="A55" s="175"/>
      <c r="B55" s="180"/>
      <c r="C55" s="180"/>
      <c r="D55" s="241"/>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8.xml><?xml version="1.0" encoding="utf-8"?>
<worksheet xmlns="http://schemas.openxmlformats.org/spreadsheetml/2006/main" xmlns:r="http://schemas.openxmlformats.org/officeDocument/2006/relationships">
  <sheetPr codeName="Sheet8">
    <tabColor theme="5" tint="-0.249977111117893"/>
  </sheetPr>
  <dimension ref="A1:R35"/>
  <sheetViews>
    <sheetView showGridLines="0" topLeftCell="C1" zoomScale="80" zoomScaleNormal="80" workbookViewId="0">
      <selection activeCell="N6" sqref="N6"/>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222" t="s">
        <v>271</v>
      </c>
      <c r="B1" s="1223" t="s">
        <v>195</v>
      </c>
      <c r="C1" s="1224"/>
      <c r="D1" s="1224"/>
      <c r="E1" s="1224"/>
      <c r="F1" s="1224"/>
      <c r="G1" s="1224"/>
      <c r="H1" s="1224"/>
      <c r="I1" s="1224"/>
      <c r="J1" s="1224"/>
      <c r="K1" s="1224"/>
      <c r="L1" s="1224"/>
      <c r="M1" s="1224"/>
      <c r="N1" s="1224"/>
      <c r="O1" s="1224"/>
      <c r="P1" s="1224"/>
    </row>
    <row r="2" spans="1:18" s="316" customFormat="1" ht="15.75" thickTop="1">
      <c r="A2" s="1222"/>
      <c r="B2" s="1225" t="s">
        <v>21</v>
      </c>
      <c r="C2" s="1225" t="s">
        <v>196</v>
      </c>
      <c r="D2" s="1227" t="s">
        <v>197</v>
      </c>
      <c r="E2" s="1228"/>
      <c r="F2" s="1228"/>
      <c r="G2" s="1228"/>
      <c r="H2" s="1228"/>
      <c r="I2" s="1228"/>
      <c r="J2" s="1228"/>
      <c r="K2" s="1229"/>
      <c r="L2" s="1227" t="s">
        <v>198</v>
      </c>
      <c r="M2" s="1228"/>
      <c r="N2" s="1228"/>
      <c r="O2" s="1228"/>
      <c r="P2" s="1229"/>
    </row>
    <row r="3" spans="1:18" s="316" customFormat="1" ht="45">
      <c r="A3" s="1222"/>
      <c r="B3" s="1226"/>
      <c r="C3" s="1226"/>
      <c r="D3" s="382" t="s">
        <v>199</v>
      </c>
      <c r="E3" s="382" t="s">
        <v>200</v>
      </c>
      <c r="F3" s="382" t="s">
        <v>201</v>
      </c>
      <c r="G3" s="382" t="s">
        <v>202</v>
      </c>
      <c r="H3" s="382" t="s">
        <v>120</v>
      </c>
      <c r="I3" s="382" t="s">
        <v>203</v>
      </c>
      <c r="J3" s="382" t="s">
        <v>204</v>
      </c>
      <c r="K3" s="382" t="s">
        <v>205</v>
      </c>
      <c r="L3" s="382" t="s">
        <v>206</v>
      </c>
      <c r="M3" s="382" t="s">
        <v>207</v>
      </c>
      <c r="N3" s="382" t="s">
        <v>208</v>
      </c>
      <c r="O3" s="382" t="s">
        <v>209</v>
      </c>
      <c r="P3" s="382" t="s">
        <v>210</v>
      </c>
    </row>
    <row r="4" spans="1:18" ht="15.75">
      <c r="A4" s="13"/>
      <c r="B4" s="14"/>
      <c r="C4" s="14"/>
      <c r="D4" s="14"/>
      <c r="E4" s="14"/>
      <c r="F4" s="14"/>
      <c r="G4" s="14"/>
      <c r="H4" s="14"/>
      <c r="I4" s="14"/>
      <c r="J4" s="14"/>
      <c r="K4" s="14"/>
      <c r="L4" s="14"/>
      <c r="M4" s="14"/>
      <c r="N4" s="14"/>
      <c r="O4" s="14"/>
      <c r="P4" s="14"/>
      <c r="R4" s="6"/>
    </row>
    <row r="5" spans="1:18">
      <c r="A5" s="16" t="s">
        <v>272</v>
      </c>
      <c r="B5" s="30">
        <f>IF(ISERROR(SUM(LB_lb_ele_kWh,LB_rest_ele_kWh)/1000),0,SUM(LB_lb_ele_kWh,LB_rest_ele_kWh)/1000)</f>
        <v>1638.596</v>
      </c>
      <c r="C5" s="17">
        <f>'Eigen informatie GS &amp; warmtenet'!B60</f>
        <v>0</v>
      </c>
      <c r="D5" s="30">
        <f>IF(ISERROR(SUM(LB_lb_gas_kWh,LB_rest_gas_kWh)/1000),0,SUM(LB_lb_gas_kWh,LB_rest_gas_kWh)/1000)*0.902</f>
        <v>2415.23128</v>
      </c>
      <c r="E5" s="17">
        <f>B17*'E Balans VL '!I25/3.6*1000000/100</f>
        <v>15.177362459091469</v>
      </c>
      <c r="F5" s="17">
        <f>B17*('E Balans VL '!L25/3.6*1000000+'E Balans VL '!N25/3.6*1000000)/100</f>
        <v>4157.4302042176632</v>
      </c>
      <c r="G5" s="18"/>
      <c r="H5" s="17"/>
      <c r="I5" s="17"/>
      <c r="J5" s="17">
        <f>('E Balans VL '!D25+'E Balans VL '!E25)/3.6*1000000*landbouw!B17/100</f>
        <v>251.21505358473172</v>
      </c>
      <c r="K5" s="17"/>
      <c r="L5" s="17">
        <f>L6*(-1)</f>
        <v>0</v>
      </c>
      <c r="M5" s="17"/>
      <c r="N5" s="17">
        <f>N6*(-1)</f>
        <v>0</v>
      </c>
      <c r="O5" s="17"/>
      <c r="P5" s="17"/>
      <c r="R5" s="32"/>
    </row>
    <row r="6" spans="1:18">
      <c r="A6" s="16" t="s">
        <v>494</v>
      </c>
      <c r="B6" s="17" t="s">
        <v>211</v>
      </c>
      <c r="C6" s="17">
        <f>'lokale energieproductie'!O92+'lokale energieproductie'!O61</f>
        <v>0</v>
      </c>
      <c r="D6" s="310">
        <f>('lokale energieproductie'!P61+'lokale energieproductie'!P92)*(-1)</f>
        <v>0</v>
      </c>
      <c r="E6" s="248"/>
      <c r="F6" s="310">
        <f>('lokale energieproductie'!S61+'lokale energieproductie'!S921)*(-1)</f>
        <v>0</v>
      </c>
      <c r="G6" s="249"/>
      <c r="H6" s="248"/>
      <c r="I6" s="248"/>
      <c r="J6" s="248"/>
      <c r="K6" s="248"/>
      <c r="L6" s="310">
        <f>('lokale energieproductie'!T61+'lokale energieproductie'!U61+'lokale energieproductie'!T92+'lokale energieproductie'!U92)*(-1)</f>
        <v>0</v>
      </c>
      <c r="M6" s="248"/>
      <c r="N6" s="310">
        <f>('lokale energieproductie'!V61+'lokale energieproductie'!R61+'lokale energieproductie'!Q61+'lokale energieproductie'!Q92+'lokale energieproductie'!R92+'lokale energieproductie'!V92)*(-1)</f>
        <v>0</v>
      </c>
      <c r="O6" s="248"/>
      <c r="P6" s="248"/>
      <c r="R6" s="32"/>
    </row>
    <row r="7" spans="1:18">
      <c r="A7" s="32"/>
      <c r="B7" s="29"/>
      <c r="C7" s="29"/>
      <c r="D7" s="250"/>
      <c r="E7" s="29"/>
      <c r="F7" s="29"/>
      <c r="G7" s="28"/>
      <c r="H7" s="29"/>
      <c r="I7" s="29"/>
      <c r="J7" s="29"/>
      <c r="K7" s="29"/>
      <c r="L7" s="29"/>
      <c r="M7" s="29"/>
      <c r="N7" s="29"/>
      <c r="O7" s="29"/>
      <c r="P7" s="29"/>
      <c r="R7" s="32"/>
    </row>
    <row r="8" spans="1:18">
      <c r="A8" s="20" t="s">
        <v>273</v>
      </c>
      <c r="B8" s="21">
        <f>B5</f>
        <v>1638.596</v>
      </c>
      <c r="C8" s="21">
        <f>C5+C6</f>
        <v>0</v>
      </c>
      <c r="D8" s="21">
        <f>MAX((D5+D6),0)</f>
        <v>2415.23128</v>
      </c>
      <c r="E8" s="21">
        <f>MAX((E5+E6),0)</f>
        <v>15.177362459091469</v>
      </c>
      <c r="F8" s="21">
        <f>MAX((F5+F6),0)</f>
        <v>4157.4302042176632</v>
      </c>
      <c r="G8" s="21"/>
      <c r="H8" s="21"/>
      <c r="I8" s="21"/>
      <c r="J8" s="21">
        <f>MAX((J5+J6),0)</f>
        <v>251.21505358473172</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214</v>
      </c>
      <c r="B10" s="31">
        <f ca="1">'EF ele_warmte'!B12</f>
        <v>0.20504171472650515</v>
      </c>
      <c r="C10" s="31">
        <f ca="1">'EF ele_warmte'!B22</f>
        <v>0</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213</v>
      </c>
      <c r="B12" s="23">
        <f ca="1">B8*B10</f>
        <v>335.98053358399244</v>
      </c>
      <c r="C12" s="23">
        <f ca="1">C8*C10</f>
        <v>0</v>
      </c>
      <c r="D12" s="23">
        <f>D8*D10</f>
        <v>487.87671856000003</v>
      </c>
      <c r="E12" s="23">
        <f>E8*E10</f>
        <v>3.4452612782137635</v>
      </c>
      <c r="F12" s="23">
        <f>F8*F10</f>
        <v>1110.0338645261161</v>
      </c>
      <c r="G12" s="23"/>
      <c r="H12" s="23"/>
      <c r="I12" s="23"/>
      <c r="J12" s="23">
        <f>J8*J10</f>
        <v>88.930128968995021</v>
      </c>
      <c r="K12" s="23"/>
      <c r="L12" s="23">
        <f>L8*L10</f>
        <v>0</v>
      </c>
      <c r="M12" s="23">
        <f>M8*M10</f>
        <v>0</v>
      </c>
      <c r="N12" s="23">
        <f>N8*N10</f>
        <v>0</v>
      </c>
      <c r="O12" s="23"/>
      <c r="P12" s="23"/>
    </row>
    <row r="14" spans="1:18">
      <c r="A14" s="193" t="s">
        <v>500</v>
      </c>
      <c r="B14" s="203"/>
      <c r="C14" s="225"/>
    </row>
    <row r="15" spans="1:18">
      <c r="A15" s="236"/>
      <c r="B15" s="32"/>
      <c r="C15" s="237"/>
    </row>
    <row r="16" spans="1:18">
      <c r="A16" s="255"/>
      <c r="B16" s="42" t="s">
        <v>292</v>
      </c>
      <c r="C16" s="239" t="s">
        <v>182</v>
      </c>
    </row>
    <row r="17" spans="1:4">
      <c r="A17" s="256" t="s">
        <v>112</v>
      </c>
      <c r="B17" s="254">
        <f>IF(ISERROR(SUM(LB_lb_ele_kWh,LB_rest_ele_kWh)*3.6/1000000000/'E Balans VL '!Z26*100),0,SUM(LB_lb_ele_kWh,LB_rest_ele_kWh)*3.6/1000000000/'E Balans VL '!Z26*100)</f>
        <v>0.23297360695929031</v>
      </c>
      <c r="C17" s="237" t="s">
        <v>692</v>
      </c>
      <c r="D17" s="252"/>
    </row>
    <row r="18" spans="1:4">
      <c r="A18" s="240"/>
      <c r="B18" s="253"/>
      <c r="C18" s="241"/>
    </row>
    <row r="19" spans="1:4">
      <c r="A19" s="32"/>
      <c r="B19" s="48"/>
      <c r="C19" s="32"/>
    </row>
    <row r="20" spans="1:4">
      <c r="A20" s="32"/>
      <c r="B20" s="48"/>
      <c r="C20" s="32"/>
    </row>
    <row r="21" spans="1:4" ht="15.75" thickBot="1">
      <c r="B21" s="32"/>
    </row>
    <row r="22" spans="1:4" ht="15.75" customHeight="1">
      <c r="A22" s="1230" t="s">
        <v>303</v>
      </c>
      <c r="B22" s="1233" t="s">
        <v>304</v>
      </c>
      <c r="C22" s="1233" t="s">
        <v>499</v>
      </c>
    </row>
    <row r="23" spans="1:4">
      <c r="A23" s="1231"/>
      <c r="B23" s="1234"/>
      <c r="C23" s="1234"/>
    </row>
    <row r="24" spans="1:4" ht="15.75" thickBot="1">
      <c r="A24" s="1232"/>
      <c r="B24" s="1235"/>
      <c r="C24" s="1235"/>
    </row>
    <row r="25" spans="1:4" ht="15.75">
      <c r="A25" s="13"/>
      <c r="B25" s="32"/>
    </row>
    <row r="26" spans="1:4">
      <c r="A26" s="41" t="s">
        <v>274</v>
      </c>
      <c r="B26" s="247">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66.97812698707871</v>
      </c>
      <c r="C26" s="247">
        <f>B26*'GWP N2O_CH4'!B5</f>
        <v>1406.5406667286529</v>
      </c>
      <c r="D26" s="50"/>
    </row>
    <row r="27" spans="1:4">
      <c r="A27" s="41" t="s">
        <v>275</v>
      </c>
      <c r="B27" s="247">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25.8588726560737</v>
      </c>
      <c r="C27" s="247">
        <f>B27*'GWP N2O_CH4'!B5</f>
        <v>543.03632577754775</v>
      </c>
      <c r="D27" s="50"/>
    </row>
    <row r="28" spans="1:4">
      <c r="A28" s="41" t="s">
        <v>276</v>
      </c>
      <c r="B28" s="247">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0.81496507853912781</v>
      </c>
      <c r="C28" s="247">
        <f>B28*'GWP N2O_CH4'!B4</f>
        <v>252.63917434712963</v>
      </c>
      <c r="D28" s="50"/>
    </row>
    <row r="29" spans="1:4">
      <c r="A29" s="41" t="s">
        <v>277</v>
      </c>
      <c r="B29" s="247">
        <f>B34*'ha_N2O bodem landbouw'!B4</f>
        <v>10.240810717320768</v>
      </c>
      <c r="C29" s="247">
        <f>B29*'GWP N2O_CH4'!B4</f>
        <v>3174.6513223694378</v>
      </c>
      <c r="D29" s="50"/>
    </row>
    <row r="31" spans="1:4">
      <c r="A31" s="193" t="s">
        <v>501</v>
      </c>
      <c r="B31" s="203"/>
      <c r="C31" s="225"/>
    </row>
    <row r="32" spans="1:4">
      <c r="A32" s="236"/>
      <c r="B32" s="32"/>
      <c r="C32" s="237"/>
    </row>
    <row r="33" spans="1:5">
      <c r="A33" s="238"/>
      <c r="B33" s="224" t="s">
        <v>634</v>
      </c>
      <c r="C33" s="239" t="s">
        <v>182</v>
      </c>
    </row>
    <row r="34" spans="1:5">
      <c r="A34" s="257" t="s">
        <v>112</v>
      </c>
      <c r="B34" s="35">
        <f>IF(ISERROR(aantalCultuurgronden/'ha_N2O bodem landbouw'!B5),0,aantalCultuurgronden/'ha_N2O bodem landbouw'!B5)</f>
        <v>2.2968334283542378E-3</v>
      </c>
      <c r="C34" s="925" t="s">
        <v>669</v>
      </c>
      <c r="D34" s="27"/>
      <c r="E34" s="27"/>
    </row>
    <row r="35" spans="1:5">
      <c r="A35" s="240"/>
      <c r="B35" s="180"/>
      <c r="C35" s="241"/>
      <c r="D35" s="252"/>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9.xml><?xml version="1.0" encoding="utf-8"?>
<worksheet xmlns="http://schemas.openxmlformats.org/spreadsheetml/2006/main" xmlns:r="http://schemas.openxmlformats.org/officeDocument/2006/relationships">
  <sheetPr codeName="Sheet15">
    <tabColor theme="5" tint="-0.249977111117893"/>
  </sheetPr>
  <dimension ref="A1:R79"/>
  <sheetViews>
    <sheetView showGridLines="0" zoomScale="70" zoomScaleNormal="70" workbookViewId="0">
      <selection activeCell="A46" sqref="A46:A48"/>
    </sheetView>
  </sheetViews>
  <sheetFormatPr defaultRowHeight="15"/>
  <cols>
    <col min="1" max="1" width="49.42578125" bestFit="1" customWidth="1"/>
    <col min="2" max="2" width="15" bestFit="1" customWidth="1"/>
    <col min="3" max="3" width="15.85546875" bestFit="1" customWidth="1"/>
    <col min="4" max="4" width="19.42578125" customWidth="1"/>
    <col min="5" max="5" width="48.71093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22.7109375" customWidth="1"/>
    <col min="13" max="13" width="15.140625" bestFit="1" customWidth="1"/>
    <col min="14" max="14" width="12.28515625" customWidth="1"/>
    <col min="15" max="15" width="12.140625" customWidth="1"/>
    <col min="16" max="16" width="14.140625" customWidth="1"/>
    <col min="17" max="17" width="6.42578125" bestFit="1" customWidth="1"/>
    <col min="18" max="18" width="18.5703125" customWidth="1"/>
  </cols>
  <sheetData>
    <row r="1" spans="1:18" s="316" customFormat="1" ht="17.25" thickTop="1" thickBot="1">
      <c r="A1" s="1222" t="s">
        <v>503</v>
      </c>
      <c r="B1" s="1223" t="s">
        <v>556</v>
      </c>
      <c r="C1" s="1224"/>
      <c r="D1" s="1224"/>
      <c r="E1" s="1224"/>
      <c r="F1" s="1224"/>
      <c r="G1" s="1224"/>
      <c r="H1" s="1224"/>
      <c r="I1" s="1224"/>
      <c r="J1" s="1224"/>
      <c r="K1" s="1224"/>
      <c r="L1" s="1224"/>
      <c r="M1" s="1224"/>
      <c r="N1" s="1224"/>
      <c r="O1" s="1224"/>
      <c r="P1" s="1224"/>
    </row>
    <row r="2" spans="1:18" s="316" customFormat="1" ht="15.75" thickTop="1">
      <c r="A2" s="1222"/>
      <c r="B2" s="1225" t="s">
        <v>21</v>
      </c>
      <c r="C2" s="1225" t="s">
        <v>196</v>
      </c>
      <c r="D2" s="1227" t="s">
        <v>197</v>
      </c>
      <c r="E2" s="1228"/>
      <c r="F2" s="1228"/>
      <c r="G2" s="1228"/>
      <c r="H2" s="1228"/>
      <c r="I2" s="1228"/>
      <c r="J2" s="1228"/>
      <c r="K2" s="1229"/>
      <c r="L2" s="1227" t="s">
        <v>198</v>
      </c>
      <c r="M2" s="1228"/>
      <c r="N2" s="1228"/>
      <c r="O2" s="1228"/>
      <c r="P2" s="1229"/>
    </row>
    <row r="3" spans="1:18" s="316" customFormat="1" ht="45">
      <c r="A3" s="1222"/>
      <c r="B3" s="1226"/>
      <c r="C3" s="1226"/>
      <c r="D3" s="382" t="s">
        <v>199</v>
      </c>
      <c r="E3" s="382" t="s">
        <v>200</v>
      </c>
      <c r="F3" s="382" t="s">
        <v>201</v>
      </c>
      <c r="G3" s="382" t="s">
        <v>202</v>
      </c>
      <c r="H3" s="382" t="s">
        <v>120</v>
      </c>
      <c r="I3" s="382" t="s">
        <v>203</v>
      </c>
      <c r="J3" s="382" t="s">
        <v>204</v>
      </c>
      <c r="K3" s="382" t="s">
        <v>205</v>
      </c>
      <c r="L3" s="382" t="s">
        <v>206</v>
      </c>
      <c r="M3" s="382" t="s">
        <v>207</v>
      </c>
      <c r="N3" s="382" t="s">
        <v>208</v>
      </c>
      <c r="O3" s="382" t="s">
        <v>209</v>
      </c>
      <c r="P3" s="382" t="s">
        <v>210</v>
      </c>
    </row>
    <row r="4" spans="1:18">
      <c r="C4" s="15"/>
    </row>
    <row r="5" spans="1:18" s="8" customFormat="1">
      <c r="A5" s="287" t="s">
        <v>329</v>
      </c>
      <c r="B5" s="449">
        <f>SUM(B6:B11)</f>
        <v>1.7884814475695479E-5</v>
      </c>
      <c r="C5" s="464" t="s">
        <v>211</v>
      </c>
      <c r="D5" s="449">
        <f>SUM(D6:D11)</f>
        <v>4.8187247825861901E-5</v>
      </c>
      <c r="E5" s="449">
        <f>SUM(E6:E11)</f>
        <v>3.0589064971014621E-4</v>
      </c>
      <c r="F5" s="462" t="s">
        <v>211</v>
      </c>
      <c r="G5" s="449">
        <f>SUM(G6:G11)</f>
        <v>8.3610994466299382E-2</v>
      </c>
      <c r="H5" s="449">
        <f>SUM(H6:H11)</f>
        <v>1.8183083450967759E-2</v>
      </c>
      <c r="I5" s="464" t="s">
        <v>211</v>
      </c>
      <c r="J5" s="464" t="s">
        <v>211</v>
      </c>
      <c r="K5" s="464" t="s">
        <v>211</v>
      </c>
      <c r="L5" s="464" t="s">
        <v>211</v>
      </c>
      <c r="M5" s="449">
        <f>SUM(M6:M11)</f>
        <v>5.3962621640895568E-3</v>
      </c>
      <c r="N5" s="464" t="s">
        <v>211</v>
      </c>
      <c r="O5" s="464" t="s">
        <v>211</v>
      </c>
      <c r="P5" s="465" t="s">
        <v>211</v>
      </c>
    </row>
    <row r="6" spans="1:18">
      <c r="A6" s="261" t="s">
        <v>715</v>
      </c>
      <c r="B6" s="893">
        <f>vkm_2011_GW_PW*SUMIFS(TableVerdeelsleutelVkm[ELECTRIC],TableVerdeelsleutelVkm[Voertuigtype],"Lichte voertuigen")*SUMIFS(TableECFTransport[EnergieConsumptieFactor (PJ per km)],TableECFTransport[Index],CONCATENATE($A6,"_ELECTRIC_ELECTRIC"))
+vkm_2011_GW_PW*SUMIFS(TableVerdeelsleutelVkm[DIESEL HYBRID PHEV],TableVerdeelsleutelVkm[Voertuigtype],"Lichte voertuigen")*SUMIFS(TableECFTransport[EnergieConsumptieFactor (PJ per km)],TableECFTransport[Index],CONCATENATE($A6,"_DIESEL HYBRID PHEV_ELECTRIC"))
+vkm_2011_GW_PW*SUMIFS(TableVerdeelsleutelVkm[PETROL HYBRID PHEV],TableVerdeelsleutelVkm[Voertuigtype],"Lichte voertuigen")*SUMIFS(TableECFTransport[EnergieConsumptieFactor (PJ per km)],TableECFTransport[Index],CONCATENATE($A6,"_PETROL HYBRID PHEV_ELECTRIC"))</f>
        <v>1.4050563779367261E-5</v>
      </c>
      <c r="C6" s="450"/>
      <c r="D6" s="893">
        <f>vkm_2011_GW_PW*SUMIFS(TableVerdeelsleutelVkm[CNG],TableVerdeelsleutelVkm[Voertuigtype],"Lichte voertuigen")*SUMIFS(TableECFTransport[EnergieConsumptieFactor (PJ per km)],TableECFTransport[Index],CONCATENATE($A6,"_CNG_CNG"))</f>
        <v>3.2500500924668604E-5</v>
      </c>
      <c r="E6" s="893">
        <f>vkm_2011_GW_PW*SUMIFS(TableVerdeelsleutelVkm[LPG],TableVerdeelsleutelVkm[Voertuigtype],"Lichte voertuigen")*SUMIFS(TableECFTransport[EnergieConsumptieFactor (PJ per km)],TableECFTransport[Index],CONCATENATE($A6,"_LPG_LPG"))</f>
        <v>2.116236355186854E-4</v>
      </c>
      <c r="F6" s="452"/>
      <c r="G6" s="893">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CS_DIESEL")))*(1-$C$35)</f>
        <v>4.3963244630231629E-2</v>
      </c>
      <c r="H6" s="893">
        <f>(vkm_2011_GW_PW*SUMIFS(TableVerdeelsleutelVkm[PETROL],TableVerdeelsleutelVkm[Voertuigtype],"Lichte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CS_PETROL")))*(1-$C$42)</f>
        <v>1.2392330133667655E-2</v>
      </c>
      <c r="I6" s="450"/>
      <c r="J6" s="450"/>
      <c r="K6" s="450"/>
      <c r="L6" s="450"/>
      <c r="M6" s="450">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CS_DIESEL")))*($C$35)
+(vkm_2011_GW_PW*SUMIFS(TableVerdeelsleutelVkm[PETROL],TableVerdeelsleutelVkm[Voertuigtype],"Lichte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CS_PETROL")))*($C$42)</f>
        <v>2.9245621867900569E-3</v>
      </c>
      <c r="N6" s="450"/>
      <c r="O6" s="450"/>
      <c r="P6" s="451"/>
    </row>
    <row r="7" spans="1:18">
      <c r="A7" s="261" t="s">
        <v>716</v>
      </c>
      <c r="B7" s="893">
        <f>vkm_2011_GW_ZV*SUMIFS(TableVerdeelsleutelVkm[ELECTRIC],TableVerdeelsleutelVkm[Voertuigtype],"Zware voertuigen")*SUMIFS(TableECFTransport[EnergieConsumptieFactor (PJ per km)],TableECFTransport[Index],CONCATENATE($A7,"_ELECTRIC_ELECTRIC"))
+vkm_2011_GW_ZV*SUMIFS(TableVerdeelsleutelVkm[DIESEL HYBRID PHEV],TableVerdeelsleutelVkm[Voertuigtype],"Zware voertuigen")*SUMIFS(TableECFTransport[EnergieConsumptieFactor (PJ per km)],TableECFTransport[Index],CONCATENATE($A7,"_DIESEL HYBRID PHEV_ELECTRIC"))
+vkm_2011_GW_ZV*SUMIFS(TableVerdeelsleutelVkm[PETROL HYBRID PHEV],TableVerdeelsleutelVkm[Voertuigtype],"Zware voertuigen")*SUMIFS(TableECFTransport[EnergieConsumptieFactor (PJ per km)],TableECFTransport[Index],CONCATENATE($A7,"_PETROL HYBRID PHEV_ELECTRIC"))</f>
        <v>0</v>
      </c>
      <c r="C7" s="450"/>
      <c r="D7" s="893">
        <f>vkm_2011_GW_ZV*SUMIFS(TableVerdeelsleutelVkm[CNG],TableVerdeelsleutelVkm[Voertuigtype],"Zware voertuigen")*SUMIFS(TableECFTransport[EnergieConsumptieFactor (PJ per km)],TableECFTransport[Index],CONCATENATE($A7,"_CNG_CNG"))</f>
        <v>0</v>
      </c>
      <c r="E7" s="893">
        <f>vkm_2011_GW_ZV*SUMIFS(TableVerdeelsleutelVkm[LPG],TableVerdeelsleutelVkm[Voertuigtype],"Zware voertuigen")*SUMIFS(TableECFTransport[EnergieConsumptieFactor (PJ per km)],TableECFTransport[Index],CONCATENATE($A7,"_LPG_LPG"))</f>
        <v>0</v>
      </c>
      <c r="F7" s="452"/>
      <c r="G7" s="893">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CS_DIESEL")))*(1-$C$35)</f>
        <v>1.9006152453619148E-2</v>
      </c>
      <c r="H7" s="893">
        <f>(vkm_2011_GW_ZV*SUMIFS(TableVerdeelsleutelVkm[PETROL],TableVerdeelsleutelVkm[Voertuigtype],"Zware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CS_PETROL")))*(1-$C$42)</f>
        <v>6.4997589713304838E-6</v>
      </c>
      <c r="I7" s="450"/>
      <c r="J7" s="450"/>
      <c r="K7" s="450"/>
      <c r="L7" s="450"/>
      <c r="M7" s="450">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CS_DIESEL")))*($C$35)
+(vkm_2011_GW_ZV*SUMIFS(TableVerdeelsleutelVkm[PETROL],TableVerdeelsleutelVkm[Voertuigtype],"Zware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CS_PETROL")))*($C$42)</f>
        <v>1.0996136512029862E-3</v>
      </c>
      <c r="N7" s="450"/>
      <c r="O7" s="450"/>
      <c r="P7" s="451"/>
      <c r="R7" s="889"/>
    </row>
    <row r="8" spans="1:18">
      <c r="A8" s="261" t="s">
        <v>717</v>
      </c>
      <c r="B8" s="450">
        <f>vkm_2011_NGW_PW*SUMIFS(TableVerdeelsleutelVkm[ELECTRIC],TableVerdeelsleutelVkm[Voertuigtype],"Lichte voertuigen")*SUMIFS(TableECFTransport[EnergieConsumptieFactor (PJ per km)],TableECFTransport[Index],CONCATENATE($A8,"_ELECTRIC_ELECTRIC"))
+vkm_2011_NGW_PW*SUMIFS(TableVerdeelsleutelVkm[DIESEL HYBRID PHEV],TableVerdeelsleutelVkm[Voertuigtype],"Lichte voertuigen")*SUMIFS(TableECFTransport[EnergieConsumptieFactor (PJ per km)],TableECFTransport[Index],CONCATENATE($A8,"_DIESEL HYBRID PHEV_ELECTRIC"))
+vkm_2011_NGW_PW*SUMIFS(TableVerdeelsleutelVkm[PETROL HYBRID PHEV],TableVerdeelsleutelVkm[Voertuigtype],"Lichte voertuigen")*SUMIFS(TableECFTransport[EnergieConsumptieFactor (PJ per km)],TableECFTransport[Index],CONCATENATE($A8,"_PETROL HYBRID PHEV_ELECTRIC"))</f>
        <v>3.8342506963282191E-6</v>
      </c>
      <c r="C8" s="450"/>
      <c r="D8" s="452">
        <f>vkm_2011_NGW_PW*SUMIFS(TableVerdeelsleutelVkm[CNG],TableVerdeelsleutelVkm[Voertuigtype],"Lichte voertuigen")*SUMIFS(TableECFTransport[EnergieConsumptieFactor (PJ per km)],TableECFTransport[Index],CONCATENATE($A8,"_CNG_CNG"))</f>
        <v>1.5686746901193297E-5</v>
      </c>
      <c r="E8" s="452">
        <f>vkm_2011_NGW_PW*SUMIFS(TableVerdeelsleutelVkm[LPG],TableVerdeelsleutelVkm[Voertuigtype],"Lichte voertuigen")*SUMIFS(TableECFTransport[EnergieConsumptieFactor (PJ per km)],TableECFTransport[Index],CONCATENATE($A8,"_LPG_LPG"))</f>
        <v>9.4267014191460802E-5</v>
      </c>
      <c r="F8" s="452"/>
      <c r="G8" s="450">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CS_DIESEL")))*(1-$C$35)</f>
        <v>1.8306515671655355E-2</v>
      </c>
      <c r="H8" s="893">
        <f>(vkm_2011_NGW_PW*SUMIFS(TableVerdeelsleutelVkm[PETROL],TableVerdeelsleutelVkm[Voertuigtype],"Lichte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CS_PETROL")))*(1-$C$42)</f>
        <v>5.7834979530877939E-3</v>
      </c>
      <c r="I8" s="450"/>
      <c r="J8" s="450"/>
      <c r="K8" s="450"/>
      <c r="L8" s="450"/>
      <c r="M8" s="450">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CS_DIESEL")))*($C$35)
+(vkm_2011_NGW_PW*SUMIFS(TableVerdeelsleutelVkm[PETROL],TableVerdeelsleutelVkm[Voertuigtype],"Lichte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CS_PETROL")))*($C$42)</f>
        <v>1.2369899355229631E-3</v>
      </c>
      <c r="N8" s="450"/>
      <c r="O8" s="450"/>
      <c r="P8" s="451"/>
      <c r="R8" s="889"/>
    </row>
    <row r="9" spans="1:18">
      <c r="A9" s="261" t="s">
        <v>718</v>
      </c>
      <c r="B9" s="450">
        <f>vkm_2011_NGW_ZV*SUMIFS(TableVerdeelsleutelVkm[ELECTRIC],TableVerdeelsleutelVkm[Voertuigtype],"Zware voertuigen")*SUMIFS(TableECFTransport[EnergieConsumptieFactor (PJ per km)],TableECFTransport[Index],CONCATENATE($A9,"_ELECTRIC_ELECTRIC"))
+vkm_2011_NGW_ZV*SUMIFS(TableVerdeelsleutelVkm[DIESEL HYBRID PHEV],TableVerdeelsleutelVkm[Voertuigtype],"Zware voertuigen")*SUMIFS(TableECFTransport[EnergieConsumptieFactor (PJ per km)],TableECFTransport[Index],CONCATENATE($A9,"_DIESEL HYBRID PHEV_ELECTRIC"))
+vkm_2011_NGW_ZV*SUMIFS(TableVerdeelsleutelVkm[PETROL HYBRID PHEV],TableVerdeelsleutelVkm[Voertuigtype],"Zware voertuigen")*SUMIFS(TableECFTransport[EnergieConsumptieFactor (PJ per km)],TableECFTransport[Index],CONCATENATE($A9,"_PETROL HYBRID PHEV_ELECTRIC"))</f>
        <v>0</v>
      </c>
      <c r="C9" s="450"/>
      <c r="D9" s="452">
        <f>vkm_2011_NGW_ZV*SUMIFS(TableVerdeelsleutelVkm[CNG],TableVerdeelsleutelVkm[Voertuigtype],"Zware voertuigen")*SUMIFS(TableECFTransport[EnergieConsumptieFactor (PJ per km)],TableECFTransport[Index],CONCATENATE($A9,"_CNG_CNG"))</f>
        <v>0</v>
      </c>
      <c r="E9" s="452">
        <f>vkm_2011_NGW_ZV*SUMIFS(TableVerdeelsleutelVkm[LPG],TableVerdeelsleutelVkm[Voertuigtype],"Zware voertuigen")*SUMIFS(TableECFTransport[EnergieConsumptieFactor (PJ per km)],TableECFTransport[Index],CONCATENATE($A9,"_LPG_LPG"))</f>
        <v>0</v>
      </c>
      <c r="F9" s="452"/>
      <c r="G9" s="450">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CS_DIESEL")))*(1-$C$35)</f>
        <v>2.3350817107932569E-3</v>
      </c>
      <c r="H9" s="893">
        <f>(vkm_2011_NGW_ZV*SUMIFS(TableVerdeelsleutelVkm[PETROL],TableVerdeelsleutelVkm[Voertuigtype],"Zware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CS_PETROL")))*(1-$C$42)</f>
        <v>7.5560524098204277E-7</v>
      </c>
      <c r="I9" s="450"/>
      <c r="J9" s="450"/>
      <c r="K9" s="450"/>
      <c r="L9" s="450"/>
      <c r="M9" s="450">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CS_DIESEL")))*($C$35)
+(vkm_2011_NGW_ZV*SUMIFS(TableVerdeelsleutelVkm[PETROL],TableVerdeelsleutelVkm[Voertuigtype],"Zware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CS_PETROL")))*($C$42)</f>
        <v>1.3509639057355169E-4</v>
      </c>
      <c r="N9" s="450"/>
      <c r="O9" s="450"/>
      <c r="P9" s="451"/>
      <c r="R9" s="889"/>
    </row>
    <row r="10" spans="1:18">
      <c r="A10" s="261" t="s">
        <v>719</v>
      </c>
      <c r="B10" s="450">
        <f>vkm_2011_SW_PW*SUMIFS(TableVerdeelsleutelVkm[ELECTRIC],TableVerdeelsleutelVkm[Voertuigtype],"Lichte voertuigen")*SUMIFS(TableECFTransport[EnergieConsumptieFactor (PJ per km)],TableECFTransport[Index],CONCATENATE($A10,"_ELECTRIC_ELECTRIC"))
+vkm_2011_SW_PW*SUMIFS(TableVerdeelsleutelVkm[DIESEL HYBRID PHEV],TableVerdeelsleutelVkm[Voertuigtype],"Lichte voertuigen")*SUMIFS(TableECFTransport[EnergieConsumptieFactor (PJ per km)],TableECFTransport[Index],CONCATENATE($A10,"_DIESEL HYBRID PHEV_ELECTRIC"))
+vkm_2011_SW_PW*SUMIFS(TableVerdeelsleutelVkm[PETROL HYBRID PHEV],TableVerdeelsleutelVkm[Voertuigtype],"Lichte voertuigen")*SUMIFS(TableECFTransport[EnergieConsumptieFactor (PJ per km)],TableECFTransport[Index],CONCATENATE($A10,"_PETROL HYBRID PHEV_ELECTRIC"))</f>
        <v>0</v>
      </c>
      <c r="C10" s="450"/>
      <c r="D10" s="452">
        <f>vkm_2011_SW_PW*SUMIFS(TableVerdeelsleutelVkm[CNG],TableVerdeelsleutelVkm[Voertuigtype],"Lichte voertuigen")*SUMIFS(TableECFTransport[EnergieConsumptieFactor (PJ per km)],TableECFTransport[Index],CONCATENATE($A10,"_CNG_CNG"))</f>
        <v>0</v>
      </c>
      <c r="E10" s="452">
        <f>vkm_2011_SW_PW*SUMIFS(TableVerdeelsleutelVkm[LPG],TableVerdeelsleutelVkm[Voertuigtype],"Lichte voertuigen")*SUMIFS(TableECFTransport[EnergieConsumptieFactor (PJ per km)],TableECFTransport[Index],CONCATENATE($A10,"_LPG_LPG"))</f>
        <v>0</v>
      </c>
      <c r="F10" s="452"/>
      <c r="G10" s="450">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CS_DIESEL")))*(1-$C$35)</f>
        <v>0</v>
      </c>
      <c r="H10" s="893">
        <f>(vkm_2011_SW_PW*SUMIFS(TableVerdeelsleutelVkm[PETROL],TableVerdeelsleutelVkm[Voertuigtype],"Lichte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CS_PETROL")))*(1-$C$42)</f>
        <v>0</v>
      </c>
      <c r="I10" s="450"/>
      <c r="J10" s="450"/>
      <c r="K10" s="450"/>
      <c r="L10" s="450"/>
      <c r="M10" s="450">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CS_DIESEL")))*($C$35)
+(vkm_2011_SW_PW*SUMIFS(TableVerdeelsleutelVkm[PETROL],TableVerdeelsleutelVkm[Voertuigtype],"Lichte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CS_PETROL")))*($C$42)</f>
        <v>0</v>
      </c>
      <c r="N10" s="450"/>
      <c r="O10" s="450"/>
      <c r="P10" s="451"/>
      <c r="R10" s="889"/>
    </row>
    <row r="11" spans="1:18">
      <c r="A11" s="4" t="s">
        <v>720</v>
      </c>
      <c r="B11" s="453">
        <f>vkm_2011_SW_ZV*SUMIFS(TableVerdeelsleutelVkm[ELECTRIC],TableVerdeelsleutelVkm[Voertuigtype],"Zware voertuigen")*SUMIFS(TableECFTransport[EnergieConsumptieFactor (PJ per km)],TableECFTransport[Index],CONCATENATE($A11,"_ELECTRIC_ELECTRIC"))
+vkm_2011_SW_ZV*SUMIFS(TableVerdeelsleutelVkm[DIESEL HYBRID PHEV],TableVerdeelsleutelVkm[Voertuigtype],"Zware voertuigen")*SUMIFS(TableECFTransport[EnergieConsumptieFactor (PJ per km)],TableECFTransport[Index],CONCATENATE($A11,"_DIESEL HYBRID PHEV_ELECTRIC"))
+vkm_2011_SW_ZV*SUMIFS(TableVerdeelsleutelVkm[PETROL HYBRID PHEV],TableVerdeelsleutelVkm[Voertuigtype],"Zware voertuigen")*SUMIFS(TableECFTransport[EnergieConsumptieFactor (PJ per km)],TableECFTransport[Index],CONCATENATE($A11,"_PETROL HYBRID PHEV_ELECTRIC"))</f>
        <v>0</v>
      </c>
      <c r="C11" s="453"/>
      <c r="D11" s="454">
        <f>vkm_2011_SW_ZV*SUMIFS(TableVerdeelsleutelVkm[CNG],TableVerdeelsleutelVkm[Voertuigtype],"Zware voertuigen")*SUMIFS(TableECFTransport[EnergieConsumptieFactor (PJ per km)],TableECFTransport[Index],CONCATENATE($A11,"_CNG_CNG"))</f>
        <v>0</v>
      </c>
      <c r="E11" s="454">
        <f>vkm_2011_SW_ZV*SUMIFS(TableVerdeelsleutelVkm[LPG],TableVerdeelsleutelVkm[Voertuigtype],"Zware voertuigen")*SUMIFS(TableECFTransport[EnergieConsumptieFactor (PJ per km)],TableECFTransport[Index],CONCATENATE($A11,"_LPG_LPG"))</f>
        <v>0</v>
      </c>
      <c r="F11" s="454"/>
      <c r="G11" s="453">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CS_DIESEL")))*(1-$C$35)</f>
        <v>0</v>
      </c>
      <c r="H11" s="894">
        <f>(vkm_2011_SW_ZV*SUMIFS(TableVerdeelsleutelVkm[PETROL],TableVerdeelsleutelVkm[Voertuigtype],"Zware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CS_PETROL")))*(1-$C$42)</f>
        <v>0</v>
      </c>
      <c r="I11" s="453"/>
      <c r="J11" s="453"/>
      <c r="K11" s="453"/>
      <c r="L11" s="453"/>
      <c r="M11" s="453">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CS_DIESEL")))*($C$35)
+(vkm_2011_SW_ZV*SUMIFS(TableVerdeelsleutelVkm[PETROL],TableVerdeelsleutelVkm[Voertuigtype],"Zware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CS_PETROL")))*($C$42)</f>
        <v>0</v>
      </c>
      <c r="N11" s="453"/>
      <c r="O11" s="453"/>
      <c r="P11" s="455"/>
      <c r="R11" s="889"/>
    </row>
    <row r="12" spans="1:18">
      <c r="A12" s="331" t="s">
        <v>554</v>
      </c>
      <c r="B12" s="463">
        <f>('Eigen vloot'!B27)*(-1)</f>
        <v>0</v>
      </c>
      <c r="C12" s="463"/>
      <c r="D12" s="463">
        <f>('Eigen vloot'!D27)*(-1)</f>
        <v>0</v>
      </c>
      <c r="E12" s="463">
        <f>('Eigen vloot'!E27)*(-1)</f>
        <v>0</v>
      </c>
      <c r="F12" s="456"/>
      <c r="G12" s="463">
        <f>('Eigen vloot'!G27)*(-1)</f>
        <v>0</v>
      </c>
      <c r="H12" s="463">
        <f>('Eigen vloot'!H27)*(-1)</f>
        <v>0</v>
      </c>
      <c r="I12" s="463"/>
      <c r="J12" s="463"/>
      <c r="K12" s="463"/>
      <c r="L12" s="463"/>
      <c r="M12" s="463">
        <f>('Eigen vloot'!M27)*(-1)</f>
        <v>0</v>
      </c>
      <c r="N12" s="463"/>
      <c r="O12" s="463"/>
      <c r="P12" s="466"/>
    </row>
    <row r="13" spans="1:18">
      <c r="B13" s="11"/>
      <c r="C13" s="55"/>
      <c r="D13" s="55"/>
      <c r="E13" s="55"/>
      <c r="F13" s="55"/>
      <c r="G13" s="11"/>
      <c r="H13" s="11"/>
      <c r="I13" s="10"/>
      <c r="J13" s="11"/>
      <c r="K13" s="11"/>
      <c r="L13" s="11"/>
      <c r="M13" s="11"/>
      <c r="N13" s="11"/>
      <c r="O13" s="11"/>
      <c r="P13" s="11"/>
    </row>
    <row r="14" spans="1:18" s="15" customFormat="1">
      <c r="A14" s="20" t="s">
        <v>338</v>
      </c>
      <c r="B14" s="21">
        <f>((B5)*10^9/3600)+B12</f>
        <v>4.9680040210265215</v>
      </c>
      <c r="C14" s="21"/>
      <c r="D14" s="21">
        <f t="shared" ref="D14:M14" si="0">((D5)*10^9/3600)+D12</f>
        <v>13.385346618294973</v>
      </c>
      <c r="E14" s="21">
        <f t="shared" si="0"/>
        <v>84.969624919485057</v>
      </c>
      <c r="F14" s="21"/>
      <c r="G14" s="21">
        <f t="shared" si="0"/>
        <v>23225.276240638719</v>
      </c>
      <c r="H14" s="21">
        <f t="shared" si="0"/>
        <v>5050.856514157711</v>
      </c>
      <c r="I14" s="21"/>
      <c r="J14" s="21"/>
      <c r="K14" s="21"/>
      <c r="L14" s="21"/>
      <c r="M14" s="21">
        <f t="shared" si="0"/>
        <v>1498.9617122470991</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214</v>
      </c>
      <c r="B16" s="56">
        <f ca="1">'EF ele_warmte'!B12</f>
        <v>0.20504171472650515</v>
      </c>
      <c r="C16" s="56">
        <f ca="1">'EF ele_warmte'!B22</f>
        <v>0</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340</v>
      </c>
      <c r="B18" s="23">
        <f ca="1">B14*B16</f>
        <v>1.0186480632394506</v>
      </c>
      <c r="C18" s="23"/>
      <c r="D18" s="23">
        <f t="shared" ref="D18:M18" si="1">D14*D16</f>
        <v>2.7038400168955845</v>
      </c>
      <c r="E18" s="23">
        <f t="shared" si="1"/>
        <v>19.288104856723109</v>
      </c>
      <c r="F18" s="23"/>
      <c r="G18" s="23">
        <f t="shared" si="1"/>
        <v>6201.1487562505381</v>
      </c>
      <c r="H18" s="23">
        <f t="shared" si="1"/>
        <v>1257.6632720252701</v>
      </c>
      <c r="I18" s="23"/>
      <c r="J18" s="23"/>
      <c r="K18" s="23"/>
      <c r="L18" s="23"/>
      <c r="M18" s="23">
        <f t="shared" si="1"/>
        <v>0</v>
      </c>
      <c r="N18" s="23"/>
      <c r="O18" s="23"/>
      <c r="P18" s="23"/>
    </row>
    <row r="19" spans="1:18" s="15" customFormat="1">
      <c r="A19" s="42"/>
      <c r="B19" s="311"/>
      <c r="C19" s="54"/>
      <c r="D19" s="54"/>
      <c r="E19" s="54"/>
      <c r="F19" s="54"/>
      <c r="G19" s="54"/>
      <c r="H19" s="54"/>
      <c r="I19" s="54"/>
      <c r="J19" s="54"/>
      <c r="K19" s="54"/>
      <c r="L19" s="54"/>
      <c r="M19" s="54"/>
      <c r="N19" s="54"/>
      <c r="O19" s="54"/>
      <c r="P19" s="54"/>
      <c r="R19" s="32"/>
    </row>
    <row r="20" spans="1:18">
      <c r="A20" s="1"/>
      <c r="B20" s="1"/>
      <c r="E20" s="780"/>
    </row>
    <row r="21" spans="1:18">
      <c r="A21" s="262" t="s">
        <v>505</v>
      </c>
      <c r="B21" s="263"/>
      <c r="C21" s="264"/>
      <c r="D21" s="264"/>
      <c r="E21" s="264"/>
      <c r="F21" s="264"/>
      <c r="G21" s="264"/>
      <c r="H21" s="264"/>
      <c r="I21" s="264"/>
      <c r="J21" s="264"/>
      <c r="K21" s="264"/>
      <c r="L21" s="264"/>
      <c r="M21" s="264"/>
      <c r="N21" s="265"/>
    </row>
    <row r="22" spans="1:18">
      <c r="A22" s="259"/>
      <c r="B22" s="260"/>
      <c r="C22" s="43"/>
      <c r="D22" s="43"/>
      <c r="E22" s="43"/>
      <c r="F22" s="43"/>
      <c r="G22" s="43"/>
      <c r="H22" s="43"/>
      <c r="I22" s="43"/>
      <c r="J22" s="43"/>
      <c r="K22" s="43"/>
      <c r="L22" s="43"/>
      <c r="M22" s="43"/>
      <c r="N22" s="174"/>
    </row>
    <row r="23" spans="1:18">
      <c r="A23" s="267" t="s">
        <v>308</v>
      </c>
      <c r="B23" s="930" t="s">
        <v>309</v>
      </c>
      <c r="C23" s="930" t="s">
        <v>721</v>
      </c>
      <c r="D23" s="930" t="s">
        <v>722</v>
      </c>
      <c r="E23" s="930" t="s">
        <v>723</v>
      </c>
      <c r="F23" s="930" t="s">
        <v>664</v>
      </c>
      <c r="G23" s="930" t="s">
        <v>724</v>
      </c>
      <c r="H23" s="930" t="s">
        <v>725</v>
      </c>
      <c r="I23" s="930" t="s">
        <v>119</v>
      </c>
      <c r="J23" s="930" t="s">
        <v>726</v>
      </c>
      <c r="K23" s="930" t="s">
        <v>727</v>
      </c>
      <c r="L23" s="931" t="s">
        <v>728</v>
      </c>
      <c r="M23" s="129" t="s">
        <v>182</v>
      </c>
      <c r="N23" s="268" t="s">
        <v>316</v>
      </c>
    </row>
    <row r="24" spans="1:18">
      <c r="A24" s="32" t="s">
        <v>713</v>
      </c>
      <c r="B24" s="915">
        <v>4.7137302752526942E-4</v>
      </c>
      <c r="C24" s="915">
        <v>0.78312639218609637</v>
      </c>
      <c r="D24" s="891"/>
      <c r="E24" s="915"/>
      <c r="F24" s="915">
        <v>2.1362548972680221E-5</v>
      </c>
      <c r="G24" s="915">
        <v>5.8046197169815531E-4</v>
      </c>
      <c r="H24" s="891"/>
      <c r="I24" s="891">
        <v>3.4791536472286735E-3</v>
      </c>
      <c r="J24" s="891">
        <v>0.20928733532343941</v>
      </c>
      <c r="K24" s="891">
        <v>3.6143832667378199E-3</v>
      </c>
      <c r="M24" s="269" t="s">
        <v>749</v>
      </c>
      <c r="N24" s="892">
        <f>SUM(B24:K24)</f>
        <v>1.0005804619716985</v>
      </c>
      <c r="O24" s="889" t="s">
        <v>665</v>
      </c>
    </row>
    <row r="25" spans="1:18">
      <c r="A25" s="32" t="s">
        <v>714</v>
      </c>
      <c r="B25" s="891" t="s">
        <v>750</v>
      </c>
      <c r="C25" s="915">
        <v>0.99948214585770268</v>
      </c>
      <c r="D25" s="891"/>
      <c r="E25" s="891"/>
      <c r="F25" s="915" t="s">
        <v>750</v>
      </c>
      <c r="G25" s="891" t="s">
        <v>750</v>
      </c>
      <c r="H25" s="891"/>
      <c r="I25" s="891" t="s">
        <v>750</v>
      </c>
      <c r="J25" s="891">
        <v>5.1785414229734263E-4</v>
      </c>
      <c r="K25" s="891" t="s">
        <v>750</v>
      </c>
      <c r="M25" s="269" t="s">
        <v>749</v>
      </c>
      <c r="N25" s="270">
        <f>SUM(B25:K25)</f>
        <v>1</v>
      </c>
    </row>
    <row r="26" spans="1:18">
      <c r="A26" s="240"/>
      <c r="B26" s="180"/>
      <c r="C26" s="180"/>
      <c r="D26" s="180"/>
      <c r="E26" s="180"/>
      <c r="F26" s="180"/>
      <c r="G26" s="180"/>
      <c r="H26" s="180"/>
      <c r="I26" s="180"/>
      <c r="J26" s="180"/>
      <c r="K26" s="180"/>
      <c r="L26" s="178"/>
      <c r="M26" s="178"/>
      <c r="N26" s="176"/>
    </row>
    <row r="27" spans="1:18" s="43" customFormat="1"/>
    <row r="28" spans="1:18">
      <c r="A28" s="262" t="s">
        <v>506</v>
      </c>
      <c r="B28" s="264"/>
      <c r="C28" s="264"/>
      <c r="D28" s="264"/>
      <c r="E28" s="264"/>
      <c r="F28" s="264"/>
      <c r="G28" s="264"/>
      <c r="H28" s="264"/>
      <c r="I28" s="264"/>
      <c r="J28" s="264"/>
      <c r="K28" s="264"/>
      <c r="L28" s="265"/>
    </row>
    <row r="29" spans="1:18">
      <c r="A29" s="261"/>
      <c r="B29" s="266"/>
      <c r="C29" s="266"/>
      <c r="D29" s="266"/>
      <c r="E29" s="266"/>
      <c r="F29" s="43"/>
      <c r="G29" s="43"/>
      <c r="H29" s="43"/>
      <c r="I29" s="43"/>
      <c r="J29" s="43"/>
      <c r="K29" s="43"/>
      <c r="L29" s="174"/>
    </row>
    <row r="30" spans="1:18">
      <c r="A30" s="448" t="s">
        <v>202</v>
      </c>
      <c r="B30" s="274" t="s">
        <v>318</v>
      </c>
      <c r="C30" s="888">
        <v>2014</v>
      </c>
      <c r="D30" s="274" t="s">
        <v>319</v>
      </c>
      <c r="E30" s="243" t="s">
        <v>182</v>
      </c>
      <c r="F30" s="271"/>
      <c r="G30" s="243"/>
      <c r="H30" s="243"/>
      <c r="I30" s="243"/>
      <c r="J30" s="243"/>
      <c r="K30" s="243"/>
      <c r="L30" s="272"/>
    </row>
    <row r="31" spans="1:18">
      <c r="A31" s="275" t="s">
        <v>320</v>
      </c>
      <c r="B31" s="276"/>
      <c r="C31" s="277"/>
      <c r="D31" s="276">
        <v>4.2694999999999997E-2</v>
      </c>
      <c r="E31" s="927" t="s">
        <v>764</v>
      </c>
      <c r="F31" s="53"/>
      <c r="G31" s="43"/>
      <c r="H31" s="43"/>
      <c r="I31" s="43"/>
      <c r="J31" s="43"/>
      <c r="K31" s="43"/>
      <c r="L31" s="174"/>
    </row>
    <row r="32" spans="1:18">
      <c r="A32" s="278" t="s">
        <v>321</v>
      </c>
      <c r="B32" s="279"/>
      <c r="C32" s="280"/>
      <c r="D32" s="279">
        <v>3.73E-2</v>
      </c>
      <c r="E32" s="927" t="s">
        <v>764</v>
      </c>
      <c r="F32" s="53"/>
      <c r="G32" s="43"/>
      <c r="H32" s="43"/>
      <c r="I32" s="43"/>
      <c r="J32" s="43"/>
      <c r="K32" s="43"/>
      <c r="L32" s="174"/>
    </row>
    <row r="33" spans="1:16">
      <c r="A33" s="278" t="s">
        <v>322</v>
      </c>
      <c r="B33" s="281"/>
      <c r="C33" s="282"/>
      <c r="D33" s="58"/>
      <c r="E33" s="926"/>
      <c r="F33" s="53"/>
      <c r="G33" s="43"/>
      <c r="H33" s="43"/>
      <c r="I33" s="43"/>
      <c r="J33" s="43"/>
      <c r="K33" s="43"/>
      <c r="L33" s="174"/>
    </row>
    <row r="34" spans="1:16">
      <c r="A34" s="278" t="s">
        <v>323</v>
      </c>
      <c r="B34" s="281"/>
      <c r="C34" s="283">
        <v>6.2100000000000002E-2</v>
      </c>
      <c r="D34" s="58"/>
      <c r="E34" s="927" t="s">
        <v>751</v>
      </c>
      <c r="F34" s="53"/>
      <c r="G34" s="43"/>
      <c r="H34" s="43"/>
      <c r="I34" s="43"/>
      <c r="J34" s="43"/>
      <c r="K34" s="43"/>
      <c r="L34" s="174"/>
    </row>
    <row r="35" spans="1:16">
      <c r="A35" s="278" t="s">
        <v>324</v>
      </c>
      <c r="B35" s="281"/>
      <c r="C35" s="283">
        <f>1/(1+((1/C34-1)*($D$31/$D$32)))</f>
        <v>5.4682049412664246E-2</v>
      </c>
      <c r="D35" s="58"/>
      <c r="E35" s="154"/>
      <c r="F35" s="53"/>
      <c r="G35" s="43"/>
      <c r="H35" s="43"/>
      <c r="I35" s="43"/>
      <c r="J35" s="43"/>
      <c r="K35" s="43"/>
      <c r="L35" s="174"/>
    </row>
    <row r="36" spans="1:16">
      <c r="A36" s="261"/>
      <c r="B36" s="43"/>
      <c r="C36" s="43"/>
      <c r="D36" s="43"/>
      <c r="E36" s="154"/>
      <c r="F36" s="53"/>
      <c r="G36" s="43"/>
      <c r="H36" s="43"/>
      <c r="I36" s="43"/>
      <c r="J36" s="43"/>
      <c r="K36" s="43"/>
      <c r="L36" s="174"/>
    </row>
    <row r="37" spans="1:16">
      <c r="A37" s="448" t="s">
        <v>120</v>
      </c>
      <c r="B37" s="274" t="s">
        <v>318</v>
      </c>
      <c r="C37" s="888">
        <v>2014</v>
      </c>
      <c r="D37" s="274" t="s">
        <v>319</v>
      </c>
      <c r="E37" s="928" t="s">
        <v>182</v>
      </c>
      <c r="F37" s="286"/>
      <c r="G37" s="267"/>
      <c r="H37" s="267"/>
      <c r="I37" s="267"/>
      <c r="J37" s="267"/>
      <c r="K37" s="267"/>
      <c r="L37" s="268"/>
    </row>
    <row r="38" spans="1:16">
      <c r="A38" s="278" t="s">
        <v>325</v>
      </c>
      <c r="B38" s="279"/>
      <c r="C38" s="280"/>
      <c r="D38" s="279">
        <v>4.3774E-2</v>
      </c>
      <c r="E38" s="927" t="s">
        <v>764</v>
      </c>
      <c r="F38" s="282"/>
      <c r="G38" s="58"/>
      <c r="H38" s="58"/>
      <c r="I38" s="58"/>
      <c r="J38" s="58"/>
      <c r="K38" s="58"/>
      <c r="L38" s="284"/>
    </row>
    <row r="39" spans="1:16">
      <c r="A39" s="278" t="s">
        <v>326</v>
      </c>
      <c r="B39" s="279"/>
      <c r="C39" s="280"/>
      <c r="D39" s="279">
        <v>2.8799999999999999E-2</v>
      </c>
      <c r="E39" s="927" t="s">
        <v>764</v>
      </c>
      <c r="F39" s="282"/>
      <c r="G39" s="58"/>
      <c r="H39" s="58"/>
      <c r="I39" s="58"/>
      <c r="J39" s="58"/>
      <c r="K39" s="58"/>
      <c r="L39" s="284"/>
    </row>
    <row r="40" spans="1:16">
      <c r="A40" s="278" t="s">
        <v>322</v>
      </c>
      <c r="B40" s="281"/>
      <c r="C40" s="282"/>
      <c r="D40" s="282"/>
      <c r="E40" s="927"/>
      <c r="F40" s="58"/>
      <c r="G40" s="58"/>
      <c r="H40" s="58"/>
      <c r="I40" s="58"/>
      <c r="J40" s="58"/>
      <c r="K40" s="58"/>
      <c r="L40" s="284"/>
    </row>
    <row r="41" spans="1:16">
      <c r="A41" s="278" t="s">
        <v>327</v>
      </c>
      <c r="B41" s="281"/>
      <c r="C41" s="283">
        <v>4.4699999999999997E-2</v>
      </c>
      <c r="D41" s="282"/>
      <c r="E41" s="927" t="s">
        <v>751</v>
      </c>
      <c r="F41" s="58"/>
      <c r="G41" s="58"/>
      <c r="H41" s="58"/>
      <c r="I41" s="58"/>
      <c r="J41" s="58"/>
      <c r="K41" s="58"/>
      <c r="L41" s="284"/>
    </row>
    <row r="42" spans="1:16">
      <c r="A42" s="278" t="s">
        <v>324</v>
      </c>
      <c r="B42" s="281"/>
      <c r="C42" s="283">
        <f>1/(1+((1/C41-1)*($D$38/$D$39)))</f>
        <v>2.9865910885157106E-2</v>
      </c>
      <c r="D42" s="282"/>
      <c r="E42" s="154"/>
      <c r="F42" s="58"/>
      <c r="G42" s="285"/>
      <c r="H42" s="58"/>
      <c r="I42" s="58"/>
      <c r="J42" s="58"/>
      <c r="K42" s="58"/>
      <c r="L42" s="284"/>
    </row>
    <row r="43" spans="1:16">
      <c r="A43" s="4"/>
      <c r="B43" s="178"/>
      <c r="C43" s="178"/>
      <c r="D43" s="178"/>
      <c r="E43" s="178"/>
      <c r="F43" s="178"/>
      <c r="G43" s="178"/>
      <c r="H43" s="178"/>
      <c r="I43" s="178"/>
      <c r="J43" s="178"/>
      <c r="K43" s="178"/>
      <c r="L43" s="176"/>
    </row>
    <row r="44" spans="1:16" s="43" customFormat="1"/>
    <row r="45" spans="1:16" s="43" customFormat="1" ht="15.75" thickBot="1">
      <c r="A45" s="178"/>
      <c r="B45" s="178"/>
      <c r="C45" s="178"/>
      <c r="D45" s="178"/>
      <c r="E45" s="178"/>
      <c r="F45" s="178"/>
      <c r="G45" s="178"/>
      <c r="H45" s="178"/>
      <c r="I45" s="178"/>
      <c r="J45" s="178"/>
      <c r="K45" s="178"/>
      <c r="L45" s="178"/>
    </row>
    <row r="46" spans="1:16" s="15" customFormat="1" ht="17.25" thickTop="1" thickBot="1">
      <c r="A46" s="1236" t="s">
        <v>504</v>
      </c>
      <c r="B46" s="1237" t="s">
        <v>555</v>
      </c>
      <c r="C46" s="1238"/>
      <c r="D46" s="1238"/>
      <c r="E46" s="1238"/>
      <c r="F46" s="1238"/>
      <c r="G46" s="1238"/>
      <c r="H46" s="1238"/>
      <c r="I46" s="1238"/>
      <c r="J46" s="1238"/>
      <c r="K46" s="1238"/>
      <c r="L46" s="1238"/>
      <c r="M46" s="1238"/>
      <c r="N46" s="1238"/>
      <c r="O46" s="1238"/>
      <c r="P46" s="1238"/>
    </row>
    <row r="47" spans="1:16" s="15" customFormat="1" ht="15.75" thickTop="1">
      <c r="A47" s="1236"/>
      <c r="B47" s="1239" t="s">
        <v>21</v>
      </c>
      <c r="C47" s="1239" t="s">
        <v>196</v>
      </c>
      <c r="D47" s="1241" t="s">
        <v>197</v>
      </c>
      <c r="E47" s="1242"/>
      <c r="F47" s="1242"/>
      <c r="G47" s="1242"/>
      <c r="H47" s="1242"/>
      <c r="I47" s="1242"/>
      <c r="J47" s="1242"/>
      <c r="K47" s="1243"/>
      <c r="L47" s="1241" t="s">
        <v>198</v>
      </c>
      <c r="M47" s="1242"/>
      <c r="N47" s="1242"/>
      <c r="O47" s="1242"/>
      <c r="P47" s="1243"/>
    </row>
    <row r="48" spans="1:16" s="15" customFormat="1" ht="45">
      <c r="A48" s="1236"/>
      <c r="B48" s="1240"/>
      <c r="C48" s="1240"/>
      <c r="D48" s="12" t="s">
        <v>199</v>
      </c>
      <c r="E48" s="12" t="s">
        <v>200</v>
      </c>
      <c r="F48" s="12" t="s">
        <v>201</v>
      </c>
      <c r="G48" s="12" t="s">
        <v>202</v>
      </c>
      <c r="H48" s="12" t="s">
        <v>120</v>
      </c>
      <c r="I48" s="12" t="s">
        <v>203</v>
      </c>
      <c r="J48" s="12" t="s">
        <v>204</v>
      </c>
      <c r="K48" s="12" t="s">
        <v>205</v>
      </c>
      <c r="L48" s="12" t="s">
        <v>206</v>
      </c>
      <c r="M48" s="12" t="s">
        <v>207</v>
      </c>
      <c r="N48" s="12" t="s">
        <v>208</v>
      </c>
      <c r="O48" s="12" t="s">
        <v>209</v>
      </c>
      <c r="P48" s="12" t="s">
        <v>210</v>
      </c>
    </row>
    <row r="49" spans="1:18" s="15" customFormat="1">
      <c r="A49" s="42"/>
      <c r="B49" s="54"/>
      <c r="C49" s="54"/>
      <c r="D49" s="54"/>
      <c r="E49" s="54"/>
      <c r="F49" s="54"/>
      <c r="G49" s="54"/>
      <c r="H49" s="54"/>
      <c r="I49" s="54"/>
      <c r="J49" s="54"/>
      <c r="K49" s="54"/>
      <c r="L49" s="54"/>
      <c r="M49" s="54"/>
      <c r="N49" s="54"/>
      <c r="O49" s="54"/>
      <c r="P49" s="54"/>
      <c r="R49" s="32"/>
    </row>
    <row r="50" spans="1:18" s="299" customFormat="1">
      <c r="A50" s="298" t="s">
        <v>332</v>
      </c>
      <c r="B50" s="321">
        <f>SUM(B51:B52)</f>
        <v>0</v>
      </c>
      <c r="C50" s="321">
        <f t="shared" ref="C50:P50" si="2">SUM(C51:C52)</f>
        <v>0</v>
      </c>
      <c r="D50" s="321">
        <f t="shared" si="2"/>
        <v>0</v>
      </c>
      <c r="E50" s="321">
        <f t="shared" si="2"/>
        <v>0</v>
      </c>
      <c r="F50" s="321">
        <f t="shared" si="2"/>
        <v>0</v>
      </c>
      <c r="G50" s="321">
        <f t="shared" si="2"/>
        <v>1.5172370650899042E-3</v>
      </c>
      <c r="H50" s="321">
        <f t="shared" si="2"/>
        <v>0</v>
      </c>
      <c r="I50" s="321">
        <f t="shared" si="2"/>
        <v>0</v>
      </c>
      <c r="J50" s="321">
        <f t="shared" si="2"/>
        <v>0</v>
      </c>
      <c r="K50" s="321">
        <f t="shared" si="2"/>
        <v>0</v>
      </c>
      <c r="L50" s="321">
        <f t="shared" si="2"/>
        <v>0</v>
      </c>
      <c r="M50" s="321">
        <f t="shared" si="2"/>
        <v>8.6523606837103962E-5</v>
      </c>
      <c r="N50" s="321">
        <f t="shared" si="2"/>
        <v>0</v>
      </c>
      <c r="O50" s="321">
        <f t="shared" si="2"/>
        <v>0</v>
      </c>
      <c r="P50" s="322">
        <f t="shared" si="2"/>
        <v>0</v>
      </c>
    </row>
    <row r="51" spans="1:18">
      <c r="A51" s="261" t="s">
        <v>331</v>
      </c>
      <c r="B51" s="323"/>
      <c r="C51" s="324"/>
      <c r="D51" s="324"/>
      <c r="E51" s="324"/>
      <c r="F51" s="324"/>
      <c r="G51" s="323">
        <f>vkm_2011_bus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CS_DIESEL")*0.5+SUMIFS(TableECFTransport[EnergieConsumptieFactor (PJ per km)],TableECFTransport[Index],"BUS_Genummerde wegen_DIESEL HYBRID CS_DIESEL")*0.5))
*(1-$C$78)</f>
        <v>1.5172370650899042E-3</v>
      </c>
      <c r="H51" s="323"/>
      <c r="I51" s="325"/>
      <c r="J51" s="323"/>
      <c r="K51" s="323"/>
      <c r="L51" s="323"/>
      <c r="M51" s="323">
        <f>vkm_2011_bus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8.6523606837103962E-5</v>
      </c>
      <c r="N51" s="323"/>
      <c r="O51" s="323"/>
      <c r="P51" s="326"/>
    </row>
    <row r="52" spans="1:18">
      <c r="A52" s="4" t="s">
        <v>330</v>
      </c>
      <c r="B52" s="894">
        <f>vkm_2011_tram*SUMIFS(TableECFTransport[EnergieConsumptieFactor (PJ per km)],TableECFTransport[Index],"Tram_gemiddeld_Electric_Electric")</f>
        <v>0</v>
      </c>
      <c r="C52" s="328"/>
      <c r="D52" s="328"/>
      <c r="E52" s="328"/>
      <c r="F52" s="328"/>
      <c r="G52" s="327"/>
      <c r="H52" s="327"/>
      <c r="I52" s="329"/>
      <c r="J52" s="327"/>
      <c r="K52" s="327"/>
      <c r="L52" s="327"/>
      <c r="M52" s="327"/>
      <c r="N52" s="327"/>
      <c r="O52" s="327"/>
      <c r="P52" s="330"/>
    </row>
    <row r="53" spans="1:18">
      <c r="B53" s="11"/>
      <c r="C53" s="55"/>
      <c r="D53" s="55"/>
      <c r="E53" s="55"/>
      <c r="F53" s="55"/>
      <c r="G53" s="11"/>
      <c r="H53" s="11"/>
      <c r="I53" s="10"/>
      <c r="J53" s="11"/>
      <c r="K53" s="11"/>
      <c r="L53" s="11"/>
      <c r="M53" s="11"/>
      <c r="N53" s="11"/>
      <c r="O53" s="11"/>
      <c r="P53" s="11"/>
    </row>
    <row r="54" spans="1:18" s="15" customFormat="1">
      <c r="A54" s="20" t="s">
        <v>339</v>
      </c>
      <c r="B54" s="21">
        <f>(B50)*10^9/3600</f>
        <v>0</v>
      </c>
      <c r="C54" s="21">
        <f t="shared" ref="C54:P54" si="3">(C50)*10^9/3600</f>
        <v>0</v>
      </c>
      <c r="D54" s="21">
        <f t="shared" si="3"/>
        <v>0</v>
      </c>
      <c r="E54" s="21">
        <f t="shared" si="3"/>
        <v>0</v>
      </c>
      <c r="F54" s="21">
        <f t="shared" si="3"/>
        <v>0</v>
      </c>
      <c r="G54" s="21">
        <f t="shared" si="3"/>
        <v>421.45474030275119</v>
      </c>
      <c r="H54" s="21">
        <f t="shared" si="3"/>
        <v>0</v>
      </c>
      <c r="I54" s="21">
        <f t="shared" si="3"/>
        <v>0</v>
      </c>
      <c r="J54" s="21">
        <f t="shared" si="3"/>
        <v>0</v>
      </c>
      <c r="K54" s="21">
        <f t="shared" si="3"/>
        <v>0</v>
      </c>
      <c r="L54" s="21">
        <f t="shared" si="3"/>
        <v>0</v>
      </c>
      <c r="M54" s="21">
        <f t="shared" si="3"/>
        <v>24.034335232528878</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214</v>
      </c>
      <c r="B56" s="56">
        <f ca="1">'EF ele_warmte'!B12</f>
        <v>0.20504171472650515</v>
      </c>
      <c r="C56" s="56">
        <f ca="1">'EF ele_warmte'!B22</f>
        <v>0</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341</v>
      </c>
      <c r="B58" s="23">
        <f ca="1">B54*B56</f>
        <v>0</v>
      </c>
      <c r="C58" s="23">
        <f t="shared" ref="C58:P58" ca="1" si="4">C54*C56</f>
        <v>0</v>
      </c>
      <c r="D58" s="23">
        <f t="shared" si="4"/>
        <v>0</v>
      </c>
      <c r="E58" s="23">
        <f t="shared" si="4"/>
        <v>0</v>
      </c>
      <c r="F58" s="23">
        <f t="shared" si="4"/>
        <v>0</v>
      </c>
      <c r="G58" s="23">
        <f t="shared" si="4"/>
        <v>112.52841566083457</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62" t="s">
        <v>569</v>
      </c>
      <c r="B61" s="264"/>
      <c r="C61" s="265"/>
    </row>
    <row r="62" spans="1:18" s="15" customFormat="1">
      <c r="A62" s="294"/>
      <c r="B62" s="290"/>
      <c r="C62" s="295"/>
    </row>
    <row r="63" spans="1:18">
      <c r="A63" s="296"/>
      <c r="B63" s="133"/>
      <c r="C63" s="297" t="s">
        <v>182</v>
      </c>
    </row>
    <row r="64" spans="1:18">
      <c r="A64" s="288" t="s">
        <v>202</v>
      </c>
      <c r="B64" s="291">
        <f>100%-B65</f>
        <v>0.97799999999999998</v>
      </c>
      <c r="C64" s="174"/>
    </row>
    <row r="65" spans="1:12">
      <c r="A65" s="288" t="s">
        <v>333</v>
      </c>
      <c r="B65" s="300">
        <v>2.1999999999999999E-2</v>
      </c>
      <c r="C65" s="174" t="s">
        <v>785</v>
      </c>
    </row>
    <row r="66" spans="1:12" s="15" customFormat="1">
      <c r="A66" s="289"/>
      <c r="B66" s="269"/>
      <c r="C66" s="232"/>
    </row>
    <row r="67" spans="1:12">
      <c r="A67" s="292" t="s">
        <v>316</v>
      </c>
      <c r="B67" s="293">
        <f>SUM(B64:B65)</f>
        <v>1</v>
      </c>
      <c r="C67" s="176"/>
    </row>
    <row r="70" spans="1:12">
      <c r="A70" s="262" t="s">
        <v>506</v>
      </c>
      <c r="B70" s="264"/>
      <c r="C70" s="264"/>
      <c r="D70" s="264"/>
      <c r="E70" s="264"/>
      <c r="F70" s="264"/>
      <c r="G70" s="264"/>
      <c r="H70" s="264"/>
      <c r="I70" s="264"/>
      <c r="J70" s="264"/>
      <c r="K70" s="264"/>
      <c r="L70" s="265"/>
    </row>
    <row r="71" spans="1:12">
      <c r="A71" s="446" t="s">
        <v>570</v>
      </c>
    </row>
    <row r="72" spans="1:12">
      <c r="A72" s="261"/>
      <c r="B72" s="266"/>
      <c r="C72" s="266"/>
      <c r="D72" s="266"/>
      <c r="E72" s="266"/>
    </row>
    <row r="73" spans="1:12">
      <c r="A73" s="273"/>
      <c r="B73" s="274" t="s">
        <v>318</v>
      </c>
      <c r="C73" s="888">
        <v>2014</v>
      </c>
      <c r="D73" s="274" t="s">
        <v>319</v>
      </c>
      <c r="E73" s="243" t="s">
        <v>182</v>
      </c>
    </row>
    <row r="74" spans="1:12">
      <c r="A74" t="str">
        <f t="shared" ref="A74:E77" si="5">A31</f>
        <v>diesel</v>
      </c>
      <c r="B74" s="444"/>
      <c r="C74" s="444"/>
      <c r="D74" s="444">
        <f t="shared" si="5"/>
        <v>4.2694999999999997E-2</v>
      </c>
      <c r="E74" s="11" t="str">
        <f t="shared" si="5"/>
        <v>COPERT 4.11</v>
      </c>
    </row>
    <row r="75" spans="1:12">
      <c r="A75" t="str">
        <f t="shared" si="5"/>
        <v>biodiesel</v>
      </c>
      <c r="B75" s="444"/>
      <c r="C75" s="444"/>
      <c r="D75" s="444">
        <f t="shared" si="5"/>
        <v>3.73E-2</v>
      </c>
      <c r="E75" s="11" t="str">
        <f t="shared" si="5"/>
        <v>COPERT 4.11</v>
      </c>
    </row>
    <row r="76" spans="1:12">
      <c r="A76" t="str">
        <f>A33</f>
        <v>vol% liter</v>
      </c>
      <c r="B76" s="444"/>
      <c r="C76" s="445"/>
      <c r="D76" s="444"/>
      <c r="E76" s="11"/>
    </row>
    <row r="77" spans="1:12">
      <c r="A77" t="str">
        <f>A34</f>
        <v>gew% kg</v>
      </c>
      <c r="B77" s="444"/>
      <c r="C77" s="447">
        <f>C34</f>
        <v>6.2100000000000002E-2</v>
      </c>
      <c r="D77" s="444"/>
      <c r="E77" s="11" t="str">
        <f t="shared" si="5"/>
        <v>Data VMM februari 2017</v>
      </c>
    </row>
    <row r="78" spans="1:12">
      <c r="A78" t="str">
        <f>A35</f>
        <v>J%</v>
      </c>
      <c r="B78" s="444"/>
      <c r="C78" s="447">
        <f>C35</f>
        <v>5.4682049412664246E-2</v>
      </c>
      <c r="D78" s="444"/>
    </row>
    <row r="79" spans="1:12">
      <c r="B79" s="444"/>
      <c r="C79" s="444"/>
      <c r="D79" s="444"/>
    </row>
  </sheetData>
  <mergeCells count="12">
    <mergeCell ref="A1:A3"/>
    <mergeCell ref="B2:B3"/>
    <mergeCell ref="C2:C3"/>
    <mergeCell ref="D2:K2"/>
    <mergeCell ref="L2:P2"/>
    <mergeCell ref="B1:P1"/>
    <mergeCell ref="A46:A48"/>
    <mergeCell ref="B46:P46"/>
    <mergeCell ref="B47:B48"/>
    <mergeCell ref="C47:C48"/>
    <mergeCell ref="D47:K47"/>
    <mergeCell ref="L47:P47"/>
  </mergeCells>
  <dataValidations disablePrompts="1" count="1">
    <dataValidation type="list" allowBlank="1" showInputMessage="1" showErrorMessage="1" sqref="B47:D48 B2:D3">
      <formula1>#REF!</formula1>
    </dataValidation>
  </dataValidations>
  <pageMargins left="0.7" right="0.7" top="0.75" bottom="0.75" header="0.3" footer="0.3"/>
  <pageSetup paperSize="9" orientation="portrait" r:id="rId1"/>
  <legacyDrawing r:id="rId2"/>
  <tableParts count="1">
    <tablePart r:id="rId3"/>
  </tableParts>
</worksheet>
</file>

<file path=xl/worksheets/sheet30.xml><?xml version="1.0" encoding="utf-8"?>
<worksheet xmlns="http://schemas.openxmlformats.org/spreadsheetml/2006/main" xmlns:r="http://schemas.openxmlformats.org/officeDocument/2006/relationships">
  <sheetPr codeName="Sheet9">
    <tabColor theme="5" tint="-0.249977111117893"/>
  </sheetPr>
  <dimension ref="A1:AA104"/>
  <sheetViews>
    <sheetView showGridLines="0" zoomScale="65" zoomScaleNormal="65" workbookViewId="0">
      <selection activeCell="B63" sqref="B63:Z63"/>
    </sheetView>
  </sheetViews>
  <sheetFormatPr defaultColWidth="9.140625" defaultRowHeight="15"/>
  <cols>
    <col min="1" max="1" width="38" style="629" customWidth="1"/>
    <col min="2" max="2" width="27" style="629" customWidth="1"/>
    <col min="3" max="3" width="25.42578125" style="629" customWidth="1"/>
    <col min="4" max="4" width="41.28515625" style="629" customWidth="1"/>
    <col min="5" max="5" width="27.5703125" style="629" customWidth="1"/>
    <col min="6" max="7" width="18" style="629" customWidth="1"/>
    <col min="8" max="8" width="23.42578125" style="629" customWidth="1"/>
    <col min="9" max="9" width="28.5703125" style="629" customWidth="1"/>
    <col min="10" max="10" width="35.28515625" style="629" customWidth="1"/>
    <col min="11" max="11" width="32.7109375" style="629" customWidth="1"/>
    <col min="12" max="14" width="23.85546875" style="629" customWidth="1"/>
    <col min="15" max="15" width="21.140625" style="629" customWidth="1"/>
    <col min="16" max="16" width="17.5703125" style="629" customWidth="1"/>
    <col min="17" max="17" width="22.85546875" style="629" customWidth="1"/>
    <col min="18" max="18" width="19.140625" style="629" customWidth="1"/>
    <col min="19" max="19" width="24.7109375" style="629" customWidth="1"/>
    <col min="20" max="20" width="9.140625" style="629"/>
    <col min="21" max="21" width="21.140625" style="629" customWidth="1"/>
    <col min="22" max="22" width="14.85546875" style="629" customWidth="1"/>
    <col min="23" max="23" width="16.140625" style="629" customWidth="1"/>
    <col min="24" max="24" width="14.7109375" style="629" customWidth="1"/>
    <col min="25" max="26" width="16.140625" style="629" customWidth="1"/>
    <col min="27" max="27" width="17.28515625" style="629" customWidth="1"/>
    <col min="28" max="28" width="16.85546875" style="629" customWidth="1"/>
    <col min="29" max="16384" width="9.140625" style="629"/>
  </cols>
  <sheetData>
    <row r="1" spans="1:21" s="560" customFormat="1" ht="17.45" customHeight="1" thickTop="1" thickBot="1">
      <c r="A1" s="1255" t="s">
        <v>241</v>
      </c>
      <c r="B1" s="1264" t="s">
        <v>242</v>
      </c>
      <c r="C1" s="1302" t="s">
        <v>243</v>
      </c>
      <c r="D1" s="1303"/>
      <c r="E1" s="1303"/>
      <c r="F1" s="1303"/>
      <c r="G1" s="1303"/>
      <c r="H1" s="1303"/>
      <c r="I1" s="1303"/>
      <c r="J1" s="1303"/>
      <c r="K1" s="1303"/>
      <c r="L1" s="1303"/>
      <c r="M1" s="1303"/>
      <c r="N1" s="1304"/>
      <c r="O1" s="1261" t="s">
        <v>244</v>
      </c>
      <c r="P1" s="1264" t="s">
        <v>557</v>
      </c>
      <c r="Q1" s="1261"/>
      <c r="S1" s="1267"/>
      <c r="T1" s="1267"/>
      <c r="U1" s="1267"/>
    </row>
    <row r="2" spans="1:21" s="560" customFormat="1" ht="15.75" thickBot="1">
      <c r="A2" s="1256"/>
      <c r="B2" s="1256"/>
      <c r="C2" s="1298" t="s">
        <v>197</v>
      </c>
      <c r="D2" s="1299"/>
      <c r="E2" s="1299"/>
      <c r="F2" s="1299"/>
      <c r="G2" s="1300"/>
      <c r="H2" s="1301" t="s">
        <v>245</v>
      </c>
      <c r="I2" s="1277" t="s">
        <v>246</v>
      </c>
      <c r="J2" s="1277" t="s">
        <v>234</v>
      </c>
      <c r="K2" s="1277" t="s">
        <v>247</v>
      </c>
      <c r="L2" s="1277" t="s">
        <v>127</v>
      </c>
      <c r="M2" s="1277" t="s">
        <v>870</v>
      </c>
      <c r="N2" s="1273" t="s">
        <v>871</v>
      </c>
      <c r="O2" s="1262"/>
      <c r="P2" s="1265"/>
      <c r="Q2" s="1262"/>
      <c r="S2" s="1267"/>
      <c r="T2" s="1267"/>
      <c r="U2" s="1267"/>
    </row>
    <row r="3" spans="1:21" s="560" customFormat="1" ht="53.45" customHeight="1" thickBot="1">
      <c r="A3" s="1257"/>
      <c r="B3" s="1266"/>
      <c r="C3" s="561" t="s">
        <v>199</v>
      </c>
      <c r="D3" s="1024" t="s">
        <v>200</v>
      </c>
      <c r="E3" s="562" t="s">
        <v>201</v>
      </c>
      <c r="F3" s="563" t="s">
        <v>203</v>
      </c>
      <c r="G3" s="564" t="s">
        <v>204</v>
      </c>
      <c r="H3" s="1272"/>
      <c r="I3" s="1278"/>
      <c r="J3" s="1278"/>
      <c r="K3" s="1278"/>
      <c r="L3" s="1278"/>
      <c r="M3" s="1278"/>
      <c r="N3" s="1274"/>
      <c r="O3" s="1263"/>
      <c r="P3" s="1266"/>
      <c r="Q3" s="1263"/>
      <c r="S3" s="1267"/>
      <c r="T3" s="1267"/>
      <c r="U3" s="1267"/>
    </row>
    <row r="4" spans="1:21" s="560" customFormat="1" ht="15.75" thickTop="1">
      <c r="A4" s="565" t="s">
        <v>249</v>
      </c>
      <c r="B4" s="566">
        <f>IF(ISERROR(kWh_wind_land),0,kWh_wind_land)</f>
        <v>0</v>
      </c>
      <c r="C4" s="1279"/>
      <c r="D4" s="1282"/>
      <c r="E4" s="1282"/>
      <c r="F4" s="1285"/>
      <c r="G4" s="1288"/>
      <c r="H4" s="1291"/>
      <c r="I4" s="1282"/>
      <c r="J4" s="1282"/>
      <c r="K4" s="1282"/>
      <c r="L4" s="1282"/>
      <c r="M4" s="1282"/>
      <c r="N4" s="1053"/>
      <c r="O4" s="567"/>
      <c r="P4" s="1294"/>
      <c r="Q4" s="1295"/>
      <c r="S4" s="1020"/>
      <c r="T4" s="1250"/>
      <c r="U4" s="1250"/>
    </row>
    <row r="5" spans="1:21" s="560" customFormat="1">
      <c r="A5" s="568" t="s">
        <v>250</v>
      </c>
      <c r="B5" s="566">
        <f>IF(ISERROR(kWh_waterkracht),0,kWh_waterkracht)</f>
        <v>0</v>
      </c>
      <c r="C5" s="1280"/>
      <c r="D5" s="1283"/>
      <c r="E5" s="1283"/>
      <c r="F5" s="1286"/>
      <c r="G5" s="1289"/>
      <c r="H5" s="1292"/>
      <c r="I5" s="1283"/>
      <c r="J5" s="1283"/>
      <c r="K5" s="1283"/>
      <c r="L5" s="1283"/>
      <c r="M5" s="1283"/>
      <c r="N5" s="1053"/>
      <c r="O5" s="569"/>
      <c r="P5" s="1275"/>
      <c r="Q5" s="1276"/>
      <c r="S5" s="1020"/>
      <c r="T5" s="1250"/>
      <c r="U5" s="1250"/>
    </row>
    <row r="6" spans="1:21" s="560" customFormat="1">
      <c r="A6" s="568" t="s">
        <v>251</v>
      </c>
      <c r="B6" s="566">
        <f>IF(ISERROR((kWh_PV_kleiner_dan_10kW+kWh_PV_groter_dan_10kW)),0,(kWh_PV_kleiner_dan_10kW+kWh_PV_groter_dan_10kW))</f>
        <v>4518.756950753982</v>
      </c>
      <c r="C6" s="1280"/>
      <c r="D6" s="1283"/>
      <c r="E6" s="1283"/>
      <c r="F6" s="1286"/>
      <c r="G6" s="1289"/>
      <c r="H6" s="1292"/>
      <c r="I6" s="1283"/>
      <c r="J6" s="1283"/>
      <c r="K6" s="1283"/>
      <c r="L6" s="1283"/>
      <c r="M6" s="1283"/>
      <c r="N6" s="1053"/>
      <c r="O6" s="569"/>
      <c r="P6" s="1275"/>
      <c r="Q6" s="1276"/>
      <c r="S6" s="1020"/>
      <c r="T6" s="1250"/>
      <c r="U6" s="1250"/>
    </row>
    <row r="7" spans="1:21" s="560" customFormat="1">
      <c r="A7" s="568" t="s">
        <v>867</v>
      </c>
      <c r="B7" s="566"/>
      <c r="C7" s="1281"/>
      <c r="D7" s="1284"/>
      <c r="E7" s="1284"/>
      <c r="F7" s="1287"/>
      <c r="G7" s="1290"/>
      <c r="H7" s="1293"/>
      <c r="I7" s="1284"/>
      <c r="J7" s="1284"/>
      <c r="K7" s="1284"/>
      <c r="L7" s="1284"/>
      <c r="M7" s="1284"/>
      <c r="N7" s="1054"/>
      <c r="O7" s="569"/>
      <c r="P7" s="1021"/>
      <c r="Q7" s="1022"/>
      <c r="S7" s="1020"/>
      <c r="T7" s="1020"/>
      <c r="U7" s="1020"/>
    </row>
    <row r="8" spans="1:21" s="560" customFormat="1">
      <c r="A8" s="570" t="s">
        <v>252</v>
      </c>
      <c r="B8" s="1055">
        <f>N58</f>
        <v>0</v>
      </c>
      <c r="C8" s="571">
        <f>B101</f>
        <v>0</v>
      </c>
      <c r="D8" s="1056"/>
      <c r="E8" s="1056">
        <f>E101</f>
        <v>0</v>
      </c>
      <c r="F8" s="1057"/>
      <c r="G8" s="572"/>
      <c r="H8" s="1056">
        <f>I101</f>
        <v>0</v>
      </c>
      <c r="I8" s="1056">
        <f>G101+F101</f>
        <v>0</v>
      </c>
      <c r="J8" s="1056">
        <f>H101+D101+C101</f>
        <v>0</v>
      </c>
      <c r="K8" s="1056"/>
      <c r="L8" s="1056"/>
      <c r="M8" s="1056"/>
      <c r="N8" s="573"/>
      <c r="O8" s="574">
        <f>C8*$C$12+D8*$D$12+E8*$E$12+F8*$F$12+G8*$G$12+H8*$H$12+I8*$I$12+J8*$J$12</f>
        <v>0</v>
      </c>
      <c r="P8" s="1275"/>
      <c r="Q8" s="1276"/>
      <c r="S8" s="1020"/>
      <c r="T8" s="1250"/>
      <c r="U8" s="1250"/>
    </row>
    <row r="9" spans="1:21" s="560" customFormat="1" ht="17.45" customHeight="1" thickBot="1">
      <c r="A9" s="575" t="s">
        <v>248</v>
      </c>
      <c r="B9" s="576">
        <f>N89+'Eigen informatie GS &amp; warmtenet'!B12</f>
        <v>0</v>
      </c>
      <c r="C9" s="577">
        <f>P89+IF(ISERROR(('Eigen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9" s="578">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9" s="578">
        <f>S89+IF(ISERROR('Eigen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9" s="578">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9" s="579">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9" s="578">
        <f>W89+IF(ISERROR('Eigen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9" s="578">
        <f>(T89+U89)+IF(ISERROR('Eigen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9" s="578">
        <f>V89+Q89+R89+IF(ISERROR('Eigen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9" s="580">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9" s="580">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9" s="580"/>
      <c r="N9" s="1058"/>
      <c r="O9" s="574">
        <f>C9*$C$12+D9*$D$12+E9*$E$12+F9*$F$12+G9*$G$12+H9*$H$12+I9*$I$12+J9*$J$12</f>
        <v>0</v>
      </c>
      <c r="P9" s="1296"/>
      <c r="Q9" s="1297"/>
      <c r="R9" s="581"/>
      <c r="S9" s="1020"/>
      <c r="T9" s="1250"/>
      <c r="U9" s="1250"/>
    </row>
    <row r="10" spans="1:21" s="560" customFormat="1" ht="16.5" thickTop="1" thickBot="1">
      <c r="A10" s="582" t="s">
        <v>116</v>
      </c>
      <c r="B10" s="583">
        <f>SUM(B4:B9)</f>
        <v>4518.756950753982</v>
      </c>
      <c r="C10" s="584">
        <f t="shared" ref="C10:L10" si="0">SUM(C8:C9)</f>
        <v>0</v>
      </c>
      <c r="D10" s="584">
        <f t="shared" si="0"/>
        <v>0</v>
      </c>
      <c r="E10" s="584">
        <f t="shared" si="0"/>
        <v>0</v>
      </c>
      <c r="F10" s="584">
        <f t="shared" si="0"/>
        <v>0</v>
      </c>
      <c r="G10" s="584">
        <f t="shared" si="0"/>
        <v>0</v>
      </c>
      <c r="H10" s="584">
        <f t="shared" si="0"/>
        <v>0</v>
      </c>
      <c r="I10" s="584">
        <f t="shared" si="0"/>
        <v>0</v>
      </c>
      <c r="J10" s="584">
        <f t="shared" si="0"/>
        <v>0</v>
      </c>
      <c r="K10" s="584">
        <f t="shared" si="0"/>
        <v>0</v>
      </c>
      <c r="L10" s="584">
        <f t="shared" si="0"/>
        <v>0</v>
      </c>
      <c r="M10" s="1059"/>
      <c r="N10" s="1059"/>
      <c r="O10" s="585">
        <f>SUM(O4:O9)</f>
        <v>0</v>
      </c>
      <c r="P10" s="586"/>
      <c r="R10" s="1018"/>
      <c r="S10" s="1020"/>
      <c r="T10" s="1018"/>
      <c r="U10" s="1018"/>
    </row>
    <row r="11" spans="1:21" s="589" customFormat="1" ht="15.75" thickTop="1">
      <c r="A11" s="587"/>
      <c r="B11" s="588"/>
      <c r="C11" s="588"/>
      <c r="D11" s="588"/>
      <c r="E11" s="588"/>
      <c r="F11" s="588"/>
      <c r="G11" s="588"/>
      <c r="H11" s="588"/>
      <c r="I11" s="588"/>
      <c r="J11" s="588"/>
      <c r="K11" s="588"/>
      <c r="L11" s="588"/>
      <c r="M11" s="588"/>
      <c r="N11" s="588"/>
      <c r="P11" s="588"/>
      <c r="R11" s="588"/>
    </row>
    <row r="12" spans="1:21" s="589" customFormat="1">
      <c r="A12" s="1060" t="s">
        <v>290</v>
      </c>
      <c r="B12" s="1061"/>
      <c r="C12" s="1061">
        <f>EF_CO2_aardgas</f>
        <v>0.20200000000000001</v>
      </c>
      <c r="D12" s="1061">
        <f>EF_VLgas_CO2</f>
        <v>0.22700000000000001</v>
      </c>
      <c r="E12" s="1061">
        <f>EF_stookolie_CO2</f>
        <v>0.26700000000000002</v>
      </c>
      <c r="F12" s="1061">
        <f>EF_bruinkool_CO2</f>
        <v>0.35099999999999998</v>
      </c>
      <c r="G12" s="1061">
        <f>EF_steenkool_CO2</f>
        <v>0.35399999999999998</v>
      </c>
      <c r="H12" s="1061">
        <f>'EF brandstof'!M4</f>
        <v>0.33</v>
      </c>
      <c r="I12" s="1061">
        <f>'EF brandstof'!J4</f>
        <v>0</v>
      </c>
      <c r="J12" s="1061">
        <f>'EF brandstof'!L4</f>
        <v>0</v>
      </c>
      <c r="K12" s="1061">
        <f>'EF brandstof'!L4</f>
        <v>0</v>
      </c>
      <c r="L12" s="1061"/>
      <c r="M12" s="1061"/>
      <c r="N12" s="1061"/>
      <c r="P12" s="590"/>
      <c r="Q12" s="590"/>
      <c r="R12" s="590"/>
    </row>
    <row r="13" spans="1:21" s="560" customFormat="1" ht="15.75" thickBot="1">
      <c r="A13" s="591"/>
      <c r="B13" s="590"/>
      <c r="C13" s="590"/>
      <c r="D13" s="590"/>
      <c r="E13" s="590"/>
      <c r="F13" s="590"/>
      <c r="G13" s="590"/>
      <c r="H13" s="590"/>
      <c r="I13" s="590"/>
      <c r="J13" s="590"/>
      <c r="K13" s="590"/>
      <c r="L13" s="590"/>
      <c r="M13" s="590"/>
      <c r="N13" s="590"/>
      <c r="O13" s="590"/>
      <c r="P13" s="590"/>
      <c r="Q13" s="590"/>
      <c r="R13" s="590"/>
    </row>
    <row r="14" spans="1:21" s="560" customFormat="1" ht="17.25" thickTop="1" thickBot="1">
      <c r="A14" s="1255" t="s">
        <v>253</v>
      </c>
      <c r="B14" s="1255" t="s">
        <v>254</v>
      </c>
      <c r="C14" s="1258" t="s">
        <v>255</v>
      </c>
      <c r="D14" s="1259"/>
      <c r="E14" s="1259"/>
      <c r="F14" s="1259"/>
      <c r="G14" s="1259"/>
      <c r="H14" s="1259"/>
      <c r="I14" s="1259"/>
      <c r="J14" s="1259"/>
      <c r="K14" s="1259"/>
      <c r="L14" s="1259"/>
      <c r="M14" s="1259"/>
      <c r="N14" s="1260"/>
      <c r="O14" s="1261" t="s">
        <v>244</v>
      </c>
      <c r="P14" s="1264" t="s">
        <v>256</v>
      </c>
      <c r="Q14" s="1261"/>
      <c r="R14" s="1267"/>
      <c r="S14" s="1267"/>
      <c r="T14" s="1267"/>
    </row>
    <row r="15" spans="1:21" s="560" customFormat="1" ht="15.75" customHeight="1" thickBot="1">
      <c r="A15" s="1256"/>
      <c r="B15" s="1256"/>
      <c r="C15" s="1268" t="s">
        <v>197</v>
      </c>
      <c r="D15" s="1269"/>
      <c r="E15" s="1269"/>
      <c r="F15" s="1269"/>
      <c r="G15" s="1270"/>
      <c r="H15" s="1271" t="s">
        <v>245</v>
      </c>
      <c r="I15" s="1271" t="s">
        <v>246</v>
      </c>
      <c r="J15" s="1271" t="s">
        <v>234</v>
      </c>
      <c r="K15" s="1271" t="s">
        <v>257</v>
      </c>
      <c r="L15" s="1271" t="s">
        <v>127</v>
      </c>
      <c r="M15" s="1271" t="s">
        <v>870</v>
      </c>
      <c r="N15" s="1273" t="s">
        <v>871</v>
      </c>
      <c r="O15" s="1262"/>
      <c r="P15" s="1265"/>
      <c r="Q15" s="1262"/>
      <c r="R15" s="1267"/>
      <c r="S15" s="1267"/>
      <c r="T15" s="1267"/>
    </row>
    <row r="16" spans="1:21" s="560" customFormat="1" ht="40.700000000000003" customHeight="1" thickBot="1">
      <c r="A16" s="1257"/>
      <c r="B16" s="1257"/>
      <c r="C16" s="592" t="s">
        <v>199</v>
      </c>
      <c r="D16" s="1024" t="s">
        <v>200</v>
      </c>
      <c r="E16" s="1023" t="s">
        <v>201</v>
      </c>
      <c r="F16" s="1024" t="s">
        <v>203</v>
      </c>
      <c r="G16" s="593" t="s">
        <v>204</v>
      </c>
      <c r="H16" s="1272"/>
      <c r="I16" s="1272"/>
      <c r="J16" s="1272"/>
      <c r="K16" s="1272"/>
      <c r="L16" s="1272"/>
      <c r="M16" s="1272"/>
      <c r="N16" s="1274"/>
      <c r="O16" s="1263"/>
      <c r="P16" s="1266"/>
      <c r="Q16" s="1263"/>
      <c r="R16" s="1267"/>
      <c r="S16" s="1267"/>
      <c r="T16" s="1267"/>
    </row>
    <row r="17" spans="1:26" s="560" customFormat="1" ht="15.75" thickTop="1">
      <c r="A17" s="594" t="s">
        <v>252</v>
      </c>
      <c r="B17" s="595">
        <f>O58</f>
        <v>0</v>
      </c>
      <c r="C17" s="596">
        <f>B102</f>
        <v>0</v>
      </c>
      <c r="D17" s="597"/>
      <c r="E17" s="597">
        <f>E102</f>
        <v>0</v>
      </c>
      <c r="F17" s="1062"/>
      <c r="G17" s="598"/>
      <c r="H17" s="596">
        <f>I102</f>
        <v>0</v>
      </c>
      <c r="I17" s="597">
        <f>G102+F102</f>
        <v>0</v>
      </c>
      <c r="J17" s="597">
        <f>H102+D102+C102</f>
        <v>0</v>
      </c>
      <c r="K17" s="597"/>
      <c r="L17" s="597"/>
      <c r="M17" s="597"/>
      <c r="N17" s="1063"/>
      <c r="O17" s="599">
        <f>C17*$C$22+E17*$E$22+H17*$H$22+I17*$I$22+J17*$J$22+D17*$D$22+F17*$F$22+G17*$G$22+K17*$K$22+L17*$L$22</f>
        <v>0</v>
      </c>
      <c r="P17" s="1253"/>
      <c r="Q17" s="1254"/>
      <c r="R17" s="1019"/>
      <c r="S17" s="1247"/>
      <c r="T17" s="1247"/>
    </row>
    <row r="18" spans="1:26" s="560" customFormat="1">
      <c r="A18" s="600" t="s">
        <v>258</v>
      </c>
      <c r="B18" s="601">
        <f>'Eigen informatie GS &amp; warmtenet'!B32</f>
        <v>0</v>
      </c>
      <c r="C18" s="1056">
        <f>'Eigen informatie GS &amp; warmtenet'!B35</f>
        <v>0</v>
      </c>
      <c r="D18" s="1056">
        <f>'Eigen informatie GS &amp; warmtenet'!B36</f>
        <v>0</v>
      </c>
      <c r="E18" s="1056">
        <f>'Eigen informatie GS &amp; warmtenet'!B37</f>
        <v>0</v>
      </c>
      <c r="F18" s="1056">
        <f>'Eigen informatie GS &amp; warmtenet'!B38</f>
        <v>0</v>
      </c>
      <c r="G18" s="1056">
        <f>'Eigen informatie GS &amp; warmtenet'!B39</f>
        <v>0</v>
      </c>
      <c r="H18" s="1056">
        <f>'Eigen informatie GS &amp; warmtenet'!B40</f>
        <v>0</v>
      </c>
      <c r="I18" s="1056">
        <f>'Eigen informatie GS &amp; warmtenet'!B41</f>
        <v>0</v>
      </c>
      <c r="J18" s="1056">
        <f>'Eigen informatie GS &amp; warmtenet'!B42</f>
        <v>0</v>
      </c>
      <c r="K18" s="1056">
        <f>'Eigen informatie GS &amp; warmtenet'!B43</f>
        <v>0</v>
      </c>
      <c r="L18" s="1056">
        <f>'Eigen informatie GS &amp; warmtenet'!B44</f>
        <v>0</v>
      </c>
      <c r="M18" s="1056">
        <f>'Eigen informatie GS &amp; warmtenet'!B45</f>
        <v>0</v>
      </c>
      <c r="N18" s="1056">
        <f>'Eigen informatie GS &amp; warmtenet'!B46</f>
        <v>0</v>
      </c>
      <c r="O18" s="599">
        <f>C18*$C$22+E18*$E$22+H18*$H$22+I18*$I$22+J18*$J$22+D18*$D$22+F18*$F$22+G18*$G$22+K18*$K$22+L18*$L$22</f>
        <v>0</v>
      </c>
      <c r="P18" s="1248"/>
      <c r="Q18" s="1249"/>
      <c r="R18" s="1020"/>
      <c r="S18" s="1250"/>
      <c r="T18" s="1250"/>
    </row>
    <row r="19" spans="1:26" s="560" customFormat="1" ht="15.75" thickBot="1">
      <c r="A19" s="575" t="s">
        <v>248</v>
      </c>
      <c r="B19" s="601">
        <f>'Eigen informatie GS &amp; warmtenet'!B11</f>
        <v>0</v>
      </c>
      <c r="C19" s="1064">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9" s="1064">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9" s="1064">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9" s="1064">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9" s="1064">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9" s="1064">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9" s="1064">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9" s="1064">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9" s="1064">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9" s="1056">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9" s="1056"/>
      <c r="N19" s="1065"/>
      <c r="O19" s="599">
        <f>C19*$C$22+E19*$E$22+H19*$H$22+I19*$I$22+J19*$J$22+D19*$D$22+F19*$F$22+G19*$G$22+K19*$K$22+L19*$L$22</f>
        <v>0</v>
      </c>
      <c r="P19" s="1251"/>
      <c r="Q19" s="1252"/>
      <c r="R19" s="1020"/>
      <c r="S19" s="1250"/>
      <c r="T19" s="1250"/>
    </row>
    <row r="20" spans="1:26" s="560" customFormat="1" ht="16.5" thickTop="1" thickBot="1">
      <c r="A20" s="582" t="s">
        <v>116</v>
      </c>
      <c r="B20" s="583">
        <f>SUM(B17:B19)</f>
        <v>0</v>
      </c>
      <c r="C20" s="583">
        <f>SUM(C17:C19)</f>
        <v>0</v>
      </c>
      <c r="D20" s="583">
        <f t="shared" ref="D20:L20" si="1">SUM(D17:D19)</f>
        <v>0</v>
      </c>
      <c r="E20" s="583">
        <f t="shared" si="1"/>
        <v>0</v>
      </c>
      <c r="F20" s="583">
        <f t="shared" si="1"/>
        <v>0</v>
      </c>
      <c r="G20" s="583">
        <f t="shared" si="1"/>
        <v>0</v>
      </c>
      <c r="H20" s="583">
        <f t="shared" si="1"/>
        <v>0</v>
      </c>
      <c r="I20" s="583">
        <f t="shared" si="1"/>
        <v>0</v>
      </c>
      <c r="J20" s="583">
        <f t="shared" si="1"/>
        <v>0</v>
      </c>
      <c r="K20" s="583">
        <f t="shared" si="1"/>
        <v>0</v>
      </c>
      <c r="L20" s="583">
        <f t="shared" si="1"/>
        <v>0</v>
      </c>
      <c r="M20" s="583"/>
      <c r="N20" s="583"/>
      <c r="O20" s="602">
        <f>SUM(O17:O19)</f>
        <v>0</v>
      </c>
      <c r="P20" s="1244"/>
      <c r="Q20" s="1245"/>
      <c r="R20" s="1020"/>
      <c r="S20" s="1246"/>
      <c r="T20" s="1246"/>
    </row>
    <row r="21" spans="1:26" s="560" customFormat="1" ht="15.75" thickTop="1">
      <c r="A21" s="1019"/>
      <c r="B21" s="1020"/>
      <c r="C21" s="1020"/>
      <c r="D21" s="1020"/>
      <c r="E21" s="1020"/>
      <c r="F21" s="1020"/>
      <c r="G21" s="1020"/>
      <c r="H21" s="1020"/>
      <c r="I21" s="1020"/>
      <c r="J21" s="1020"/>
      <c r="K21" s="1020"/>
      <c r="L21" s="1020"/>
      <c r="M21" s="1020"/>
      <c r="N21" s="1020"/>
      <c r="O21" s="1020"/>
      <c r="P21" s="1018"/>
      <c r="Q21" s="1018"/>
      <c r="R21" s="1020"/>
      <c r="S21" s="1018"/>
      <c r="T21" s="1018"/>
    </row>
    <row r="22" spans="1:26" s="589" customFormat="1">
      <c r="A22" s="1060" t="s">
        <v>290</v>
      </c>
      <c r="B22" s="1061"/>
      <c r="C22" s="1061">
        <f>EF_CO2_aardgas</f>
        <v>0.20200000000000001</v>
      </c>
      <c r="D22" s="1061">
        <f>EF_VLgas_CO2</f>
        <v>0.22700000000000001</v>
      </c>
      <c r="E22" s="1061">
        <f>EF_stookolie_CO2</f>
        <v>0.26700000000000002</v>
      </c>
      <c r="F22" s="1061">
        <f>EF_bruinkool_CO2</f>
        <v>0.35099999999999998</v>
      </c>
      <c r="G22" s="1061">
        <f>EF_steenkool_CO2</f>
        <v>0.35399999999999998</v>
      </c>
      <c r="H22" s="1061">
        <f>'EF brandstof'!M4</f>
        <v>0.33</v>
      </c>
      <c r="I22" s="1061">
        <f>'EF brandstof'!J4</f>
        <v>0</v>
      </c>
      <c r="J22" s="1061">
        <f>'EF brandstof'!L4</f>
        <v>0</v>
      </c>
      <c r="K22" s="1061">
        <f>'EF brandstof'!L4</f>
        <v>0</v>
      </c>
      <c r="L22" s="1061"/>
      <c r="M22" s="1061"/>
      <c r="N22" s="1061"/>
      <c r="O22" s="590"/>
      <c r="P22" s="590"/>
      <c r="Q22" s="590"/>
      <c r="R22" s="590"/>
      <c r="S22" s="560"/>
    </row>
    <row r="23" spans="1:26" s="589" customFormat="1">
      <c r="A23" s="591"/>
      <c r="B23" s="590"/>
      <c r="C23" s="590"/>
      <c r="D23" s="590"/>
      <c r="E23" s="590"/>
      <c r="F23" s="590"/>
      <c r="G23" s="590"/>
      <c r="H23" s="590"/>
      <c r="I23" s="590"/>
      <c r="J23" s="590"/>
      <c r="K23" s="590"/>
      <c r="L23" s="590"/>
      <c r="M23" s="590"/>
      <c r="N23" s="590"/>
      <c r="O23" s="590"/>
      <c r="P23" s="590"/>
      <c r="Q23" s="590"/>
      <c r="R23" s="590"/>
      <c r="S23" s="560"/>
    </row>
    <row r="24" spans="1:26" s="589" customFormat="1">
      <c r="A24" s="591"/>
      <c r="B24" s="590"/>
      <c r="C24" s="590"/>
      <c r="D24" s="603"/>
      <c r="E24" s="603"/>
      <c r="F24" s="603"/>
      <c r="G24" s="590"/>
      <c r="H24" s="590"/>
      <c r="I24" s="590"/>
      <c r="J24" s="590"/>
      <c r="K24" s="590"/>
      <c r="L24" s="590"/>
      <c r="M24" s="590"/>
      <c r="N24" s="590"/>
      <c r="O24" s="590"/>
      <c r="P24" s="590"/>
      <c r="Q24" s="590"/>
      <c r="R24" s="590"/>
    </row>
    <row r="25" spans="1:26" s="589" customFormat="1">
      <c r="A25" s="591"/>
      <c r="B25" s="590"/>
      <c r="C25" s="590"/>
      <c r="D25" s="603"/>
      <c r="E25" s="603"/>
      <c r="F25" s="603"/>
      <c r="G25" s="590"/>
      <c r="H25" s="590"/>
      <c r="I25" s="590"/>
      <c r="J25" s="590"/>
      <c r="K25" s="590"/>
      <c r="L25" s="590"/>
      <c r="M25" s="590"/>
      <c r="N25" s="590"/>
      <c r="O25" s="590"/>
      <c r="P25" s="590"/>
      <c r="Q25" s="590"/>
      <c r="R25" s="590"/>
    </row>
    <row r="26" spans="1:26" s="560" customFormat="1" ht="15.75" thickBot="1">
      <c r="B26" s="603"/>
      <c r="C26" s="603"/>
      <c r="D26" s="603"/>
      <c r="E26" s="603"/>
      <c r="F26" s="603"/>
      <c r="G26" s="603"/>
      <c r="H26" s="603"/>
      <c r="I26" s="603"/>
      <c r="J26" s="603"/>
      <c r="K26" s="603"/>
      <c r="L26" s="603"/>
      <c r="M26" s="603"/>
      <c r="N26" s="603"/>
      <c r="O26" s="603"/>
      <c r="P26" s="603"/>
      <c r="Q26" s="604"/>
      <c r="R26" s="604"/>
    </row>
    <row r="27" spans="1:26" s="560" customFormat="1" ht="45">
      <c r="A27" s="605" t="s">
        <v>279</v>
      </c>
      <c r="B27" s="650" t="s">
        <v>90</v>
      </c>
      <c r="C27" s="650" t="s">
        <v>91</v>
      </c>
      <c r="D27" s="650" t="s">
        <v>92</v>
      </c>
      <c r="E27" s="650" t="s">
        <v>93</v>
      </c>
      <c r="F27" s="650" t="s">
        <v>94</v>
      </c>
      <c r="G27" s="650" t="s">
        <v>95</v>
      </c>
      <c r="H27" s="650" t="s">
        <v>96</v>
      </c>
      <c r="I27" s="650" t="s">
        <v>97</v>
      </c>
      <c r="J27" s="650" t="s">
        <v>98</v>
      </c>
      <c r="K27" s="650" t="s">
        <v>99</v>
      </c>
      <c r="L27" s="650" t="s">
        <v>100</v>
      </c>
      <c r="M27" s="651" t="s">
        <v>298</v>
      </c>
      <c r="N27" s="651" t="s">
        <v>101</v>
      </c>
      <c r="O27" s="651" t="s">
        <v>102</v>
      </c>
      <c r="P27" s="651" t="s">
        <v>544</v>
      </c>
      <c r="Q27" s="651" t="s">
        <v>103</v>
      </c>
      <c r="R27" s="651" t="s">
        <v>104</v>
      </c>
      <c r="S27" s="651" t="s">
        <v>105</v>
      </c>
      <c r="T27" s="651" t="s">
        <v>106</v>
      </c>
      <c r="U27" s="651" t="s">
        <v>107</v>
      </c>
      <c r="V27" s="651" t="s">
        <v>108</v>
      </c>
      <c r="W27" s="650" t="s">
        <v>109</v>
      </c>
      <c r="X27" s="650" t="s">
        <v>299</v>
      </c>
      <c r="Y27" s="650" t="s">
        <v>110</v>
      </c>
      <c r="Z27" s="652" t="s">
        <v>300</v>
      </c>
    </row>
    <row r="28" spans="1:26" s="607" customFormat="1" ht="12.75">
      <c r="A28" s="606"/>
      <c r="B28" s="797"/>
      <c r="C28" s="797"/>
      <c r="D28" s="654"/>
      <c r="E28" s="653"/>
      <c r="F28" s="653"/>
      <c r="G28" s="653"/>
      <c r="H28" s="653"/>
      <c r="I28" s="653"/>
      <c r="J28" s="796"/>
      <c r="K28" s="796"/>
      <c r="L28" s="653"/>
      <c r="M28" s="653"/>
      <c r="N28" s="653"/>
      <c r="O28" s="653"/>
      <c r="P28" s="653"/>
      <c r="Q28" s="653"/>
      <c r="R28" s="653"/>
      <c r="S28" s="653"/>
      <c r="T28" s="653"/>
      <c r="U28" s="653"/>
      <c r="V28" s="653"/>
      <c r="W28" s="653"/>
      <c r="X28" s="653"/>
      <c r="Y28" s="653"/>
      <c r="Z28" s="655"/>
    </row>
    <row r="29" spans="1:26" s="607" customFormat="1" ht="12.75">
      <c r="A29" s="606"/>
      <c r="B29" s="797"/>
      <c r="C29" s="797"/>
      <c r="D29" s="654"/>
      <c r="E29" s="653"/>
      <c r="F29" s="653"/>
      <c r="G29" s="653"/>
      <c r="H29" s="653"/>
      <c r="I29" s="653"/>
      <c r="J29" s="796"/>
      <c r="K29" s="796"/>
      <c r="L29" s="653"/>
      <c r="M29" s="653"/>
      <c r="N29" s="653"/>
      <c r="O29" s="653"/>
      <c r="P29" s="653"/>
      <c r="Q29" s="653"/>
      <c r="R29" s="653"/>
      <c r="S29" s="653"/>
      <c r="T29" s="653"/>
      <c r="U29" s="653"/>
      <c r="V29" s="653"/>
      <c r="W29" s="653"/>
      <c r="X29" s="653"/>
      <c r="Y29" s="653"/>
      <c r="Z29" s="655"/>
    </row>
    <row r="30" spans="1:26" s="607" customFormat="1" ht="12.75">
      <c r="A30" s="606"/>
      <c r="B30" s="797"/>
      <c r="C30" s="797"/>
      <c r="D30" s="654"/>
      <c r="E30" s="653"/>
      <c r="F30" s="653"/>
      <c r="G30" s="653"/>
      <c r="H30" s="653"/>
      <c r="I30" s="653"/>
      <c r="J30" s="796"/>
      <c r="K30" s="796"/>
      <c r="L30" s="653"/>
      <c r="M30" s="653"/>
      <c r="N30" s="653"/>
      <c r="O30" s="653"/>
      <c r="P30" s="653"/>
      <c r="Q30" s="653"/>
      <c r="R30" s="653"/>
      <c r="S30" s="653"/>
      <c r="T30" s="653"/>
      <c r="U30" s="653"/>
      <c r="V30" s="653"/>
      <c r="W30" s="653"/>
      <c r="X30" s="653"/>
      <c r="Y30" s="653"/>
      <c r="Z30" s="655"/>
    </row>
    <row r="31" spans="1:26" s="607" customFormat="1" ht="12.75">
      <c r="A31" s="606"/>
      <c r="B31" s="797"/>
      <c r="C31" s="797"/>
      <c r="D31" s="654"/>
      <c r="E31" s="653"/>
      <c r="F31" s="653"/>
      <c r="G31" s="653"/>
      <c r="H31" s="653"/>
      <c r="I31" s="653"/>
      <c r="J31" s="796"/>
      <c r="K31" s="796"/>
      <c r="L31" s="653"/>
      <c r="M31" s="653"/>
      <c r="N31" s="653"/>
      <c r="O31" s="653"/>
      <c r="P31" s="653"/>
      <c r="Q31" s="653"/>
      <c r="R31" s="653"/>
      <c r="S31" s="653"/>
      <c r="T31" s="653"/>
      <c r="U31" s="653"/>
      <c r="V31" s="653"/>
      <c r="W31" s="653"/>
      <c r="X31" s="653"/>
      <c r="Y31" s="653"/>
      <c r="Z31" s="655"/>
    </row>
    <row r="32" spans="1:26" s="607" customFormat="1" ht="12.75">
      <c r="A32" s="606"/>
      <c r="B32" s="797"/>
      <c r="C32" s="797"/>
      <c r="D32" s="654"/>
      <c r="E32" s="653"/>
      <c r="F32" s="653"/>
      <c r="G32" s="653"/>
      <c r="H32" s="653"/>
      <c r="I32" s="653"/>
      <c r="J32" s="796"/>
      <c r="K32" s="796"/>
      <c r="L32" s="653"/>
      <c r="M32" s="653"/>
      <c r="N32" s="653"/>
      <c r="O32" s="653"/>
      <c r="P32" s="653"/>
      <c r="Q32" s="653"/>
      <c r="R32" s="653"/>
      <c r="S32" s="653"/>
      <c r="T32" s="653"/>
      <c r="U32" s="653"/>
      <c r="V32" s="653"/>
      <c r="W32" s="653"/>
      <c r="X32" s="653"/>
      <c r="Y32" s="653"/>
      <c r="Z32" s="655"/>
    </row>
    <row r="33" spans="1:26" s="607" customFormat="1" ht="12.75">
      <c r="A33" s="606"/>
      <c r="B33" s="797"/>
      <c r="C33" s="797"/>
      <c r="D33" s="654"/>
      <c r="E33" s="653"/>
      <c r="F33" s="653"/>
      <c r="G33" s="653"/>
      <c r="H33" s="653"/>
      <c r="I33" s="653"/>
      <c r="J33" s="796"/>
      <c r="K33" s="796"/>
      <c r="L33" s="653"/>
      <c r="M33" s="653"/>
      <c r="N33" s="653"/>
      <c r="O33" s="653"/>
      <c r="P33" s="653"/>
      <c r="Q33" s="653"/>
      <c r="R33" s="653"/>
      <c r="S33" s="653"/>
      <c r="T33" s="653"/>
      <c r="U33" s="653"/>
      <c r="V33" s="653"/>
      <c r="W33" s="653"/>
      <c r="X33" s="653"/>
      <c r="Y33" s="653"/>
      <c r="Z33" s="655"/>
    </row>
    <row r="34" spans="1:26" s="607" customFormat="1" ht="12.75">
      <c r="A34" s="606"/>
      <c r="B34" s="797"/>
      <c r="C34" s="797"/>
      <c r="D34" s="654"/>
      <c r="E34" s="653"/>
      <c r="F34" s="653"/>
      <c r="G34" s="653"/>
      <c r="H34" s="653"/>
      <c r="I34" s="653"/>
      <c r="J34" s="796"/>
      <c r="K34" s="796"/>
      <c r="L34" s="653"/>
      <c r="M34" s="653"/>
      <c r="N34" s="653"/>
      <c r="O34" s="653"/>
      <c r="P34" s="653"/>
      <c r="Q34" s="653"/>
      <c r="R34" s="653"/>
      <c r="S34" s="653"/>
      <c r="T34" s="653"/>
      <c r="U34" s="653"/>
      <c r="V34" s="653"/>
      <c r="W34" s="653"/>
      <c r="X34" s="653"/>
      <c r="Y34" s="653"/>
      <c r="Z34" s="655"/>
    </row>
    <row r="35" spans="1:26" s="607" customFormat="1" ht="12.75">
      <c r="A35" s="606"/>
      <c r="B35" s="797"/>
      <c r="C35" s="797"/>
      <c r="D35" s="654"/>
      <c r="E35" s="653"/>
      <c r="F35" s="653"/>
      <c r="G35" s="653"/>
      <c r="H35" s="653"/>
      <c r="I35" s="653"/>
      <c r="J35" s="796"/>
      <c r="K35" s="796"/>
      <c r="L35" s="653"/>
      <c r="M35" s="653"/>
      <c r="N35" s="653"/>
      <c r="O35" s="653"/>
      <c r="P35" s="653"/>
      <c r="Q35" s="653"/>
      <c r="R35" s="653"/>
      <c r="S35" s="653"/>
      <c r="T35" s="653"/>
      <c r="U35" s="653"/>
      <c r="V35" s="653"/>
      <c r="W35" s="653"/>
      <c r="X35" s="653"/>
      <c r="Y35" s="653"/>
      <c r="Z35" s="655"/>
    </row>
    <row r="36" spans="1:26" s="607" customFormat="1" ht="12.75">
      <c r="A36" s="606"/>
      <c r="B36" s="797"/>
      <c r="C36" s="797"/>
      <c r="D36" s="654"/>
      <c r="E36" s="653"/>
      <c r="F36" s="653"/>
      <c r="G36" s="653"/>
      <c r="H36" s="653"/>
      <c r="I36" s="653"/>
      <c r="J36" s="796"/>
      <c r="K36" s="796"/>
      <c r="L36" s="653"/>
      <c r="M36" s="653"/>
      <c r="N36" s="653"/>
      <c r="O36" s="653"/>
      <c r="P36" s="653"/>
      <c r="Q36" s="653"/>
      <c r="R36" s="653"/>
      <c r="S36" s="653"/>
      <c r="T36" s="653"/>
      <c r="U36" s="653"/>
      <c r="V36" s="653"/>
      <c r="W36" s="653"/>
      <c r="X36" s="653"/>
      <c r="Y36" s="653"/>
      <c r="Z36" s="655"/>
    </row>
    <row r="37" spans="1:26" s="607" customFormat="1" ht="12.75">
      <c r="A37" s="606"/>
      <c r="B37" s="797"/>
      <c r="C37" s="797"/>
      <c r="D37" s="654"/>
      <c r="E37" s="653"/>
      <c r="F37" s="653"/>
      <c r="G37" s="653"/>
      <c r="H37" s="653"/>
      <c r="I37" s="653"/>
      <c r="J37" s="796"/>
      <c r="K37" s="796"/>
      <c r="L37" s="653"/>
      <c r="M37" s="653"/>
      <c r="N37" s="653"/>
      <c r="O37" s="653"/>
      <c r="P37" s="653"/>
      <c r="Q37" s="653"/>
      <c r="R37" s="653"/>
      <c r="S37" s="653"/>
      <c r="T37" s="653"/>
      <c r="U37" s="653"/>
      <c r="V37" s="653"/>
      <c r="W37" s="653"/>
      <c r="X37" s="653"/>
      <c r="Y37" s="653"/>
      <c r="Z37" s="655"/>
    </row>
    <row r="38" spans="1:26" s="607" customFormat="1" ht="12.75">
      <c r="A38" s="606"/>
      <c r="B38" s="797"/>
      <c r="C38" s="797"/>
      <c r="D38" s="654"/>
      <c r="E38" s="653"/>
      <c r="F38" s="653"/>
      <c r="G38" s="653"/>
      <c r="H38" s="653"/>
      <c r="I38" s="653"/>
      <c r="J38" s="796"/>
      <c r="K38" s="796"/>
      <c r="L38" s="653"/>
      <c r="M38" s="653"/>
      <c r="N38" s="653"/>
      <c r="O38" s="653"/>
      <c r="P38" s="653"/>
      <c r="Q38" s="653"/>
      <c r="R38" s="653"/>
      <c r="S38" s="653"/>
      <c r="T38" s="653"/>
      <c r="U38" s="653"/>
      <c r="V38" s="653"/>
      <c r="W38" s="653"/>
      <c r="X38" s="653"/>
      <c r="Y38" s="653"/>
      <c r="Z38" s="655"/>
    </row>
    <row r="39" spans="1:26" s="607" customFormat="1" ht="12.75">
      <c r="A39" s="606"/>
      <c r="B39" s="797"/>
      <c r="C39" s="797"/>
      <c r="D39" s="654"/>
      <c r="E39" s="653"/>
      <c r="F39" s="653"/>
      <c r="G39" s="653"/>
      <c r="H39" s="653"/>
      <c r="I39" s="653"/>
      <c r="J39" s="796"/>
      <c r="K39" s="796"/>
      <c r="L39" s="653"/>
      <c r="M39" s="653"/>
      <c r="N39" s="653"/>
      <c r="O39" s="653"/>
      <c r="P39" s="653"/>
      <c r="Q39" s="653"/>
      <c r="R39" s="653"/>
      <c r="S39" s="653"/>
      <c r="T39" s="653"/>
      <c r="U39" s="653"/>
      <c r="V39" s="653"/>
      <c r="W39" s="653"/>
      <c r="X39" s="653"/>
      <c r="Y39" s="653"/>
      <c r="Z39" s="655"/>
    </row>
    <row r="40" spans="1:26" s="607" customFormat="1" ht="12.75">
      <c r="A40" s="606"/>
      <c r="B40" s="797"/>
      <c r="C40" s="797"/>
      <c r="D40" s="654"/>
      <c r="E40" s="653"/>
      <c r="F40" s="653"/>
      <c r="G40" s="653"/>
      <c r="H40" s="653"/>
      <c r="I40" s="653"/>
      <c r="J40" s="796"/>
      <c r="K40" s="796"/>
      <c r="L40" s="653"/>
      <c r="M40" s="653"/>
      <c r="N40" s="653"/>
      <c r="O40" s="653"/>
      <c r="P40" s="653"/>
      <c r="Q40" s="653"/>
      <c r="R40" s="653"/>
      <c r="S40" s="653"/>
      <c r="T40" s="653"/>
      <c r="U40" s="653"/>
      <c r="V40" s="653"/>
      <c r="W40" s="653"/>
      <c r="X40" s="653"/>
      <c r="Y40" s="653"/>
      <c r="Z40" s="655"/>
    </row>
    <row r="41" spans="1:26" s="607" customFormat="1" ht="12.75">
      <c r="A41" s="606"/>
      <c r="B41" s="797"/>
      <c r="C41" s="797"/>
      <c r="D41" s="654"/>
      <c r="E41" s="653"/>
      <c r="F41" s="653"/>
      <c r="G41" s="653"/>
      <c r="H41" s="653"/>
      <c r="I41" s="653"/>
      <c r="J41" s="796"/>
      <c r="K41" s="796"/>
      <c r="L41" s="653"/>
      <c r="M41" s="653"/>
      <c r="N41" s="653"/>
      <c r="O41" s="653"/>
      <c r="P41" s="653"/>
      <c r="Q41" s="653"/>
      <c r="R41" s="653"/>
      <c r="S41" s="653"/>
      <c r="T41" s="653"/>
      <c r="U41" s="653"/>
      <c r="V41" s="653"/>
      <c r="W41" s="653"/>
      <c r="X41" s="653"/>
      <c r="Y41" s="653"/>
      <c r="Z41" s="655"/>
    </row>
    <row r="42" spans="1:26" s="607" customFormat="1" ht="12.75">
      <c r="A42" s="606"/>
      <c r="B42" s="797"/>
      <c r="C42" s="797"/>
      <c r="D42" s="654"/>
      <c r="E42" s="653"/>
      <c r="F42" s="653"/>
      <c r="G42" s="653"/>
      <c r="H42" s="653"/>
      <c r="I42" s="653"/>
      <c r="J42" s="796"/>
      <c r="K42" s="796"/>
      <c r="L42" s="653"/>
      <c r="M42" s="653"/>
      <c r="N42" s="653"/>
      <c r="O42" s="653"/>
      <c r="P42" s="653"/>
      <c r="Q42" s="653"/>
      <c r="R42" s="653"/>
      <c r="S42" s="653"/>
      <c r="T42" s="653"/>
      <c r="U42" s="653"/>
      <c r="V42" s="653"/>
      <c r="W42" s="653"/>
      <c r="X42" s="653"/>
      <c r="Y42" s="653"/>
      <c r="Z42" s="655"/>
    </row>
    <row r="43" spans="1:26" s="607" customFormat="1" ht="12.75">
      <c r="A43" s="606"/>
      <c r="B43" s="797"/>
      <c r="C43" s="797"/>
      <c r="D43" s="654"/>
      <c r="E43" s="653"/>
      <c r="F43" s="653"/>
      <c r="G43" s="653"/>
      <c r="H43" s="653"/>
      <c r="I43" s="653"/>
      <c r="J43" s="796"/>
      <c r="K43" s="796"/>
      <c r="L43" s="653"/>
      <c r="M43" s="653"/>
      <c r="N43" s="653"/>
      <c r="O43" s="653"/>
      <c r="P43" s="653"/>
      <c r="Q43" s="653"/>
      <c r="R43" s="653"/>
      <c r="S43" s="653"/>
      <c r="T43" s="653"/>
      <c r="U43" s="653"/>
      <c r="V43" s="653"/>
      <c r="W43" s="653"/>
      <c r="X43" s="653"/>
      <c r="Y43" s="653"/>
      <c r="Z43" s="655"/>
    </row>
    <row r="44" spans="1:26" s="607" customFormat="1" ht="12.75">
      <c r="A44" s="606"/>
      <c r="B44" s="797"/>
      <c r="C44" s="797"/>
      <c r="D44" s="654"/>
      <c r="E44" s="653"/>
      <c r="F44" s="653"/>
      <c r="G44" s="653"/>
      <c r="H44" s="653"/>
      <c r="I44" s="653"/>
      <c r="J44" s="796"/>
      <c r="K44" s="796"/>
      <c r="L44" s="653"/>
      <c r="M44" s="653"/>
      <c r="N44" s="653"/>
      <c r="O44" s="653"/>
      <c r="P44" s="653"/>
      <c r="Q44" s="653"/>
      <c r="R44" s="653"/>
      <c r="S44" s="653"/>
      <c r="T44" s="653"/>
      <c r="U44" s="653"/>
      <c r="V44" s="653"/>
      <c r="W44" s="653"/>
      <c r="X44" s="653"/>
      <c r="Y44" s="653"/>
      <c r="Z44" s="655"/>
    </row>
    <row r="45" spans="1:26" s="607" customFormat="1" ht="12.75">
      <c r="A45" s="606"/>
      <c r="B45" s="797"/>
      <c r="C45" s="797"/>
      <c r="D45" s="654"/>
      <c r="E45" s="653"/>
      <c r="F45" s="653"/>
      <c r="G45" s="653"/>
      <c r="H45" s="653"/>
      <c r="I45" s="653"/>
      <c r="J45" s="796"/>
      <c r="K45" s="796"/>
      <c r="L45" s="653"/>
      <c r="M45" s="653"/>
      <c r="N45" s="653"/>
      <c r="O45" s="653"/>
      <c r="P45" s="653"/>
      <c r="Q45" s="653"/>
      <c r="R45" s="653"/>
      <c r="S45" s="653"/>
      <c r="T45" s="653"/>
      <c r="U45" s="653"/>
      <c r="V45" s="653"/>
      <c r="W45" s="653"/>
      <c r="X45" s="653"/>
      <c r="Y45" s="653"/>
      <c r="Z45" s="655"/>
    </row>
    <row r="46" spans="1:26" s="607" customFormat="1" ht="12.75">
      <c r="A46" s="606"/>
      <c r="B46" s="797"/>
      <c r="C46" s="797"/>
      <c r="D46" s="654"/>
      <c r="E46" s="653"/>
      <c r="F46" s="653"/>
      <c r="G46" s="653"/>
      <c r="H46" s="653"/>
      <c r="I46" s="653"/>
      <c r="J46" s="796"/>
      <c r="K46" s="796"/>
      <c r="L46" s="653"/>
      <c r="M46" s="653"/>
      <c r="N46" s="653"/>
      <c r="O46" s="653"/>
      <c r="P46" s="653"/>
      <c r="Q46" s="653"/>
      <c r="R46" s="653"/>
      <c r="S46" s="653"/>
      <c r="T46" s="653"/>
      <c r="U46" s="653"/>
      <c r="V46" s="653"/>
      <c r="W46" s="653"/>
      <c r="X46" s="653"/>
      <c r="Y46" s="653"/>
      <c r="Z46" s="655"/>
    </row>
    <row r="47" spans="1:26" s="607" customFormat="1" ht="12.75">
      <c r="A47" s="606"/>
      <c r="B47" s="797"/>
      <c r="C47" s="797"/>
      <c r="D47" s="654"/>
      <c r="E47" s="653"/>
      <c r="F47" s="653"/>
      <c r="G47" s="653"/>
      <c r="H47" s="653"/>
      <c r="I47" s="653"/>
      <c r="J47" s="796"/>
      <c r="K47" s="796"/>
      <c r="L47" s="653"/>
      <c r="M47" s="653"/>
      <c r="N47" s="653"/>
      <c r="O47" s="653"/>
      <c r="P47" s="653"/>
      <c r="Q47" s="653"/>
      <c r="R47" s="653"/>
      <c r="S47" s="653"/>
      <c r="T47" s="653"/>
      <c r="U47" s="653"/>
      <c r="V47" s="653"/>
      <c r="W47" s="653"/>
      <c r="X47" s="653"/>
      <c r="Y47" s="653"/>
      <c r="Z47" s="655"/>
    </row>
    <row r="48" spans="1:26" s="607" customFormat="1" ht="12.75">
      <c r="A48" s="606"/>
      <c r="B48" s="797"/>
      <c r="C48" s="797"/>
      <c r="D48" s="654"/>
      <c r="E48" s="653"/>
      <c r="F48" s="653"/>
      <c r="G48" s="653"/>
      <c r="H48" s="653"/>
      <c r="I48" s="653"/>
      <c r="J48" s="796"/>
      <c r="K48" s="796"/>
      <c r="L48" s="653"/>
      <c r="M48" s="653"/>
      <c r="N48" s="653"/>
      <c r="O48" s="653"/>
      <c r="P48" s="653"/>
      <c r="Q48" s="653"/>
      <c r="R48" s="653"/>
      <c r="S48" s="653"/>
      <c r="T48" s="653"/>
      <c r="U48" s="653"/>
      <c r="V48" s="653"/>
      <c r="W48" s="653"/>
      <c r="X48" s="653"/>
      <c r="Y48" s="653"/>
      <c r="Z48" s="655"/>
    </row>
    <row r="49" spans="1:26" s="607" customFormat="1" ht="12.75">
      <c r="A49" s="606"/>
      <c r="B49" s="797"/>
      <c r="C49" s="797"/>
      <c r="D49" s="654"/>
      <c r="E49" s="653"/>
      <c r="F49" s="653"/>
      <c r="G49" s="653"/>
      <c r="H49" s="653"/>
      <c r="I49" s="653"/>
      <c r="J49" s="796"/>
      <c r="K49" s="796"/>
      <c r="L49" s="653"/>
      <c r="M49" s="653"/>
      <c r="N49" s="653"/>
      <c r="O49" s="653"/>
      <c r="P49" s="653"/>
      <c r="Q49" s="653"/>
      <c r="R49" s="653"/>
      <c r="S49" s="653"/>
      <c r="T49" s="653"/>
      <c r="U49" s="653"/>
      <c r="V49" s="653"/>
      <c r="W49" s="653"/>
      <c r="X49" s="653"/>
      <c r="Y49" s="653"/>
      <c r="Z49" s="655"/>
    </row>
    <row r="50" spans="1:26" s="607" customFormat="1" ht="12.75">
      <c r="A50" s="606"/>
      <c r="B50" s="797"/>
      <c r="C50" s="797"/>
      <c r="D50" s="654"/>
      <c r="E50" s="653"/>
      <c r="F50" s="653"/>
      <c r="G50" s="653"/>
      <c r="H50" s="653"/>
      <c r="I50" s="653"/>
      <c r="J50" s="796"/>
      <c r="K50" s="796"/>
      <c r="L50" s="653"/>
      <c r="M50" s="653"/>
      <c r="N50" s="653"/>
      <c r="O50" s="653"/>
      <c r="P50" s="653"/>
      <c r="Q50" s="653"/>
      <c r="R50" s="653"/>
      <c r="S50" s="653"/>
      <c r="T50" s="653"/>
      <c r="U50" s="653"/>
      <c r="V50" s="653"/>
      <c r="W50" s="653"/>
      <c r="X50" s="653"/>
      <c r="Y50" s="653"/>
      <c r="Z50" s="655"/>
    </row>
    <row r="51" spans="1:26" s="607" customFormat="1" ht="12.75">
      <c r="A51" s="608"/>
      <c r="B51" s="797"/>
      <c r="C51" s="797"/>
      <c r="D51" s="654"/>
      <c r="E51" s="653"/>
      <c r="F51" s="653"/>
      <c r="G51" s="653"/>
      <c r="H51" s="653"/>
      <c r="I51" s="653"/>
      <c r="J51" s="796"/>
      <c r="K51" s="796"/>
      <c r="L51" s="653"/>
      <c r="M51" s="653"/>
      <c r="N51" s="653"/>
      <c r="O51" s="653"/>
      <c r="P51" s="653"/>
      <c r="Q51" s="653"/>
      <c r="R51" s="653"/>
      <c r="S51" s="653"/>
      <c r="T51" s="653"/>
      <c r="U51" s="653"/>
      <c r="V51" s="653"/>
      <c r="W51" s="653"/>
      <c r="X51" s="653"/>
      <c r="Y51" s="653"/>
      <c r="Z51" s="655"/>
    </row>
    <row r="52" spans="1:26" s="607" customFormat="1" ht="12.75">
      <c r="A52" s="608"/>
      <c r="B52" s="797"/>
      <c r="C52" s="797"/>
      <c r="D52" s="653"/>
      <c r="E52" s="653"/>
      <c r="F52" s="653"/>
      <c r="G52" s="653"/>
      <c r="H52" s="653"/>
      <c r="I52" s="653"/>
      <c r="J52" s="796"/>
      <c r="K52" s="796"/>
      <c r="L52" s="653"/>
      <c r="M52" s="653"/>
      <c r="N52" s="653"/>
      <c r="O52" s="653"/>
      <c r="P52" s="653"/>
      <c r="Q52" s="653"/>
      <c r="R52" s="653"/>
      <c r="S52" s="653"/>
      <c r="T52" s="653"/>
      <c r="U52" s="653"/>
      <c r="V52" s="653"/>
      <c r="W52" s="653"/>
      <c r="X52" s="653"/>
      <c r="Y52" s="653"/>
      <c r="Z52" s="655"/>
    </row>
    <row r="53" spans="1:26" s="607" customFormat="1" ht="12.75">
      <c r="A53" s="608"/>
      <c r="B53" s="797"/>
      <c r="C53" s="797"/>
      <c r="D53" s="653"/>
      <c r="E53" s="653"/>
      <c r="F53" s="653"/>
      <c r="G53" s="653"/>
      <c r="H53" s="653"/>
      <c r="I53" s="653"/>
      <c r="J53" s="796"/>
      <c r="K53" s="796"/>
      <c r="L53" s="653"/>
      <c r="M53" s="653"/>
      <c r="N53" s="653"/>
      <c r="O53" s="653"/>
      <c r="P53" s="653"/>
      <c r="Q53" s="653"/>
      <c r="R53" s="653"/>
      <c r="S53" s="653"/>
      <c r="T53" s="653"/>
      <c r="U53" s="653"/>
      <c r="V53" s="653"/>
      <c r="W53" s="653"/>
      <c r="X53" s="653"/>
      <c r="Y53" s="653"/>
      <c r="Z53" s="655"/>
    </row>
    <row r="54" spans="1:26" s="607" customFormat="1" ht="12.75">
      <c r="A54" s="608"/>
      <c r="B54" s="797"/>
      <c r="C54" s="797"/>
      <c r="D54" s="653"/>
      <c r="E54" s="653"/>
      <c r="F54" s="653"/>
      <c r="G54" s="653"/>
      <c r="H54" s="653"/>
      <c r="I54" s="653"/>
      <c r="J54" s="796"/>
      <c r="K54" s="796"/>
      <c r="L54" s="653"/>
      <c r="M54" s="653"/>
      <c r="N54" s="653"/>
      <c r="O54" s="653"/>
      <c r="P54" s="653"/>
      <c r="Q54" s="653"/>
      <c r="R54" s="653"/>
      <c r="S54" s="653"/>
      <c r="T54" s="653"/>
      <c r="U54" s="653"/>
      <c r="V54" s="653"/>
      <c r="W54" s="653"/>
      <c r="X54" s="653"/>
      <c r="Y54" s="653"/>
      <c r="Z54" s="655"/>
    </row>
    <row r="55" spans="1:26" s="607" customFormat="1" ht="12.75">
      <c r="A55" s="608"/>
      <c r="B55" s="797"/>
      <c r="C55" s="797"/>
      <c r="D55" s="653"/>
      <c r="E55" s="653"/>
      <c r="F55" s="653"/>
      <c r="G55" s="653"/>
      <c r="H55" s="653"/>
      <c r="I55" s="653"/>
      <c r="J55" s="796"/>
      <c r="K55" s="796"/>
      <c r="L55" s="653"/>
      <c r="M55" s="653"/>
      <c r="N55" s="653"/>
      <c r="O55" s="653"/>
      <c r="P55" s="653"/>
      <c r="Q55" s="653"/>
      <c r="R55" s="653"/>
      <c r="S55" s="653"/>
      <c r="T55" s="653"/>
      <c r="U55" s="653"/>
      <c r="V55" s="653"/>
      <c r="W55" s="653"/>
      <c r="X55" s="653"/>
      <c r="Y55" s="653"/>
      <c r="Z55" s="655"/>
    </row>
    <row r="56" spans="1:26" s="607" customFormat="1" ht="12.75">
      <c r="A56" s="608"/>
      <c r="B56" s="797"/>
      <c r="C56" s="797"/>
      <c r="D56" s="653"/>
      <c r="E56" s="653"/>
      <c r="F56" s="653"/>
      <c r="G56" s="653"/>
      <c r="H56" s="653"/>
      <c r="I56" s="653"/>
      <c r="J56" s="796"/>
      <c r="K56" s="796"/>
      <c r="L56" s="653"/>
      <c r="M56" s="653"/>
      <c r="N56" s="653"/>
      <c r="O56" s="653"/>
      <c r="P56" s="653"/>
      <c r="Q56" s="653"/>
      <c r="R56" s="653"/>
      <c r="S56" s="653"/>
      <c r="T56" s="653"/>
      <c r="U56" s="653"/>
      <c r="V56" s="653"/>
      <c r="W56" s="653"/>
      <c r="X56" s="653"/>
      <c r="Y56" s="653"/>
      <c r="Z56" s="655"/>
    </row>
    <row r="57" spans="1:26" s="607" customFormat="1" ht="12.75">
      <c r="A57" s="608"/>
      <c r="B57" s="797"/>
      <c r="C57" s="797"/>
      <c r="D57" s="653"/>
      <c r="E57" s="653"/>
      <c r="F57" s="653"/>
      <c r="G57" s="653"/>
      <c r="H57" s="653"/>
      <c r="I57" s="653"/>
      <c r="J57" s="796"/>
      <c r="K57" s="796"/>
      <c r="L57" s="653"/>
      <c r="M57" s="653"/>
      <c r="N57" s="653"/>
      <c r="O57" s="653"/>
      <c r="P57" s="653"/>
      <c r="Q57" s="653"/>
      <c r="R57" s="653"/>
      <c r="S57" s="653"/>
      <c r="T57" s="653"/>
      <c r="U57" s="653"/>
      <c r="V57" s="653"/>
      <c r="W57" s="653"/>
      <c r="X57" s="653"/>
      <c r="Y57" s="653"/>
      <c r="Z57" s="655"/>
    </row>
    <row r="58" spans="1:26" s="591" customFormat="1">
      <c r="A58" s="609" t="s">
        <v>280</v>
      </c>
      <c r="B58" s="610"/>
      <c r="C58" s="610"/>
      <c r="D58" s="610"/>
      <c r="E58" s="610"/>
      <c r="F58" s="610"/>
      <c r="G58" s="610"/>
      <c r="H58" s="610"/>
      <c r="I58" s="610"/>
      <c r="J58" s="610"/>
      <c r="K58" s="610"/>
      <c r="L58" s="611"/>
      <c r="M58" s="611">
        <f>SUM(M28:M57)</f>
        <v>0</v>
      </c>
      <c r="N58" s="611">
        <f>SUM(N28:N57)</f>
        <v>0</v>
      </c>
      <c r="O58" s="611">
        <f t="shared" ref="O58:W58" si="2">SUM(O28:O57)</f>
        <v>0</v>
      </c>
      <c r="P58" s="611">
        <f t="shared" si="2"/>
        <v>0</v>
      </c>
      <c r="Q58" s="611">
        <f t="shared" si="2"/>
        <v>0</v>
      </c>
      <c r="R58" s="611">
        <f t="shared" si="2"/>
        <v>0</v>
      </c>
      <c r="S58" s="611">
        <f t="shared" si="2"/>
        <v>0</v>
      </c>
      <c r="T58" s="611">
        <f t="shared" si="2"/>
        <v>0</v>
      </c>
      <c r="U58" s="611">
        <f t="shared" si="2"/>
        <v>0</v>
      </c>
      <c r="V58" s="611">
        <f t="shared" si="2"/>
        <v>0</v>
      </c>
      <c r="W58" s="611">
        <f t="shared" si="2"/>
        <v>0</v>
      </c>
      <c r="X58" s="612"/>
      <c r="Y58" s="612"/>
      <c r="Z58" s="613"/>
    </row>
    <row r="59" spans="1:26" s="591" customFormat="1">
      <c r="A59" s="609" t="s">
        <v>287</v>
      </c>
      <c r="B59" s="610"/>
      <c r="C59" s="610"/>
      <c r="D59" s="610"/>
      <c r="E59" s="610"/>
      <c r="F59" s="610"/>
      <c r="G59" s="610"/>
      <c r="H59" s="610"/>
      <c r="I59" s="610"/>
      <c r="J59" s="610"/>
      <c r="K59" s="610"/>
      <c r="L59" s="611"/>
      <c r="M59" s="611">
        <f t="shared" ref="M59:W59" si="3">SUMIF($Z$28:$Z$57,"industrie",M28:M57)</f>
        <v>0</v>
      </c>
      <c r="N59" s="611">
        <f t="shared" si="3"/>
        <v>0</v>
      </c>
      <c r="O59" s="611">
        <f t="shared" si="3"/>
        <v>0</v>
      </c>
      <c r="P59" s="611">
        <f t="shared" si="3"/>
        <v>0</v>
      </c>
      <c r="Q59" s="611">
        <f t="shared" si="3"/>
        <v>0</v>
      </c>
      <c r="R59" s="611">
        <f t="shared" si="3"/>
        <v>0</v>
      </c>
      <c r="S59" s="611">
        <f t="shared" si="3"/>
        <v>0</v>
      </c>
      <c r="T59" s="611">
        <f t="shared" si="3"/>
        <v>0</v>
      </c>
      <c r="U59" s="611">
        <f t="shared" si="3"/>
        <v>0</v>
      </c>
      <c r="V59" s="611">
        <f t="shared" si="3"/>
        <v>0</v>
      </c>
      <c r="W59" s="611">
        <f t="shared" si="3"/>
        <v>0</v>
      </c>
      <c r="X59" s="612"/>
      <c r="Y59" s="612"/>
      <c r="Z59" s="613"/>
    </row>
    <row r="60" spans="1:26" s="591" customFormat="1">
      <c r="A60" s="609" t="s">
        <v>288</v>
      </c>
      <c r="B60" s="610"/>
      <c r="C60" s="610"/>
      <c r="D60" s="610"/>
      <c r="E60" s="610"/>
      <c r="F60" s="610"/>
      <c r="G60" s="610"/>
      <c r="H60" s="610"/>
      <c r="I60" s="610"/>
      <c r="J60" s="610"/>
      <c r="K60" s="610"/>
      <c r="L60" s="611"/>
      <c r="M60" s="611">
        <f ca="1">SUMIF($Z$28:AC57,"tertiair",M28:M57)</f>
        <v>0</v>
      </c>
      <c r="N60" s="611">
        <f ca="1">SUMIF($Z$28:AD57,"tertiair",N28:N57)</f>
        <v>0</v>
      </c>
      <c r="O60" s="611">
        <f ca="1">SUMIF($Z$28:AE57,"tertiair",O28:O57)</f>
        <v>0</v>
      </c>
      <c r="P60" s="611">
        <f ca="1">SUMIF($Z$28:AF57,"tertiair",P28:P57)</f>
        <v>0</v>
      </c>
      <c r="Q60" s="611">
        <f ca="1">SUMIF($Z$28:AG57,"tertiair",Q28:Q57)</f>
        <v>0</v>
      </c>
      <c r="R60" s="611">
        <f ca="1">SUMIF($Z$28:AH57,"tertiair",R28:R57)</f>
        <v>0</v>
      </c>
      <c r="S60" s="611">
        <f ca="1">SUMIF($Z$28:AI57,"tertiair",S28:S57)</f>
        <v>0</v>
      </c>
      <c r="T60" s="611">
        <f ca="1">SUMIF($Z$28:AJ57,"tertiair",T28:T57)</f>
        <v>0</v>
      </c>
      <c r="U60" s="611">
        <f ca="1">SUMIF($Z$28:AK57,"tertiair",U28:U57)</f>
        <v>0</v>
      </c>
      <c r="V60" s="611">
        <f ca="1">SUMIF($Z$28:AL57,"tertiair",V28:V57)</f>
        <v>0</v>
      </c>
      <c r="W60" s="611">
        <f ca="1">SUMIF($Z$28:AM57,"tertiair",W28:W57)</f>
        <v>0</v>
      </c>
      <c r="X60" s="612"/>
      <c r="Y60" s="612"/>
      <c r="Z60" s="613"/>
    </row>
    <row r="61" spans="1:26" s="591" customFormat="1" ht="15.75" thickBot="1">
      <c r="A61" s="614" t="s">
        <v>289</v>
      </c>
      <c r="B61" s="615"/>
      <c r="C61" s="615"/>
      <c r="D61" s="615"/>
      <c r="E61" s="615"/>
      <c r="F61" s="615"/>
      <c r="G61" s="615"/>
      <c r="H61" s="615"/>
      <c r="I61" s="615"/>
      <c r="J61" s="615"/>
      <c r="K61" s="615"/>
      <c r="L61" s="616"/>
      <c r="M61" s="616">
        <f t="shared" ref="M61:W61" si="4">SUMIF($Z$28:$Z$57,"landbouw",M28:M57)</f>
        <v>0</v>
      </c>
      <c r="N61" s="616">
        <f t="shared" si="4"/>
        <v>0</v>
      </c>
      <c r="O61" s="616">
        <f t="shared" si="4"/>
        <v>0</v>
      </c>
      <c r="P61" s="616">
        <f t="shared" si="4"/>
        <v>0</v>
      </c>
      <c r="Q61" s="616">
        <f t="shared" si="4"/>
        <v>0</v>
      </c>
      <c r="R61" s="616">
        <f t="shared" si="4"/>
        <v>0</v>
      </c>
      <c r="S61" s="616">
        <f t="shared" si="4"/>
        <v>0</v>
      </c>
      <c r="T61" s="616">
        <f t="shared" si="4"/>
        <v>0</v>
      </c>
      <c r="U61" s="616">
        <f t="shared" si="4"/>
        <v>0</v>
      </c>
      <c r="V61" s="616">
        <f t="shared" si="4"/>
        <v>0</v>
      </c>
      <c r="W61" s="616">
        <f t="shared" si="4"/>
        <v>0</v>
      </c>
      <c r="X61" s="617"/>
      <c r="Y61" s="617"/>
      <c r="Z61" s="618"/>
    </row>
    <row r="62" spans="1:26" s="560" customFormat="1" ht="15.75" thickBot="1">
      <c r="A62" s="619"/>
      <c r="B62" s="620"/>
      <c r="C62" s="620"/>
      <c r="D62" s="620"/>
      <c r="E62" s="620"/>
      <c r="F62" s="620"/>
      <c r="G62" s="620"/>
      <c r="H62" s="620"/>
      <c r="I62" s="620"/>
      <c r="J62" s="620"/>
      <c r="K62" s="620"/>
      <c r="L62" s="603"/>
      <c r="M62" s="603"/>
      <c r="N62" s="603"/>
      <c r="O62" s="604"/>
      <c r="P62" s="604"/>
    </row>
    <row r="63" spans="1:26" s="560" customFormat="1" ht="45">
      <c r="A63" s="621" t="s">
        <v>281</v>
      </c>
      <c r="B63" s="650" t="s">
        <v>90</v>
      </c>
      <c r="C63" s="650" t="s">
        <v>91</v>
      </c>
      <c r="D63" s="650" t="s">
        <v>92</v>
      </c>
      <c r="E63" s="650" t="s">
        <v>93</v>
      </c>
      <c r="F63" s="650" t="s">
        <v>94</v>
      </c>
      <c r="G63" s="650" t="s">
        <v>95</v>
      </c>
      <c r="H63" s="650" t="s">
        <v>96</v>
      </c>
      <c r="I63" s="650" t="s">
        <v>97</v>
      </c>
      <c r="J63" s="650" t="s">
        <v>98</v>
      </c>
      <c r="K63" s="650" t="s">
        <v>99</v>
      </c>
      <c r="L63" s="650" t="s">
        <v>100</v>
      </c>
      <c r="M63" s="651" t="s">
        <v>298</v>
      </c>
      <c r="N63" s="651" t="s">
        <v>101</v>
      </c>
      <c r="O63" s="651" t="s">
        <v>102</v>
      </c>
      <c r="P63" s="651" t="s">
        <v>544</v>
      </c>
      <c r="Q63" s="651" t="s">
        <v>103</v>
      </c>
      <c r="R63" s="651" t="s">
        <v>104</v>
      </c>
      <c r="S63" s="651" t="s">
        <v>105</v>
      </c>
      <c r="T63" s="651" t="s">
        <v>106</v>
      </c>
      <c r="U63" s="651" t="s">
        <v>107</v>
      </c>
      <c r="V63" s="651" t="s">
        <v>108</v>
      </c>
      <c r="W63" s="650" t="s">
        <v>109</v>
      </c>
      <c r="X63" s="650" t="s">
        <v>299</v>
      </c>
      <c r="Y63" s="650" t="s">
        <v>110</v>
      </c>
      <c r="Z63" s="652" t="s">
        <v>300</v>
      </c>
    </row>
    <row r="64" spans="1:26" s="622" customFormat="1" ht="12.75">
      <c r="A64" s="608"/>
      <c r="B64" s="797"/>
      <c r="C64" s="797"/>
      <c r="D64" s="656"/>
      <c r="E64" s="656"/>
      <c r="F64" s="656"/>
      <c r="G64" s="656"/>
      <c r="H64" s="656"/>
      <c r="I64" s="656"/>
      <c r="J64" s="796"/>
      <c r="K64" s="796"/>
      <c r="L64" s="656"/>
      <c r="M64" s="656"/>
      <c r="N64" s="656"/>
      <c r="O64" s="656"/>
      <c r="P64" s="656"/>
      <c r="Q64" s="656"/>
      <c r="R64" s="656"/>
      <c r="S64" s="656"/>
      <c r="T64" s="656"/>
      <c r="U64" s="656"/>
      <c r="V64" s="656"/>
      <c r="W64" s="656"/>
      <c r="X64" s="656"/>
      <c r="Y64" s="656"/>
      <c r="Z64" s="657"/>
    </row>
    <row r="65" spans="1:26" s="622" customFormat="1" ht="12.75">
      <c r="A65" s="608"/>
      <c r="B65" s="797"/>
      <c r="C65" s="797"/>
      <c r="D65" s="656"/>
      <c r="E65" s="656"/>
      <c r="F65" s="656"/>
      <c r="G65" s="656"/>
      <c r="H65" s="656"/>
      <c r="I65" s="656"/>
      <c r="J65" s="796"/>
      <c r="K65" s="796"/>
      <c r="L65" s="656"/>
      <c r="M65" s="656"/>
      <c r="N65" s="656"/>
      <c r="O65" s="656"/>
      <c r="P65" s="656"/>
      <c r="Q65" s="656"/>
      <c r="R65" s="656"/>
      <c r="S65" s="656"/>
      <c r="T65" s="656"/>
      <c r="U65" s="656"/>
      <c r="V65" s="656"/>
      <c r="W65" s="656"/>
      <c r="X65" s="656"/>
      <c r="Y65" s="656"/>
      <c r="Z65" s="657"/>
    </row>
    <row r="66" spans="1:26" s="622" customFormat="1" ht="12.75">
      <c r="A66" s="608"/>
      <c r="B66" s="797"/>
      <c r="C66" s="797"/>
      <c r="D66" s="656"/>
      <c r="E66" s="656"/>
      <c r="F66" s="656"/>
      <c r="G66" s="656"/>
      <c r="H66" s="656"/>
      <c r="I66" s="656"/>
      <c r="J66" s="796"/>
      <c r="K66" s="796"/>
      <c r="L66" s="656"/>
      <c r="M66" s="656"/>
      <c r="N66" s="656"/>
      <c r="O66" s="656"/>
      <c r="P66" s="656"/>
      <c r="Q66" s="656"/>
      <c r="R66" s="656"/>
      <c r="S66" s="656"/>
      <c r="T66" s="656"/>
      <c r="U66" s="656"/>
      <c r="V66" s="656"/>
      <c r="W66" s="656"/>
      <c r="X66" s="656"/>
      <c r="Y66" s="656"/>
      <c r="Z66" s="657"/>
    </row>
    <row r="67" spans="1:26" s="622" customFormat="1" ht="12.75">
      <c r="A67" s="608"/>
      <c r="B67" s="797"/>
      <c r="C67" s="797"/>
      <c r="D67" s="656"/>
      <c r="E67" s="656"/>
      <c r="F67" s="656"/>
      <c r="G67" s="656"/>
      <c r="H67" s="656"/>
      <c r="I67" s="656"/>
      <c r="J67" s="796"/>
      <c r="K67" s="796"/>
      <c r="L67" s="656"/>
      <c r="M67" s="656"/>
      <c r="N67" s="656"/>
      <c r="O67" s="656"/>
      <c r="P67" s="656"/>
      <c r="Q67" s="656"/>
      <c r="R67" s="656"/>
      <c r="S67" s="656"/>
      <c r="T67" s="656"/>
      <c r="U67" s="656"/>
      <c r="V67" s="656"/>
      <c r="W67" s="656"/>
      <c r="X67" s="656"/>
      <c r="Y67" s="656"/>
      <c r="Z67" s="657"/>
    </row>
    <row r="68" spans="1:26" s="622" customFormat="1" ht="12.75">
      <c r="A68" s="608"/>
      <c r="B68" s="797"/>
      <c r="C68" s="797"/>
      <c r="D68" s="656"/>
      <c r="E68" s="656"/>
      <c r="F68" s="656"/>
      <c r="G68" s="656"/>
      <c r="H68" s="656"/>
      <c r="I68" s="656"/>
      <c r="J68" s="796"/>
      <c r="K68" s="796"/>
      <c r="L68" s="656"/>
      <c r="M68" s="656"/>
      <c r="N68" s="656"/>
      <c r="O68" s="656"/>
      <c r="P68" s="656"/>
      <c r="Q68" s="656"/>
      <c r="R68" s="656"/>
      <c r="S68" s="656"/>
      <c r="T68" s="656"/>
      <c r="U68" s="656"/>
      <c r="V68" s="656"/>
      <c r="W68" s="656"/>
      <c r="X68" s="656"/>
      <c r="Y68" s="656"/>
      <c r="Z68" s="657"/>
    </row>
    <row r="69" spans="1:26" s="622" customFormat="1" ht="12.75">
      <c r="A69" s="608"/>
      <c r="B69" s="797"/>
      <c r="C69" s="797"/>
      <c r="D69" s="656"/>
      <c r="E69" s="656"/>
      <c r="F69" s="656"/>
      <c r="G69" s="656"/>
      <c r="H69" s="656"/>
      <c r="I69" s="656"/>
      <c r="J69" s="796"/>
      <c r="K69" s="796"/>
      <c r="L69" s="656"/>
      <c r="M69" s="656"/>
      <c r="N69" s="656"/>
      <c r="O69" s="656"/>
      <c r="P69" s="656"/>
      <c r="Q69" s="656"/>
      <c r="R69" s="656"/>
      <c r="S69" s="656"/>
      <c r="T69" s="656"/>
      <c r="U69" s="656"/>
      <c r="V69" s="656"/>
      <c r="W69" s="656"/>
      <c r="X69" s="656"/>
      <c r="Y69" s="656"/>
      <c r="Z69" s="657"/>
    </row>
    <row r="70" spans="1:26" s="622" customFormat="1" ht="12.75">
      <c r="A70" s="608"/>
      <c r="B70" s="797"/>
      <c r="C70" s="797"/>
      <c r="D70" s="656"/>
      <c r="E70" s="656"/>
      <c r="F70" s="656"/>
      <c r="G70" s="656"/>
      <c r="H70" s="656"/>
      <c r="I70" s="656"/>
      <c r="J70" s="796"/>
      <c r="K70" s="796"/>
      <c r="L70" s="656"/>
      <c r="M70" s="656"/>
      <c r="N70" s="656"/>
      <c r="O70" s="656"/>
      <c r="P70" s="656"/>
      <c r="Q70" s="656"/>
      <c r="R70" s="656"/>
      <c r="S70" s="656"/>
      <c r="T70" s="656"/>
      <c r="U70" s="656"/>
      <c r="V70" s="656"/>
      <c r="W70" s="656"/>
      <c r="X70" s="656"/>
      <c r="Y70" s="656"/>
      <c r="Z70" s="657"/>
    </row>
    <row r="71" spans="1:26" s="622" customFormat="1" ht="12.75">
      <c r="A71" s="608"/>
      <c r="B71" s="797"/>
      <c r="C71" s="797"/>
      <c r="D71" s="656"/>
      <c r="E71" s="656"/>
      <c r="F71" s="656"/>
      <c r="G71" s="656"/>
      <c r="H71" s="656"/>
      <c r="I71" s="656"/>
      <c r="J71" s="796"/>
      <c r="K71" s="796"/>
      <c r="L71" s="656"/>
      <c r="M71" s="656"/>
      <c r="N71" s="656"/>
      <c r="O71" s="656"/>
      <c r="P71" s="656"/>
      <c r="Q71" s="656"/>
      <c r="R71" s="656"/>
      <c r="S71" s="656"/>
      <c r="T71" s="656"/>
      <c r="U71" s="656"/>
      <c r="V71" s="656"/>
      <c r="W71" s="656"/>
      <c r="X71" s="656"/>
      <c r="Y71" s="656"/>
      <c r="Z71" s="657"/>
    </row>
    <row r="72" spans="1:26" s="622" customFormat="1" ht="12.75">
      <c r="A72" s="608"/>
      <c r="B72" s="797"/>
      <c r="C72" s="797"/>
      <c r="D72" s="656"/>
      <c r="E72" s="656"/>
      <c r="F72" s="656"/>
      <c r="G72" s="656"/>
      <c r="H72" s="656"/>
      <c r="I72" s="656"/>
      <c r="J72" s="796"/>
      <c r="K72" s="796"/>
      <c r="L72" s="656"/>
      <c r="M72" s="656"/>
      <c r="N72" s="656"/>
      <c r="O72" s="656"/>
      <c r="P72" s="656"/>
      <c r="Q72" s="656"/>
      <c r="R72" s="656"/>
      <c r="S72" s="656"/>
      <c r="T72" s="656"/>
      <c r="U72" s="656"/>
      <c r="V72" s="656"/>
      <c r="W72" s="656"/>
      <c r="X72" s="656"/>
      <c r="Y72" s="656"/>
      <c r="Z72" s="657"/>
    </row>
    <row r="73" spans="1:26" s="622" customFormat="1" ht="12.75">
      <c r="A73" s="608"/>
      <c r="B73" s="797"/>
      <c r="C73" s="797"/>
      <c r="D73" s="656"/>
      <c r="E73" s="656"/>
      <c r="F73" s="656"/>
      <c r="G73" s="656"/>
      <c r="H73" s="656"/>
      <c r="I73" s="656"/>
      <c r="J73" s="796"/>
      <c r="K73" s="796"/>
      <c r="L73" s="656"/>
      <c r="M73" s="656"/>
      <c r="N73" s="656"/>
      <c r="O73" s="656"/>
      <c r="P73" s="656"/>
      <c r="Q73" s="656"/>
      <c r="R73" s="656"/>
      <c r="S73" s="656"/>
      <c r="T73" s="656"/>
      <c r="U73" s="656"/>
      <c r="V73" s="656"/>
      <c r="W73" s="656"/>
      <c r="X73" s="656"/>
      <c r="Y73" s="656"/>
      <c r="Z73" s="657"/>
    </row>
    <row r="74" spans="1:26" s="622" customFormat="1" ht="12.75">
      <c r="A74" s="608"/>
      <c r="B74" s="797"/>
      <c r="C74" s="797"/>
      <c r="D74" s="656"/>
      <c r="E74" s="656"/>
      <c r="F74" s="656"/>
      <c r="G74" s="656"/>
      <c r="H74" s="656"/>
      <c r="I74" s="656"/>
      <c r="J74" s="796"/>
      <c r="K74" s="796"/>
      <c r="L74" s="656"/>
      <c r="M74" s="656"/>
      <c r="N74" s="656"/>
      <c r="O74" s="656"/>
      <c r="P74" s="656"/>
      <c r="Q74" s="656"/>
      <c r="R74" s="656"/>
      <c r="S74" s="656"/>
      <c r="T74" s="656"/>
      <c r="U74" s="656"/>
      <c r="V74" s="656"/>
      <c r="W74" s="656"/>
      <c r="X74" s="656"/>
      <c r="Y74" s="656"/>
      <c r="Z74" s="657"/>
    </row>
    <row r="75" spans="1:26" s="622" customFormat="1" ht="12.75">
      <c r="A75" s="608"/>
      <c r="B75" s="797"/>
      <c r="C75" s="797"/>
      <c r="D75" s="656"/>
      <c r="E75" s="656"/>
      <c r="F75" s="656"/>
      <c r="G75" s="656"/>
      <c r="H75" s="656"/>
      <c r="I75" s="656"/>
      <c r="J75" s="796"/>
      <c r="K75" s="796"/>
      <c r="L75" s="656"/>
      <c r="M75" s="656"/>
      <c r="N75" s="656"/>
      <c r="O75" s="656"/>
      <c r="P75" s="656"/>
      <c r="Q75" s="656"/>
      <c r="R75" s="656"/>
      <c r="S75" s="656"/>
      <c r="T75" s="656"/>
      <c r="U75" s="656"/>
      <c r="V75" s="656"/>
      <c r="W75" s="656"/>
      <c r="X75" s="656"/>
      <c r="Y75" s="656"/>
      <c r="Z75" s="657"/>
    </row>
    <row r="76" spans="1:26" s="622" customFormat="1" ht="12.75">
      <c r="A76" s="608"/>
      <c r="B76" s="797"/>
      <c r="C76" s="797"/>
      <c r="D76" s="656"/>
      <c r="E76" s="656"/>
      <c r="F76" s="656"/>
      <c r="G76" s="656"/>
      <c r="H76" s="656"/>
      <c r="I76" s="656"/>
      <c r="J76" s="796"/>
      <c r="K76" s="796"/>
      <c r="L76" s="656"/>
      <c r="M76" s="656"/>
      <c r="N76" s="656"/>
      <c r="O76" s="656"/>
      <c r="P76" s="656"/>
      <c r="Q76" s="656"/>
      <c r="R76" s="656"/>
      <c r="S76" s="656"/>
      <c r="T76" s="656"/>
      <c r="U76" s="656"/>
      <c r="V76" s="656"/>
      <c r="W76" s="656"/>
      <c r="X76" s="656"/>
      <c r="Y76" s="656"/>
      <c r="Z76" s="657"/>
    </row>
    <row r="77" spans="1:26" s="622" customFormat="1" ht="12.75">
      <c r="A77" s="608"/>
      <c r="B77" s="797"/>
      <c r="C77" s="797"/>
      <c r="D77" s="656"/>
      <c r="E77" s="656"/>
      <c r="F77" s="656"/>
      <c r="G77" s="656"/>
      <c r="H77" s="656"/>
      <c r="I77" s="656"/>
      <c r="J77" s="796"/>
      <c r="K77" s="796"/>
      <c r="L77" s="656"/>
      <c r="M77" s="656"/>
      <c r="N77" s="656"/>
      <c r="O77" s="656"/>
      <c r="P77" s="656"/>
      <c r="Q77" s="656"/>
      <c r="R77" s="656"/>
      <c r="S77" s="656"/>
      <c r="T77" s="656"/>
      <c r="U77" s="656"/>
      <c r="V77" s="656"/>
      <c r="W77" s="656"/>
      <c r="X77" s="656"/>
      <c r="Y77" s="656"/>
      <c r="Z77" s="657"/>
    </row>
    <row r="78" spans="1:26" s="622" customFormat="1" ht="12.75">
      <c r="A78" s="608"/>
      <c r="B78" s="797"/>
      <c r="C78" s="797"/>
      <c r="D78" s="656"/>
      <c r="E78" s="656"/>
      <c r="F78" s="656"/>
      <c r="G78" s="656"/>
      <c r="H78" s="656"/>
      <c r="I78" s="656"/>
      <c r="J78" s="796"/>
      <c r="K78" s="796"/>
      <c r="L78" s="656"/>
      <c r="M78" s="656"/>
      <c r="N78" s="656"/>
      <c r="O78" s="656"/>
      <c r="P78" s="656"/>
      <c r="Q78" s="656"/>
      <c r="R78" s="656"/>
      <c r="S78" s="656"/>
      <c r="T78" s="656"/>
      <c r="U78" s="656"/>
      <c r="V78" s="656"/>
      <c r="W78" s="656"/>
      <c r="X78" s="656"/>
      <c r="Y78" s="656"/>
      <c r="Z78" s="657"/>
    </row>
    <row r="79" spans="1:26" s="622" customFormat="1" ht="12.75">
      <c r="A79" s="608"/>
      <c r="B79" s="797"/>
      <c r="C79" s="797"/>
      <c r="D79" s="656"/>
      <c r="E79" s="656"/>
      <c r="F79" s="656"/>
      <c r="G79" s="656"/>
      <c r="H79" s="656"/>
      <c r="I79" s="656"/>
      <c r="J79" s="796"/>
      <c r="K79" s="796"/>
      <c r="L79" s="656"/>
      <c r="M79" s="656"/>
      <c r="N79" s="656"/>
      <c r="O79" s="656"/>
      <c r="P79" s="656"/>
      <c r="Q79" s="656"/>
      <c r="R79" s="656"/>
      <c r="S79" s="656"/>
      <c r="T79" s="656"/>
      <c r="U79" s="656"/>
      <c r="V79" s="656"/>
      <c r="W79" s="656"/>
      <c r="X79" s="656"/>
      <c r="Y79" s="656"/>
      <c r="Z79" s="657"/>
    </row>
    <row r="80" spans="1:26" s="622" customFormat="1" ht="12.75">
      <c r="A80" s="608"/>
      <c r="B80" s="797"/>
      <c r="C80" s="797"/>
      <c r="D80" s="656"/>
      <c r="E80" s="656"/>
      <c r="F80" s="656"/>
      <c r="G80" s="656"/>
      <c r="H80" s="656"/>
      <c r="I80" s="656"/>
      <c r="J80" s="796"/>
      <c r="K80" s="796"/>
      <c r="L80" s="656"/>
      <c r="M80" s="656"/>
      <c r="N80" s="656"/>
      <c r="O80" s="656"/>
      <c r="P80" s="656"/>
      <c r="Q80" s="656"/>
      <c r="R80" s="656"/>
      <c r="S80" s="656"/>
      <c r="T80" s="656"/>
      <c r="U80" s="656"/>
      <c r="V80" s="656"/>
      <c r="W80" s="656"/>
      <c r="X80" s="656"/>
      <c r="Y80" s="656"/>
      <c r="Z80" s="657"/>
    </row>
    <row r="81" spans="1:27" s="622" customFormat="1" ht="12.75">
      <c r="A81" s="608"/>
      <c r="B81" s="797"/>
      <c r="C81" s="797"/>
      <c r="D81" s="656"/>
      <c r="E81" s="656"/>
      <c r="F81" s="656"/>
      <c r="G81" s="656"/>
      <c r="H81" s="656"/>
      <c r="I81" s="656"/>
      <c r="J81" s="796"/>
      <c r="K81" s="796"/>
      <c r="L81" s="656"/>
      <c r="M81" s="656"/>
      <c r="N81" s="656"/>
      <c r="O81" s="656"/>
      <c r="P81" s="656"/>
      <c r="Q81" s="656"/>
      <c r="R81" s="656"/>
      <c r="S81" s="656"/>
      <c r="T81" s="656"/>
      <c r="U81" s="656"/>
      <c r="V81" s="656"/>
      <c r="W81" s="656"/>
      <c r="X81" s="656"/>
      <c r="Y81" s="656"/>
      <c r="Z81" s="657"/>
    </row>
    <row r="82" spans="1:27" s="622" customFormat="1" ht="12.75">
      <c r="A82" s="608"/>
      <c r="B82" s="797"/>
      <c r="C82" s="797"/>
      <c r="D82" s="656"/>
      <c r="E82" s="656"/>
      <c r="F82" s="656"/>
      <c r="G82" s="656"/>
      <c r="H82" s="656"/>
      <c r="I82" s="656"/>
      <c r="J82" s="796"/>
      <c r="K82" s="796"/>
      <c r="L82" s="656"/>
      <c r="M82" s="656"/>
      <c r="N82" s="656"/>
      <c r="O82" s="656"/>
      <c r="P82" s="656"/>
      <c r="Q82" s="656"/>
      <c r="R82" s="656"/>
      <c r="S82" s="656"/>
      <c r="T82" s="656"/>
      <c r="U82" s="656"/>
      <c r="V82" s="656"/>
      <c r="W82" s="656"/>
      <c r="X82" s="656"/>
      <c r="Y82" s="656"/>
      <c r="Z82" s="657"/>
    </row>
    <row r="83" spans="1:27" s="622" customFormat="1" ht="12.75">
      <c r="A83" s="608"/>
      <c r="B83" s="797"/>
      <c r="C83" s="797"/>
      <c r="D83" s="656"/>
      <c r="E83" s="656"/>
      <c r="F83" s="656"/>
      <c r="G83" s="656"/>
      <c r="H83" s="656"/>
      <c r="I83" s="656"/>
      <c r="J83" s="796"/>
      <c r="K83" s="796"/>
      <c r="L83" s="656"/>
      <c r="M83" s="656"/>
      <c r="N83" s="656"/>
      <c r="O83" s="656"/>
      <c r="P83" s="656"/>
      <c r="Q83" s="656"/>
      <c r="R83" s="656"/>
      <c r="S83" s="656"/>
      <c r="T83" s="656"/>
      <c r="U83" s="656"/>
      <c r="V83" s="656"/>
      <c r="W83" s="656"/>
      <c r="X83" s="656"/>
      <c r="Y83" s="656"/>
      <c r="Z83" s="657"/>
    </row>
    <row r="84" spans="1:27" s="622" customFormat="1" ht="12.75">
      <c r="A84" s="608"/>
      <c r="B84" s="797"/>
      <c r="C84" s="797"/>
      <c r="D84" s="656"/>
      <c r="E84" s="656"/>
      <c r="F84" s="656"/>
      <c r="G84" s="656"/>
      <c r="H84" s="656"/>
      <c r="I84" s="656"/>
      <c r="J84" s="796"/>
      <c r="K84" s="796"/>
      <c r="L84" s="656"/>
      <c r="M84" s="656"/>
      <c r="N84" s="656"/>
      <c r="O84" s="656"/>
      <c r="P84" s="656"/>
      <c r="Q84" s="656"/>
      <c r="R84" s="656"/>
      <c r="S84" s="656"/>
      <c r="T84" s="656"/>
      <c r="U84" s="656"/>
      <c r="V84" s="656"/>
      <c r="W84" s="656"/>
      <c r="X84" s="656"/>
      <c r="Y84" s="656"/>
      <c r="Z84" s="657"/>
    </row>
    <row r="85" spans="1:27" s="622" customFormat="1" ht="12.75">
      <c r="A85" s="608"/>
      <c r="B85" s="797"/>
      <c r="C85" s="797"/>
      <c r="D85" s="656"/>
      <c r="E85" s="656"/>
      <c r="F85" s="656"/>
      <c r="G85" s="656"/>
      <c r="H85" s="656"/>
      <c r="I85" s="656"/>
      <c r="J85" s="796"/>
      <c r="K85" s="796"/>
      <c r="L85" s="656"/>
      <c r="M85" s="656"/>
      <c r="N85" s="656"/>
      <c r="O85" s="656"/>
      <c r="P85" s="656"/>
      <c r="Q85" s="656"/>
      <c r="R85" s="656"/>
      <c r="S85" s="656"/>
      <c r="T85" s="656"/>
      <c r="U85" s="656"/>
      <c r="V85" s="656"/>
      <c r="W85" s="656"/>
      <c r="X85" s="656"/>
      <c r="Y85" s="656"/>
      <c r="Z85" s="657"/>
    </row>
    <row r="86" spans="1:27" s="622" customFormat="1" ht="12.75">
      <c r="A86" s="608"/>
      <c r="B86" s="797"/>
      <c r="C86" s="797"/>
      <c r="D86" s="656"/>
      <c r="E86" s="656"/>
      <c r="F86" s="656"/>
      <c r="G86" s="656"/>
      <c r="H86" s="656"/>
      <c r="I86" s="656"/>
      <c r="J86" s="796"/>
      <c r="K86" s="796"/>
      <c r="L86" s="656"/>
      <c r="M86" s="656"/>
      <c r="N86" s="656"/>
      <c r="O86" s="656"/>
      <c r="P86" s="656"/>
      <c r="Q86" s="656"/>
      <c r="R86" s="656"/>
      <c r="S86" s="656"/>
      <c r="T86" s="656"/>
      <c r="U86" s="656"/>
      <c r="V86" s="656"/>
      <c r="W86" s="656"/>
      <c r="X86" s="656"/>
      <c r="Y86" s="656"/>
      <c r="Z86" s="657"/>
    </row>
    <row r="87" spans="1:27" s="622" customFormat="1" ht="12.75">
      <c r="A87" s="608"/>
      <c r="B87" s="797"/>
      <c r="C87" s="797"/>
      <c r="D87" s="656"/>
      <c r="E87" s="656"/>
      <c r="F87" s="656"/>
      <c r="G87" s="656"/>
      <c r="H87" s="656"/>
      <c r="I87" s="656"/>
      <c r="J87" s="796"/>
      <c r="K87" s="796"/>
      <c r="L87" s="656"/>
      <c r="M87" s="656"/>
      <c r="N87" s="656"/>
      <c r="O87" s="656"/>
      <c r="P87" s="656"/>
      <c r="Q87" s="656"/>
      <c r="R87" s="656"/>
      <c r="S87" s="656"/>
      <c r="T87" s="656"/>
      <c r="U87" s="656"/>
      <c r="V87" s="656"/>
      <c r="W87" s="656"/>
      <c r="X87" s="656"/>
      <c r="Y87" s="656"/>
      <c r="Z87" s="657"/>
    </row>
    <row r="88" spans="1:27" s="622" customFormat="1" ht="12.75">
      <c r="A88" s="608"/>
      <c r="B88" s="797"/>
      <c r="C88" s="797"/>
      <c r="D88" s="656"/>
      <c r="E88" s="656"/>
      <c r="F88" s="656"/>
      <c r="G88" s="656"/>
      <c r="H88" s="656"/>
      <c r="I88" s="656"/>
      <c r="J88" s="796"/>
      <c r="K88" s="796"/>
      <c r="L88" s="656"/>
      <c r="M88" s="656"/>
      <c r="N88" s="656"/>
      <c r="O88" s="656"/>
      <c r="P88" s="656"/>
      <c r="Q88" s="656"/>
      <c r="R88" s="656"/>
      <c r="S88" s="656"/>
      <c r="T88" s="656"/>
      <c r="U88" s="656"/>
      <c r="V88" s="656"/>
      <c r="W88" s="656"/>
      <c r="X88" s="656"/>
      <c r="Y88" s="656"/>
      <c r="Z88" s="657"/>
    </row>
    <row r="89" spans="1:27" s="591" customFormat="1">
      <c r="A89" s="609" t="s">
        <v>280</v>
      </c>
      <c r="B89" s="610"/>
      <c r="C89" s="610"/>
      <c r="D89" s="610"/>
      <c r="E89" s="610"/>
      <c r="F89" s="610"/>
      <c r="G89" s="610"/>
      <c r="H89" s="610"/>
      <c r="I89" s="610"/>
      <c r="J89" s="610"/>
      <c r="K89" s="610"/>
      <c r="L89" s="611"/>
      <c r="M89" s="611">
        <f>SUM(M64:M88)</f>
        <v>0</v>
      </c>
      <c r="N89" s="611">
        <f t="shared" ref="N89:W89" si="5">SUM(N64:N88)</f>
        <v>0</v>
      </c>
      <c r="O89" s="611">
        <f t="shared" si="5"/>
        <v>0</v>
      </c>
      <c r="P89" s="611">
        <f t="shared" si="5"/>
        <v>0</v>
      </c>
      <c r="Q89" s="611">
        <f t="shared" si="5"/>
        <v>0</v>
      </c>
      <c r="R89" s="611">
        <f t="shared" si="5"/>
        <v>0</v>
      </c>
      <c r="S89" s="611">
        <f t="shared" si="5"/>
        <v>0</v>
      </c>
      <c r="T89" s="611">
        <f t="shared" si="5"/>
        <v>0</v>
      </c>
      <c r="U89" s="611">
        <f t="shared" si="5"/>
        <v>0</v>
      </c>
      <c r="V89" s="611">
        <f t="shared" si="5"/>
        <v>0</v>
      </c>
      <c r="W89" s="611">
        <f t="shared" si="5"/>
        <v>0</v>
      </c>
      <c r="X89" s="612"/>
      <c r="Y89" s="612"/>
      <c r="Z89" s="613"/>
    </row>
    <row r="90" spans="1:27" s="591" customFormat="1">
      <c r="A90" s="609" t="s">
        <v>287</v>
      </c>
      <c r="B90" s="610"/>
      <c r="C90" s="610"/>
      <c r="D90" s="610"/>
      <c r="E90" s="610"/>
      <c r="F90" s="610"/>
      <c r="G90" s="610"/>
      <c r="H90" s="610"/>
      <c r="I90" s="610"/>
      <c r="J90" s="610"/>
      <c r="K90" s="610"/>
      <c r="L90" s="611"/>
      <c r="M90" s="611">
        <f t="shared" ref="M90:W90" si="6">SUMIF($Z$64:$Z$88,"industrie",M64:M88)</f>
        <v>0</v>
      </c>
      <c r="N90" s="611">
        <f t="shared" si="6"/>
        <v>0</v>
      </c>
      <c r="O90" s="611">
        <f t="shared" si="6"/>
        <v>0</v>
      </c>
      <c r="P90" s="611">
        <f t="shared" si="6"/>
        <v>0</v>
      </c>
      <c r="Q90" s="611">
        <f t="shared" si="6"/>
        <v>0</v>
      </c>
      <c r="R90" s="611">
        <f t="shared" si="6"/>
        <v>0</v>
      </c>
      <c r="S90" s="611">
        <f t="shared" si="6"/>
        <v>0</v>
      </c>
      <c r="T90" s="611">
        <f t="shared" si="6"/>
        <v>0</v>
      </c>
      <c r="U90" s="611">
        <f t="shared" si="6"/>
        <v>0</v>
      </c>
      <c r="V90" s="611">
        <f t="shared" si="6"/>
        <v>0</v>
      </c>
      <c r="W90" s="611">
        <f t="shared" si="6"/>
        <v>0</v>
      </c>
      <c r="X90" s="612"/>
      <c r="Y90" s="612"/>
      <c r="Z90" s="613"/>
    </row>
    <row r="91" spans="1:27" s="591" customFormat="1">
      <c r="A91" s="609" t="s">
        <v>288</v>
      </c>
      <c r="B91" s="610"/>
      <c r="C91" s="610"/>
      <c r="D91" s="610"/>
      <c r="E91" s="610"/>
      <c r="F91" s="610"/>
      <c r="G91" s="610"/>
      <c r="H91" s="610"/>
      <c r="I91" s="610"/>
      <c r="J91" s="610"/>
      <c r="K91" s="610"/>
      <c r="L91" s="611"/>
      <c r="M91" s="611">
        <f t="shared" ref="M91:W91" si="7">SUMIF($Z$64:$Z$89,"tertiair",M64:M89)</f>
        <v>0</v>
      </c>
      <c r="N91" s="611">
        <f t="shared" si="7"/>
        <v>0</v>
      </c>
      <c r="O91" s="611">
        <f t="shared" si="7"/>
        <v>0</v>
      </c>
      <c r="P91" s="611">
        <f t="shared" si="7"/>
        <v>0</v>
      </c>
      <c r="Q91" s="611">
        <f t="shared" si="7"/>
        <v>0</v>
      </c>
      <c r="R91" s="611">
        <f t="shared" si="7"/>
        <v>0</v>
      </c>
      <c r="S91" s="611">
        <f t="shared" si="7"/>
        <v>0</v>
      </c>
      <c r="T91" s="611">
        <f t="shared" si="7"/>
        <v>0</v>
      </c>
      <c r="U91" s="611">
        <f t="shared" si="7"/>
        <v>0</v>
      </c>
      <c r="V91" s="611">
        <f t="shared" si="7"/>
        <v>0</v>
      </c>
      <c r="W91" s="611">
        <f t="shared" si="7"/>
        <v>0</v>
      </c>
      <c r="X91" s="612"/>
      <c r="Y91" s="612"/>
      <c r="Z91" s="613"/>
    </row>
    <row r="92" spans="1:27" s="591" customFormat="1" ht="15.75" thickBot="1">
      <c r="A92" s="614" t="s">
        <v>289</v>
      </c>
      <c r="B92" s="615"/>
      <c r="C92" s="615"/>
      <c r="D92" s="615"/>
      <c r="E92" s="615"/>
      <c r="F92" s="615"/>
      <c r="G92" s="615"/>
      <c r="H92" s="615"/>
      <c r="I92" s="615"/>
      <c r="J92" s="615"/>
      <c r="K92" s="615"/>
      <c r="L92" s="616"/>
      <c r="M92" s="616">
        <f t="shared" ref="M92:W92" si="8">SUMIF($Z$64:$Z$90,"landbouw",M64:M90)</f>
        <v>0</v>
      </c>
      <c r="N92" s="616">
        <f t="shared" si="8"/>
        <v>0</v>
      </c>
      <c r="O92" s="616">
        <f t="shared" si="8"/>
        <v>0</v>
      </c>
      <c r="P92" s="616">
        <f t="shared" si="8"/>
        <v>0</v>
      </c>
      <c r="Q92" s="616">
        <f t="shared" si="8"/>
        <v>0</v>
      </c>
      <c r="R92" s="616">
        <f t="shared" si="8"/>
        <v>0</v>
      </c>
      <c r="S92" s="616">
        <f t="shared" si="8"/>
        <v>0</v>
      </c>
      <c r="T92" s="616">
        <f t="shared" si="8"/>
        <v>0</v>
      </c>
      <c r="U92" s="616">
        <f t="shared" si="8"/>
        <v>0</v>
      </c>
      <c r="V92" s="616">
        <f t="shared" si="8"/>
        <v>0</v>
      </c>
      <c r="W92" s="616">
        <f t="shared" si="8"/>
        <v>0</v>
      </c>
      <c r="X92" s="617"/>
      <c r="Y92" s="617"/>
      <c r="Z92" s="618"/>
    </row>
    <row r="93" spans="1:27" s="623" customFormat="1">
      <c r="A93" s="619"/>
      <c r="B93" s="603"/>
      <c r="C93" s="603"/>
      <c r="D93" s="603"/>
      <c r="E93" s="603"/>
      <c r="F93" s="603"/>
      <c r="G93" s="603"/>
      <c r="H93" s="603"/>
      <c r="I93" s="603"/>
      <c r="J93" s="603"/>
      <c r="K93" s="603"/>
      <c r="L93" s="603"/>
      <c r="M93" s="603"/>
      <c r="N93" s="603"/>
      <c r="O93" s="603"/>
      <c r="P93" s="603"/>
      <c r="Q93" s="603"/>
      <c r="R93" s="603"/>
      <c r="S93" s="603"/>
      <c r="T93" s="603"/>
      <c r="U93" s="603"/>
      <c r="V93" s="603"/>
      <c r="W93" s="603"/>
      <c r="X93" s="603"/>
      <c r="Y93" s="603"/>
    </row>
    <row r="94" spans="1:27" s="623" customFormat="1" ht="15.75" thickBot="1">
      <c r="A94" s="619"/>
      <c r="B94" s="603"/>
      <c r="C94" s="603"/>
      <c r="D94" s="603"/>
      <c r="E94" s="603"/>
      <c r="F94" s="603"/>
      <c r="G94" s="603"/>
      <c r="H94" s="603"/>
      <c r="I94" s="603"/>
      <c r="J94" s="603"/>
      <c r="K94" s="603"/>
      <c r="L94" s="603"/>
      <c r="M94" s="603"/>
      <c r="N94" s="603"/>
      <c r="O94" s="603"/>
      <c r="P94" s="603"/>
      <c r="Q94" s="603"/>
      <c r="R94" s="603"/>
      <c r="S94" s="603"/>
      <c r="T94" s="603"/>
      <c r="U94" s="603"/>
      <c r="V94" s="603"/>
      <c r="W94" s="603"/>
      <c r="X94" s="603"/>
      <c r="Y94" s="603"/>
      <c r="Z94" s="603"/>
      <c r="AA94" s="603"/>
    </row>
    <row r="95" spans="1:27">
      <c r="A95" s="624" t="s">
        <v>282</v>
      </c>
      <c r="B95" s="625"/>
      <c r="C95" s="625"/>
      <c r="D95" s="625"/>
      <c r="E95" s="625"/>
      <c r="F95" s="625"/>
      <c r="G95" s="625"/>
      <c r="H95" s="625"/>
      <c r="I95" s="626"/>
      <c r="J95" s="627"/>
      <c r="K95" s="627"/>
      <c r="L95" s="628"/>
      <c r="M95" s="628"/>
      <c r="N95" s="628"/>
      <c r="O95" s="628"/>
      <c r="P95" s="628"/>
    </row>
    <row r="96" spans="1:27">
      <c r="A96" s="630"/>
      <c r="B96" s="620"/>
      <c r="C96" s="620"/>
      <c r="D96" s="620"/>
      <c r="E96" s="620"/>
      <c r="F96" s="620"/>
      <c r="G96" s="620"/>
      <c r="H96" s="620"/>
      <c r="I96" s="631"/>
      <c r="J96" s="620"/>
      <c r="K96" s="620"/>
      <c r="L96" s="628"/>
      <c r="M96" s="628"/>
      <c r="N96" s="628"/>
      <c r="O96" s="628"/>
      <c r="P96" s="628"/>
    </row>
    <row r="97" spans="1:16">
      <c r="A97" s="632"/>
      <c r="B97" s="633" t="s">
        <v>283</v>
      </c>
      <c r="C97" s="633" t="s">
        <v>284</v>
      </c>
      <c r="D97" s="633"/>
      <c r="E97" s="633"/>
      <c r="F97" s="633"/>
      <c r="G97" s="633"/>
      <c r="H97" s="633"/>
      <c r="I97" s="634"/>
      <c r="J97" s="633"/>
      <c r="K97" s="633"/>
      <c r="L97" s="633"/>
      <c r="M97" s="633"/>
      <c r="N97" s="633"/>
      <c r="O97" s="633"/>
      <c r="P97" s="628"/>
    </row>
    <row r="98" spans="1:16">
      <c r="A98" s="630" t="s">
        <v>280</v>
      </c>
      <c r="B98" s="635">
        <f>IF(ISERROR(O58/(O58+N58)),0,O58/(O58+N58))</f>
        <v>0</v>
      </c>
      <c r="C98" s="636">
        <f>IF(ISERROR(N58/(O58+N58)),0,N58/(N58+O58))</f>
        <v>0</v>
      </c>
      <c r="D98" s="603"/>
      <c r="E98" s="603"/>
      <c r="F98" s="603"/>
      <c r="G98" s="603"/>
      <c r="H98" s="603"/>
      <c r="I98" s="637"/>
      <c r="J98" s="603"/>
      <c r="K98" s="603"/>
      <c r="L98" s="638"/>
      <c r="M98" s="638"/>
      <c r="N98" s="638"/>
      <c r="O98" s="638"/>
      <c r="P98" s="628"/>
    </row>
    <row r="99" spans="1:16">
      <c r="A99" s="630"/>
      <c r="B99" s="639"/>
      <c r="C99" s="639"/>
      <c r="D99" s="639"/>
      <c r="E99" s="639"/>
      <c r="F99" s="639"/>
      <c r="G99" s="639"/>
      <c r="H99" s="639"/>
      <c r="I99" s="640"/>
      <c r="J99" s="639"/>
      <c r="K99" s="639"/>
      <c r="L99" s="641"/>
      <c r="M99" s="641"/>
      <c r="N99" s="641"/>
      <c r="O99" s="641"/>
      <c r="P99" s="628"/>
    </row>
    <row r="100" spans="1:16" ht="30">
      <c r="A100" s="642"/>
      <c r="B100" s="643" t="s">
        <v>544</v>
      </c>
      <c r="C100" s="643" t="s">
        <v>103</v>
      </c>
      <c r="D100" s="643" t="s">
        <v>104</v>
      </c>
      <c r="E100" s="643" t="s">
        <v>105</v>
      </c>
      <c r="F100" s="643" t="s">
        <v>106</v>
      </c>
      <c r="G100" s="643" t="s">
        <v>107</v>
      </c>
      <c r="H100" s="643" t="s">
        <v>108</v>
      </c>
      <c r="I100" s="644" t="s">
        <v>109</v>
      </c>
      <c r="J100" s="633"/>
      <c r="K100" s="633"/>
      <c r="L100" s="641"/>
      <c r="M100" s="641"/>
      <c r="N100" s="641"/>
      <c r="O100" s="628"/>
      <c r="P100" s="628"/>
    </row>
    <row r="101" spans="1:16">
      <c r="A101" s="632" t="s">
        <v>285</v>
      </c>
      <c r="B101" s="645">
        <f t="shared" ref="B101:I101" si="9">$C$98*P58</f>
        <v>0</v>
      </c>
      <c r="C101" s="645">
        <f t="shared" si="9"/>
        <v>0</v>
      </c>
      <c r="D101" s="645">
        <f t="shared" si="9"/>
        <v>0</v>
      </c>
      <c r="E101" s="645">
        <f t="shared" si="9"/>
        <v>0</v>
      </c>
      <c r="F101" s="645">
        <f t="shared" si="9"/>
        <v>0</v>
      </c>
      <c r="G101" s="645">
        <f t="shared" si="9"/>
        <v>0</v>
      </c>
      <c r="H101" s="645">
        <f t="shared" si="9"/>
        <v>0</v>
      </c>
      <c r="I101" s="646">
        <f t="shared" si="9"/>
        <v>0</v>
      </c>
      <c r="J101" s="603"/>
      <c r="K101" s="603"/>
      <c r="L101" s="641"/>
      <c r="M101" s="641"/>
      <c r="N101" s="641"/>
      <c r="O101" s="628"/>
      <c r="P101" s="628"/>
    </row>
    <row r="102" spans="1:16" ht="15.75" thickBot="1">
      <c r="A102" s="647" t="s">
        <v>286</v>
      </c>
      <c r="B102" s="648">
        <f t="shared" ref="B102:I102" si="10">$B$98*P58</f>
        <v>0</v>
      </c>
      <c r="C102" s="648">
        <f t="shared" si="10"/>
        <v>0</v>
      </c>
      <c r="D102" s="648">
        <f t="shared" si="10"/>
        <v>0</v>
      </c>
      <c r="E102" s="648">
        <f t="shared" si="10"/>
        <v>0</v>
      </c>
      <c r="F102" s="648">
        <f t="shared" si="10"/>
        <v>0</v>
      </c>
      <c r="G102" s="648">
        <f t="shared" si="10"/>
        <v>0</v>
      </c>
      <c r="H102" s="648">
        <f t="shared" si="10"/>
        <v>0</v>
      </c>
      <c r="I102" s="649">
        <f t="shared" si="10"/>
        <v>0</v>
      </c>
      <c r="J102" s="603"/>
      <c r="K102" s="603"/>
      <c r="L102" s="641"/>
      <c r="M102" s="641"/>
      <c r="N102" s="641"/>
      <c r="O102" s="628"/>
      <c r="P102" s="628"/>
    </row>
    <row r="103" spans="1:16">
      <c r="J103" s="589"/>
      <c r="K103" s="589"/>
      <c r="L103" s="589"/>
      <c r="M103" s="589"/>
      <c r="N103" s="589"/>
    </row>
    <row r="104" spans="1:16">
      <c r="J104" s="589"/>
      <c r="K104" s="589"/>
      <c r="L104" s="589"/>
      <c r="M104" s="589"/>
      <c r="N104" s="589"/>
    </row>
  </sheetData>
  <mergeCells count="59">
    <mergeCell ref="A1:A3"/>
    <mergeCell ref="B1:B3"/>
    <mergeCell ref="C2:G2"/>
    <mergeCell ref="H2:H3"/>
    <mergeCell ref="I2:I3"/>
    <mergeCell ref="C1:N1"/>
    <mergeCell ref="L2:L3"/>
    <mergeCell ref="J2:J3"/>
    <mergeCell ref="K2:K3"/>
    <mergeCell ref="O1:O3"/>
    <mergeCell ref="P1:Q3"/>
    <mergeCell ref="P9:Q9"/>
    <mergeCell ref="S1:S3"/>
    <mergeCell ref="P5:Q5"/>
    <mergeCell ref="T1:U3"/>
    <mergeCell ref="M2:M3"/>
    <mergeCell ref="N2:N3"/>
    <mergeCell ref="C4:C7"/>
    <mergeCell ref="D4:D7"/>
    <mergeCell ref="E4:E7"/>
    <mergeCell ref="F4:F7"/>
    <mergeCell ref="G4:G7"/>
    <mergeCell ref="H4:H7"/>
    <mergeCell ref="I4:I7"/>
    <mergeCell ref="J4:J7"/>
    <mergeCell ref="K4:K7"/>
    <mergeCell ref="L4:L7"/>
    <mergeCell ref="M4:M7"/>
    <mergeCell ref="P4:Q4"/>
    <mergeCell ref="T4:U4"/>
    <mergeCell ref="T5:U5"/>
    <mergeCell ref="P6:Q6"/>
    <mergeCell ref="T6:U6"/>
    <mergeCell ref="P8:Q8"/>
    <mergeCell ref="T8:U8"/>
    <mergeCell ref="T9:U9"/>
    <mergeCell ref="A14:A16"/>
    <mergeCell ref="B14:B16"/>
    <mergeCell ref="C14:N14"/>
    <mergeCell ref="O14:O16"/>
    <mergeCell ref="P14:Q16"/>
    <mergeCell ref="R14:R16"/>
    <mergeCell ref="S14:T16"/>
    <mergeCell ref="C15:G15"/>
    <mergeCell ref="H15:H16"/>
    <mergeCell ref="I15:I16"/>
    <mergeCell ref="J15:J16"/>
    <mergeCell ref="K15:K16"/>
    <mergeCell ref="L15:L16"/>
    <mergeCell ref="M15:M16"/>
    <mergeCell ref="N15:N16"/>
    <mergeCell ref="P20:Q20"/>
    <mergeCell ref="S20:T20"/>
    <mergeCell ref="S17:T17"/>
    <mergeCell ref="P18:Q18"/>
    <mergeCell ref="S18:T18"/>
    <mergeCell ref="P19:Q19"/>
    <mergeCell ref="S19:T19"/>
    <mergeCell ref="P17:Q17"/>
  </mergeCells>
  <dataValidations disablePrompts="1" count="1">
    <dataValidation type="list" allowBlank="1" showInputMessage="1" showErrorMessage="1" sqref="C26">
      <formula1>#REF!</formula1>
    </dataValidation>
  </dataValidations>
  <pageMargins left="0.7" right="0.7" top="0.75" bottom="0.75" header="0.3" footer="0.3"/>
  <pageSetup paperSize="9" orientation="portrait" r:id="rId1"/>
  <drawing r:id="rId2"/>
  <legacyDrawing r:id="rId3"/>
</worksheet>
</file>

<file path=xl/worksheets/sheet31.xml><?xml version="1.0" encoding="utf-8"?>
<worksheet xmlns="http://schemas.openxmlformats.org/spreadsheetml/2006/main" xmlns:r="http://schemas.openxmlformats.org/officeDocument/2006/relationships">
  <sheetPr codeName="Sheet28">
    <tabColor theme="9"/>
  </sheetPr>
  <dimension ref="A1:J25"/>
  <sheetViews>
    <sheetView showGridLines="0" topLeftCell="F13" workbookViewId="0">
      <selection activeCell="M17" sqref="I17:M17"/>
    </sheetView>
  </sheetViews>
  <sheetFormatPr defaultRowHeight="15"/>
  <cols>
    <col min="1" max="1" width="42.85546875" bestFit="1" customWidth="1"/>
    <col min="2" max="2" width="32.7109375" bestFit="1" customWidth="1"/>
    <col min="3" max="3" width="42.85546875" bestFit="1" customWidth="1"/>
    <col min="4" max="4" width="149.85546875" bestFit="1" customWidth="1"/>
    <col min="5" max="5" width="123.28515625" bestFit="1" customWidth="1"/>
    <col min="6" max="6" width="57.7109375" bestFit="1" customWidth="1"/>
    <col min="7" max="7" width="12.5703125" bestFit="1" customWidth="1"/>
    <col min="8" max="8" width="36" bestFit="1" customWidth="1"/>
  </cols>
  <sheetData>
    <row r="1" spans="1:8" s="8" customFormat="1">
      <c r="A1" s="379" t="s">
        <v>417</v>
      </c>
      <c r="B1" s="379" t="s">
        <v>424</v>
      </c>
      <c r="C1" s="379" t="s">
        <v>423</v>
      </c>
      <c r="D1" s="379" t="s">
        <v>422</v>
      </c>
      <c r="E1" s="380" t="s">
        <v>418</v>
      </c>
      <c r="F1" s="381" t="s">
        <v>419</v>
      </c>
      <c r="G1" s="381" t="s">
        <v>420</v>
      </c>
      <c r="H1" s="381" t="s">
        <v>421</v>
      </c>
    </row>
    <row r="2" spans="1:8" s="11" customFormat="1">
      <c r="A2" s="374" t="s">
        <v>706</v>
      </c>
      <c r="B2" s="377" t="s">
        <v>755</v>
      </c>
      <c r="C2" s="374" t="s">
        <v>193</v>
      </c>
      <c r="D2" s="374" t="s">
        <v>763</v>
      </c>
      <c r="E2" s="375"/>
      <c r="F2" s="899" t="s">
        <v>757</v>
      </c>
      <c r="G2" s="899" t="s">
        <v>758</v>
      </c>
      <c r="H2" s="899" t="s">
        <v>759</v>
      </c>
    </row>
    <row r="3" spans="1:8" s="11" customFormat="1">
      <c r="A3" s="943" t="s">
        <v>764</v>
      </c>
      <c r="B3" s="944" t="s">
        <v>766</v>
      </c>
      <c r="C3" s="943" t="s">
        <v>765</v>
      </c>
      <c r="D3" s="374" t="s">
        <v>772</v>
      </c>
      <c r="E3" s="946"/>
      <c r="F3" s="947" t="s">
        <v>767</v>
      </c>
      <c r="G3" s="948" t="s">
        <v>768</v>
      </c>
      <c r="H3" s="373" t="s">
        <v>769</v>
      </c>
    </row>
    <row r="4" spans="1:8" s="11" customFormat="1">
      <c r="A4" s="943" t="s">
        <v>751</v>
      </c>
      <c r="B4" s="944" t="s">
        <v>755</v>
      </c>
      <c r="C4" s="943" t="s">
        <v>193</v>
      </c>
      <c r="D4" s="945" t="s">
        <v>773</v>
      </c>
      <c r="E4" s="946"/>
      <c r="F4" s="899" t="s">
        <v>757</v>
      </c>
      <c r="G4" s="899" t="s">
        <v>758</v>
      </c>
      <c r="H4" s="899" t="s">
        <v>759</v>
      </c>
    </row>
    <row r="5" spans="1:8" s="11" customFormat="1">
      <c r="A5" s="374" t="s">
        <v>410</v>
      </c>
      <c r="B5" s="801">
        <v>2015</v>
      </c>
      <c r="C5" s="374" t="s">
        <v>410</v>
      </c>
      <c r="D5" s="374" t="s">
        <v>770</v>
      </c>
      <c r="E5" s="375"/>
      <c r="F5" s="899" t="s">
        <v>760</v>
      </c>
      <c r="G5" s="899" t="s">
        <v>761</v>
      </c>
      <c r="H5" s="899" t="s">
        <v>762</v>
      </c>
    </row>
    <row r="6" spans="1:8">
      <c r="A6" s="369" t="s">
        <v>400</v>
      </c>
      <c r="B6" s="896" t="s">
        <v>704</v>
      </c>
      <c r="C6" s="369" t="s">
        <v>400</v>
      </c>
      <c r="D6" s="369" t="s">
        <v>703</v>
      </c>
      <c r="E6" s="371"/>
      <c r="F6" s="372" t="s">
        <v>401</v>
      </c>
      <c r="G6" s="372" t="s">
        <v>402</v>
      </c>
      <c r="H6" s="373" t="s">
        <v>403</v>
      </c>
    </row>
    <row r="7" spans="1:8">
      <c r="A7" s="369" t="s">
        <v>404</v>
      </c>
      <c r="B7" s="370" t="s">
        <v>704</v>
      </c>
      <c r="C7" s="369" t="s">
        <v>404</v>
      </c>
      <c r="D7" s="369" t="s">
        <v>705</v>
      </c>
      <c r="E7" s="371"/>
      <c r="F7" s="372" t="s">
        <v>406</v>
      </c>
      <c r="G7" s="372" t="s">
        <v>407</v>
      </c>
      <c r="H7" s="373" t="s">
        <v>405</v>
      </c>
    </row>
    <row r="8" spans="1:8">
      <c r="A8" s="374" t="s">
        <v>435</v>
      </c>
      <c r="B8" s="377" t="s">
        <v>436</v>
      </c>
      <c r="C8" s="374" t="s">
        <v>438</v>
      </c>
      <c r="D8" s="374" t="s">
        <v>434</v>
      </c>
      <c r="E8" s="371" t="s">
        <v>437</v>
      </c>
      <c r="F8" s="372"/>
      <c r="G8" s="372"/>
      <c r="H8" s="373"/>
    </row>
    <row r="9" spans="1:8" s="889" customFormat="1">
      <c r="A9" s="943" t="s">
        <v>774</v>
      </c>
      <c r="B9" s="949">
        <v>2014</v>
      </c>
      <c r="C9" s="943" t="s">
        <v>410</v>
      </c>
      <c r="D9" s="943" t="s">
        <v>775</v>
      </c>
      <c r="E9" s="950" t="s">
        <v>776</v>
      </c>
      <c r="F9" s="948"/>
      <c r="G9" s="948"/>
      <c r="H9" s="373"/>
    </row>
    <row r="10" spans="1:8" s="889" customFormat="1">
      <c r="A10" s="943" t="s">
        <v>800</v>
      </c>
      <c r="B10" s="949">
        <v>2017</v>
      </c>
      <c r="C10" s="943" t="s">
        <v>802</v>
      </c>
      <c r="D10" s="943" t="s">
        <v>801</v>
      </c>
      <c r="E10" s="376" t="s">
        <v>799</v>
      </c>
      <c r="F10" s="948"/>
      <c r="G10" s="948"/>
      <c r="H10" s="373"/>
    </row>
    <row r="11" spans="1:8" s="11" customFormat="1">
      <c r="A11" s="374" t="s">
        <v>637</v>
      </c>
      <c r="B11" s="938" t="str">
        <f>"juni 2016"</f>
        <v>juni 2016</v>
      </c>
      <c r="C11" s="374" t="s">
        <v>641</v>
      </c>
      <c r="D11" s="374" t="s">
        <v>642</v>
      </c>
      <c r="E11" s="375"/>
      <c r="F11" s="899" t="s">
        <v>638</v>
      </c>
      <c r="G11" s="899" t="s">
        <v>639</v>
      </c>
      <c r="H11" s="900" t="s">
        <v>640</v>
      </c>
    </row>
    <row r="12" spans="1:8" s="889" customFormat="1">
      <c r="A12" s="951" t="s">
        <v>779</v>
      </c>
      <c r="B12" s="952" t="s">
        <v>771</v>
      </c>
      <c r="C12" s="951" t="s">
        <v>780</v>
      </c>
      <c r="D12" s="951" t="s">
        <v>781</v>
      </c>
      <c r="E12" s="699"/>
      <c r="F12" s="948" t="s">
        <v>782</v>
      </c>
      <c r="G12" s="948" t="s">
        <v>783</v>
      </c>
      <c r="H12" s="373" t="s">
        <v>784</v>
      </c>
    </row>
    <row r="13" spans="1:8" s="889" customFormat="1">
      <c r="A13" s="943" t="s">
        <v>777</v>
      </c>
      <c r="B13" s="949">
        <v>2017</v>
      </c>
      <c r="C13" s="943" t="s">
        <v>429</v>
      </c>
      <c r="D13" s="943" t="s">
        <v>778</v>
      </c>
      <c r="E13" s="950"/>
      <c r="F13" s="948" t="s">
        <v>767</v>
      </c>
      <c r="G13" s="948" t="s">
        <v>768</v>
      </c>
      <c r="H13" s="373" t="s">
        <v>769</v>
      </c>
    </row>
    <row r="14" spans="1:8" s="10" customFormat="1">
      <c r="A14" s="374" t="s">
        <v>412</v>
      </c>
      <c r="B14" s="370" t="s">
        <v>428</v>
      </c>
      <c r="C14" s="369"/>
      <c r="D14" s="378" t="s">
        <v>427</v>
      </c>
      <c r="E14" s="371"/>
      <c r="F14" s="372"/>
      <c r="G14" s="372"/>
      <c r="H14" s="373"/>
    </row>
    <row r="15" spans="1:8">
      <c r="A15" s="369" t="s">
        <v>395</v>
      </c>
      <c r="B15" s="370" t="s">
        <v>704</v>
      </c>
      <c r="C15" s="369"/>
      <c r="D15" s="369" t="s">
        <v>707</v>
      </c>
      <c r="E15" s="376" t="s">
        <v>396</v>
      </c>
      <c r="F15" s="372" t="s">
        <v>397</v>
      </c>
      <c r="G15" s="372" t="s">
        <v>398</v>
      </c>
      <c r="H15" s="372" t="s">
        <v>399</v>
      </c>
    </row>
    <row r="16" spans="1:8">
      <c r="A16" s="369" t="s">
        <v>411</v>
      </c>
      <c r="B16" s="370" t="s">
        <v>708</v>
      </c>
      <c r="C16" s="369" t="s">
        <v>411</v>
      </c>
      <c r="D16" s="369" t="s">
        <v>425</v>
      </c>
      <c r="E16" s="371"/>
      <c r="F16" s="372" t="s">
        <v>812</v>
      </c>
      <c r="G16" s="372" t="s">
        <v>813</v>
      </c>
      <c r="H16" s="372" t="s">
        <v>814</v>
      </c>
    </row>
    <row r="17" spans="1:10" s="897" customFormat="1">
      <c r="A17" s="901" t="s">
        <v>516</v>
      </c>
      <c r="B17" s="902" t="s">
        <v>380</v>
      </c>
      <c r="C17" s="901" t="s">
        <v>378</v>
      </c>
      <c r="D17" s="903" t="s">
        <v>379</v>
      </c>
      <c r="E17" s="904" t="s">
        <v>381</v>
      </c>
      <c r="F17" s="953" t="s">
        <v>786</v>
      </c>
      <c r="G17" s="953" t="s">
        <v>787</v>
      </c>
      <c r="H17" s="373" t="s">
        <v>788</v>
      </c>
      <c r="I17" s="889"/>
    </row>
    <row r="18" spans="1:10" s="897" customFormat="1">
      <c r="A18" s="901" t="s">
        <v>516</v>
      </c>
      <c r="B18" s="902" t="s">
        <v>806</v>
      </c>
      <c r="C18" s="901" t="s">
        <v>808</v>
      </c>
      <c r="D18" s="903" t="s">
        <v>809</v>
      </c>
      <c r="E18" s="904"/>
      <c r="F18" s="947" t="s">
        <v>786</v>
      </c>
      <c r="G18" s="947" t="s">
        <v>787</v>
      </c>
      <c r="H18" s="947" t="s">
        <v>788</v>
      </c>
    </row>
    <row r="19" spans="1:10" s="11" customFormat="1">
      <c r="A19" s="374" t="s">
        <v>515</v>
      </c>
      <c r="B19" s="377" t="s">
        <v>704</v>
      </c>
      <c r="C19" s="374" t="s">
        <v>429</v>
      </c>
      <c r="D19" s="374" t="s">
        <v>710</v>
      </c>
      <c r="E19" s="375"/>
      <c r="F19" s="947" t="s">
        <v>786</v>
      </c>
      <c r="G19" s="947" t="s">
        <v>787</v>
      </c>
      <c r="H19" s="947" t="s">
        <v>788</v>
      </c>
      <c r="I19" s="889"/>
    </row>
    <row r="20" spans="1:10" s="10" customFormat="1">
      <c r="A20" s="374" t="s">
        <v>514</v>
      </c>
      <c r="B20" s="377" t="s">
        <v>513</v>
      </c>
      <c r="C20" s="374" t="s">
        <v>512</v>
      </c>
      <c r="D20" s="374" t="s">
        <v>511</v>
      </c>
      <c r="E20" s="368"/>
      <c r="F20" s="947"/>
      <c r="G20" s="947"/>
      <c r="H20" s="947"/>
    </row>
    <row r="21" spans="1:10">
      <c r="A21" s="374" t="s">
        <v>193</v>
      </c>
      <c r="B21" s="801" t="s">
        <v>704</v>
      </c>
      <c r="C21" s="374" t="s">
        <v>430</v>
      </c>
      <c r="D21" s="374" t="s">
        <v>711</v>
      </c>
      <c r="E21" s="371"/>
      <c r="F21" s="947" t="s">
        <v>431</v>
      </c>
      <c r="G21" s="947" t="s">
        <v>432</v>
      </c>
      <c r="H21" s="947" t="s">
        <v>433</v>
      </c>
    </row>
    <row r="22" spans="1:10" s="889" customFormat="1">
      <c r="A22" s="374" t="s">
        <v>411</v>
      </c>
      <c r="B22" s="801" t="s">
        <v>807</v>
      </c>
      <c r="C22" s="374" t="s">
        <v>411</v>
      </c>
      <c r="D22" s="374" t="s">
        <v>810</v>
      </c>
      <c r="E22" s="371"/>
      <c r="F22" s="947" t="s">
        <v>818</v>
      </c>
      <c r="G22" s="947" t="s">
        <v>819</v>
      </c>
      <c r="H22" s="947" t="s">
        <v>820</v>
      </c>
      <c r="I22"/>
    </row>
    <row r="23" spans="1:10" s="889" customFormat="1">
      <c r="A23" s="374" t="s">
        <v>411</v>
      </c>
      <c r="B23" s="801" t="s">
        <v>806</v>
      </c>
      <c r="C23" s="374" t="s">
        <v>411</v>
      </c>
      <c r="D23" s="374" t="s">
        <v>811</v>
      </c>
      <c r="E23" s="371"/>
      <c r="F23" s="947" t="s">
        <v>815</v>
      </c>
      <c r="G23" s="947" t="s">
        <v>816</v>
      </c>
      <c r="H23" s="947" t="s">
        <v>817</v>
      </c>
    </row>
    <row r="24" spans="1:10" s="11" customFormat="1">
      <c r="A24" s="374" t="s">
        <v>409</v>
      </c>
      <c r="B24" s="938" t="str">
        <f>"maart 2016"</f>
        <v>maart 2016</v>
      </c>
      <c r="C24" s="374" t="s">
        <v>409</v>
      </c>
      <c r="D24" s="374" t="s">
        <v>670</v>
      </c>
      <c r="E24" s="375" t="s">
        <v>671</v>
      </c>
      <c r="F24" s="947" t="s">
        <v>821</v>
      </c>
      <c r="G24" s="947" t="s">
        <v>822</v>
      </c>
      <c r="H24" s="947" t="s">
        <v>823</v>
      </c>
      <c r="I24" s="889"/>
      <c r="J24" s="889"/>
    </row>
    <row r="25" spans="1:10" s="11" customFormat="1">
      <c r="A25" s="374" t="s">
        <v>409</v>
      </c>
      <c r="B25" s="938" t="str">
        <f>"maart 2016"</f>
        <v>maart 2016</v>
      </c>
      <c r="C25" s="374" t="s">
        <v>409</v>
      </c>
      <c r="D25" s="939" t="s">
        <v>647</v>
      </c>
      <c r="E25" s="375" t="s">
        <v>426</v>
      </c>
      <c r="F25" s="947" t="s">
        <v>821</v>
      </c>
      <c r="G25" s="947" t="s">
        <v>822</v>
      </c>
      <c r="H25" s="947" t="s">
        <v>823</v>
      </c>
    </row>
  </sheetData>
  <hyperlinks>
    <hyperlink ref="H6" r:id="rId1"/>
    <hyperlink ref="H7" r:id="rId2" display="mailto:toon.lenaerts@infrax.be"/>
    <hyperlink ref="E15" r:id="rId3"/>
    <hyperlink ref="H3" r:id="rId4"/>
    <hyperlink ref="H13" r:id="rId5"/>
    <hyperlink ref="H17" r:id="rId6"/>
    <hyperlink ref="H19" r:id="rId7"/>
    <hyperlink ref="E10" r:id="rId8"/>
    <hyperlink ref="H16" r:id="rId9" display="tine.tanghe@vea.be"/>
  </hyperlinks>
  <pageMargins left="0.7" right="0.7" top="0.75" bottom="0.75" header="0.3" footer="0.3"/>
  <pageSetup paperSize="9" orientation="portrait" r:id="rId10"/>
  <ignoredErrors>
    <ignoredError sqref="B8 B14" numberStoredAsText="1"/>
  </ignoredErrors>
</worksheet>
</file>

<file path=xl/worksheets/sheet32.xml><?xml version="1.0" encoding="utf-8"?>
<worksheet xmlns="http://schemas.openxmlformats.org/spreadsheetml/2006/main" xmlns:r="http://schemas.openxmlformats.org/officeDocument/2006/relationships">
  <sheetPr codeName="Sheet29"/>
  <dimension ref="A1:D26"/>
  <sheetViews>
    <sheetView topLeftCell="A16" workbookViewId="0">
      <selection activeCell="C26" sqref="C26:D26"/>
    </sheetView>
  </sheetViews>
  <sheetFormatPr defaultRowHeight="15"/>
  <cols>
    <col min="2" max="2" width="12" bestFit="1" customWidth="1"/>
    <col min="3" max="3" width="180.140625" customWidth="1"/>
    <col min="4" max="4" width="36.28515625" bestFit="1" customWidth="1"/>
    <col min="6" max="6" width="28.5703125" bestFit="1" customWidth="1"/>
  </cols>
  <sheetData>
    <row r="1" spans="1:4">
      <c r="A1" s="905" t="s">
        <v>627</v>
      </c>
      <c r="B1" s="905" t="s">
        <v>628</v>
      </c>
      <c r="C1" s="905" t="s">
        <v>630</v>
      </c>
      <c r="D1" s="905" t="s">
        <v>629</v>
      </c>
    </row>
    <row r="2" spans="1:4" s="890" customFormat="1">
      <c r="A2" s="890" t="s">
        <v>679</v>
      </c>
      <c r="B2" s="916">
        <v>42433</v>
      </c>
      <c r="C2" s="890" t="s">
        <v>682</v>
      </c>
      <c r="D2" s="917" t="s">
        <v>677</v>
      </c>
    </row>
    <row r="3" spans="1:4" s="890" customFormat="1">
      <c r="A3" s="890" t="s">
        <v>679</v>
      </c>
      <c r="B3" s="916">
        <v>42425</v>
      </c>
      <c r="C3" s="890" t="s">
        <v>678</v>
      </c>
      <c r="D3" s="917" t="s">
        <v>673</v>
      </c>
    </row>
    <row r="4" spans="1:4" s="890" customFormat="1">
      <c r="A4" s="890" t="s">
        <v>679</v>
      </c>
      <c r="B4" s="916">
        <v>42433</v>
      </c>
      <c r="C4" s="890" t="s">
        <v>680</v>
      </c>
      <c r="D4" s="917" t="s">
        <v>674</v>
      </c>
    </row>
    <row r="5" spans="1:4" s="890" customFormat="1">
      <c r="A5" s="890" t="s">
        <v>679</v>
      </c>
      <c r="B5" s="916">
        <v>42433</v>
      </c>
      <c r="C5" s="890" t="s">
        <v>681</v>
      </c>
      <c r="D5" s="917" t="s">
        <v>675</v>
      </c>
    </row>
    <row r="6" spans="1:4" s="890" customFormat="1">
      <c r="A6" s="890" t="s">
        <v>679</v>
      </c>
      <c r="B6" s="916">
        <v>42433</v>
      </c>
      <c r="C6" s="890" t="s">
        <v>683</v>
      </c>
      <c r="D6" s="917" t="s">
        <v>676</v>
      </c>
    </row>
    <row r="7" spans="1:4" s="890" customFormat="1">
      <c r="A7" s="890" t="s">
        <v>679</v>
      </c>
      <c r="B7" s="916">
        <v>42436</v>
      </c>
      <c r="C7" s="890" t="s">
        <v>690</v>
      </c>
      <c r="D7" s="917" t="s">
        <v>645</v>
      </c>
    </row>
    <row r="8" spans="1:4" s="890" customFormat="1">
      <c r="A8" s="890" t="s">
        <v>679</v>
      </c>
      <c r="B8" s="916">
        <v>42436</v>
      </c>
      <c r="C8" s="890" t="s">
        <v>691</v>
      </c>
      <c r="D8" s="917" t="s">
        <v>646</v>
      </c>
    </row>
    <row r="9" spans="1:4" s="7" customFormat="1">
      <c r="A9" s="890" t="s">
        <v>679</v>
      </c>
      <c r="B9" s="916">
        <v>42436</v>
      </c>
      <c r="C9" s="916" t="s">
        <v>712</v>
      </c>
      <c r="D9" s="917" t="s">
        <v>697</v>
      </c>
    </row>
    <row r="10" spans="1:4" s="7" customFormat="1">
      <c r="A10" s="890" t="s">
        <v>679</v>
      </c>
      <c r="B10" s="916">
        <v>42436</v>
      </c>
      <c r="C10" s="916" t="s">
        <v>698</v>
      </c>
      <c r="D10" s="917" t="s">
        <v>660</v>
      </c>
    </row>
    <row r="11" spans="1:4" s="7" customFormat="1">
      <c r="A11" s="890" t="s">
        <v>679</v>
      </c>
      <c r="B11" s="916">
        <v>42538</v>
      </c>
      <c r="C11" s="916" t="s">
        <v>732</v>
      </c>
      <c r="D11" s="916"/>
    </row>
    <row r="12" spans="1:4" s="7" customFormat="1">
      <c r="A12" s="890" t="s">
        <v>679</v>
      </c>
      <c r="B12" s="916">
        <v>42538</v>
      </c>
      <c r="C12" s="916" t="s">
        <v>734</v>
      </c>
      <c r="D12" s="932" t="s">
        <v>736</v>
      </c>
    </row>
    <row r="13" spans="1:4" s="7" customFormat="1">
      <c r="A13" s="890" t="s">
        <v>679</v>
      </c>
      <c r="B13" s="916">
        <v>42538</v>
      </c>
      <c r="C13" s="916" t="s">
        <v>735</v>
      </c>
      <c r="D13" s="933" t="s">
        <v>737</v>
      </c>
    </row>
    <row r="14" spans="1:4" s="7" customFormat="1">
      <c r="A14" s="890" t="s">
        <v>679</v>
      </c>
      <c r="B14" s="916">
        <v>42538</v>
      </c>
      <c r="C14" s="916" t="s">
        <v>733</v>
      </c>
      <c r="D14" s="932" t="s">
        <v>738</v>
      </c>
    </row>
    <row r="15" spans="1:4" s="7" customFormat="1">
      <c r="A15" s="890" t="s">
        <v>743</v>
      </c>
      <c r="B15" s="916">
        <v>42583</v>
      </c>
      <c r="C15" s="916" t="s">
        <v>744</v>
      </c>
      <c r="D15" s="898"/>
    </row>
    <row r="16" spans="1:4" s="7" customFormat="1">
      <c r="A16" s="890" t="s">
        <v>754</v>
      </c>
      <c r="B16" s="941">
        <v>42877</v>
      </c>
      <c r="C16" s="889" t="s">
        <v>803</v>
      </c>
      <c r="D16" s="942" t="s">
        <v>676</v>
      </c>
    </row>
    <row r="17" spans="1:4" s="7" customFormat="1">
      <c r="A17" s="890" t="s">
        <v>754</v>
      </c>
      <c r="B17" s="941">
        <v>42877</v>
      </c>
      <c r="C17" s="889" t="s">
        <v>804</v>
      </c>
      <c r="D17" s="942" t="s">
        <v>752</v>
      </c>
    </row>
    <row r="18" spans="1:4" s="7" customFormat="1">
      <c r="A18" s="890" t="s">
        <v>754</v>
      </c>
      <c r="B18" s="941">
        <v>42877</v>
      </c>
      <c r="C18" s="889" t="s">
        <v>805</v>
      </c>
      <c r="D18" s="942" t="s">
        <v>753</v>
      </c>
    </row>
    <row r="19" spans="1:4" s="7" customFormat="1">
      <c r="A19" s="890" t="s">
        <v>789</v>
      </c>
      <c r="B19" s="916">
        <v>43167</v>
      </c>
      <c r="C19" s="916" t="s">
        <v>790</v>
      </c>
      <c r="D19" s="942" t="s">
        <v>791</v>
      </c>
    </row>
    <row r="20" spans="1:4" s="7" customFormat="1">
      <c r="A20" s="890" t="s">
        <v>789</v>
      </c>
      <c r="B20" s="916">
        <v>43167</v>
      </c>
      <c r="C20" s="916" t="s">
        <v>792</v>
      </c>
      <c r="D20" s="954" t="s">
        <v>793</v>
      </c>
    </row>
    <row r="21" spans="1:4">
      <c r="A21" s="890" t="s">
        <v>789</v>
      </c>
      <c r="B21" s="916">
        <v>43167</v>
      </c>
      <c r="C21" s="916" t="s">
        <v>794</v>
      </c>
      <c r="D21" s="954" t="s">
        <v>795</v>
      </c>
    </row>
    <row r="22" spans="1:4">
      <c r="A22" s="890" t="s">
        <v>789</v>
      </c>
      <c r="B22" s="916">
        <v>43167</v>
      </c>
      <c r="C22" s="916" t="s">
        <v>796</v>
      </c>
      <c r="D22" s="954" t="s">
        <v>797</v>
      </c>
    </row>
    <row r="23" spans="1:4">
      <c r="A23" s="890" t="s">
        <v>789</v>
      </c>
      <c r="B23" s="916">
        <v>43278</v>
      </c>
      <c r="C23" s="916" t="s">
        <v>824</v>
      </c>
      <c r="D23" s="942"/>
    </row>
    <row r="24" spans="1:4">
      <c r="A24" s="890" t="s">
        <v>825</v>
      </c>
      <c r="B24" s="916">
        <v>43425</v>
      </c>
      <c r="C24" s="916" t="s">
        <v>826</v>
      </c>
    </row>
    <row r="25" spans="1:4">
      <c r="A25" s="890" t="s">
        <v>872</v>
      </c>
      <c r="B25" s="916">
        <v>43573</v>
      </c>
      <c r="C25" s="916" t="s">
        <v>873</v>
      </c>
    </row>
    <row r="26" spans="1:4">
      <c r="A26" s="890" t="s">
        <v>896</v>
      </c>
      <c r="B26" s="916">
        <v>43678</v>
      </c>
      <c r="C26" s="916" t="s">
        <v>897</v>
      </c>
      <c r="D26" s="954" t="s">
        <v>898</v>
      </c>
    </row>
  </sheetData>
  <hyperlinks>
    <hyperlink ref="D7" location="'EF N2O_CH4 landbouw'!A1" display="'EF N2O_CH4 landbouw'!A1"/>
    <hyperlink ref="D8" location="'ha_N2O bodem landbouw'!A1" display="'ha_N2O bodem landbouw'!A1"/>
    <hyperlink ref="D3" location="transport!B69" display="transport!B69"/>
    <hyperlink ref="D4" location="transport!C38" display="transport!C38"/>
    <hyperlink ref="D5" location="transport!B27" display="transport!B27"/>
    <hyperlink ref="D6" location="'ECF transport '!A1" display="'ECF transport '!A1"/>
    <hyperlink ref="D2" location="transport!D27" display="transport!D27"/>
    <hyperlink ref="D9" location="huishoudens!A1" display="huishoudens!A1"/>
    <hyperlink ref="D10" location="'E Balans VL '!A1" display="'E Balans VL '!A1"/>
    <hyperlink ref="D12" location="data!A73" display="data!A73"/>
    <hyperlink ref="D13" location="'ECF transport '!A2" display="'ECF transport '!A2"/>
    <hyperlink ref="D14" location="transport!A1" display="transport!A1"/>
    <hyperlink ref="D16" location="'ECF transport '!A1" display="ECF transport '!A1"/>
    <hyperlink ref="D17" location="transport!A21" display="transport!A21"/>
    <hyperlink ref="D18" location="transport!A28" display="transport!A28"/>
    <hyperlink ref="D19" location="industrie!A1" display="industrie!C35"/>
    <hyperlink ref="D20" location="'SEAP template'!A1" display="'SEAP template'!M33"/>
    <hyperlink ref="D21" location="'openbare verlichting'!A1" display="'openbare verlichting'!B8"/>
    <hyperlink ref="D22" location="'EF ele_warmte'!A1" display="'EF ele_warmte'!A1"/>
    <hyperlink ref="D26" location="'EF ele_warmte'!A1" display="'EF ele_warmte'!A1"/>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32</vt:i4>
      </vt:variant>
      <vt:variant>
        <vt:lpstr>Charts</vt:lpstr>
      </vt:variant>
      <vt:variant>
        <vt:i4>4</vt:i4>
      </vt:variant>
      <vt:variant>
        <vt:lpstr>Named Ranges</vt:lpstr>
      </vt:variant>
      <vt:variant>
        <vt:i4>217</vt:i4>
      </vt:variant>
    </vt:vector>
  </HeadingPairs>
  <TitlesOfParts>
    <vt:vector size="253" baseType="lpstr">
      <vt:lpstr>LEGENDE</vt:lpstr>
      <vt:lpstr>OUTPUT--&gt;</vt:lpstr>
      <vt:lpstr>SEAP template</vt:lpstr>
      <vt:lpstr>Inventaris 2014</vt:lpstr>
      <vt:lpstr>betrouwbaarheid inventaris</vt:lpstr>
      <vt:lpstr>Lokale energieproductie 2014</vt:lpstr>
      <vt:lpstr>betrouwbaarheid productie</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grafiek finaal energieverbruik</vt:lpstr>
      <vt:lpstr>taart finaal energieverbruik</vt:lpstr>
      <vt:lpstr>grafiek CO2 emissies</vt:lpstr>
      <vt:lpstr>taart CO2 emissies</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aantalHuishouden2020</vt:lpstr>
      <vt:lpstr>aantalHuishoudens2011</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vkm_2011_bus</vt:lpstr>
      <vt:lpstr>vkm_2011_GW_PW</vt:lpstr>
      <vt:lpstr>vkm_2011_GW_ZV</vt:lpstr>
      <vt:lpstr>vkm_2011_NGW_LV</vt:lpstr>
      <vt:lpstr>vkm_2011_NGW_PW</vt:lpstr>
      <vt:lpstr>vkm_2011_NGW_ZV</vt:lpstr>
      <vt:lpstr>vkm_2011_SW_PW</vt:lpstr>
      <vt:lpstr>vkm_2011_SW_ZV</vt:lpstr>
      <vt:lpstr>vkm_2011_tram</vt:lpstr>
      <vt:lpstr>vkm_2020_bus</vt:lpstr>
      <vt:lpstr>vkm_2020_GW_PW</vt:lpstr>
      <vt:lpstr>vkm_2020_GW_ZV</vt:lpstr>
      <vt:lpstr>vkm_2020_NGW_PW</vt:lpstr>
      <vt:lpstr>vkm_2020_NGW_ZV</vt:lpstr>
      <vt:lpstr>vkm_2020_SW_PW</vt:lpstr>
      <vt:lpstr>vkm_2020_SW_ZV</vt:lpstr>
      <vt:lpstr>vkm_2020_tram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VHULSELM</cp:lastModifiedBy>
  <dcterms:created xsi:type="dcterms:W3CDTF">2013-05-17T14:24:21Z</dcterms:created>
  <dcterms:modified xsi:type="dcterms:W3CDTF">2019-08-12T08:10:48Z</dcterms:modified>
</cp:coreProperties>
</file>