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31"/>
  <c r="D24"/>
  <c r="D28"/>
  <c r="D32"/>
  <c r="L32"/>
  <c r="L29"/>
  <c r="L28"/>
  <c r="L27"/>
  <c r="L22"/>
  <c r="L30"/>
  <c r="L31"/>
  <c r="L24"/>
  <c r="Q10" i="14"/>
  <c r="P5" i="48"/>
  <c r="P23" s="1"/>
  <c r="K28"/>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G13"/>
  <c r="H18" i="14"/>
  <c r="R18" s="1"/>
  <c r="H13" i="48"/>
  <c r="H31" s="1"/>
  <c r="I18" i="14"/>
  <c r="P22" i="16"/>
  <c r="Q43" i="14" s="1"/>
  <c r="Q13"/>
  <c r="P8" i="48"/>
  <c r="P26" s="1"/>
  <c r="C22" i="14"/>
  <c r="K23" i="48"/>
  <c r="K15"/>
  <c r="I5"/>
  <c r="J10" i="14"/>
  <c r="J16" s="1"/>
  <c r="J27" s="1"/>
  <c r="F20"/>
  <c r="F22" s="1"/>
  <c r="E9" i="48"/>
  <c r="E27" s="1"/>
  <c r="E20" i="14"/>
  <c r="E22" s="1"/>
  <c r="D9" i="48"/>
  <c r="D27" s="1"/>
  <c r="P10" i="14"/>
  <c r="O5" i="48"/>
  <c r="O23" s="1"/>
  <c r="K24" i="14"/>
  <c r="K26" s="1"/>
  <c r="J7" i="48"/>
  <c r="J25" s="1"/>
  <c r="C20" i="14"/>
  <c r="B9" i="48"/>
  <c r="P22"/>
  <c r="P33" s="1"/>
  <c r="Q16" i="14"/>
  <c r="Q27" s="1"/>
  <c r="K33" i="48"/>
  <c r="J46" i="14"/>
  <c r="J61" s="1"/>
  <c r="D10"/>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E7"/>
  <c r="E25" s="1"/>
  <c r="F24" i="14"/>
  <c r="F26" s="1"/>
  <c r="Q13" i="48"/>
  <c r="G31"/>
  <c r="N20" i="14"/>
  <c r="M9" i="48"/>
  <c r="G9"/>
  <c r="H20" i="14"/>
  <c r="H22" s="1"/>
  <c r="H27" s="1"/>
  <c r="N19"/>
  <c r="M10" i="48"/>
  <c r="M28" s="1"/>
  <c r="O22" i="16"/>
  <c r="P43" i="14" s="1"/>
  <c r="P46" s="1"/>
  <c r="P61" s="1"/>
  <c r="P13"/>
  <c r="P16" s="1"/>
  <c r="P27" s="1"/>
  <c r="O8" i="48"/>
  <c r="O26" s="1"/>
  <c r="O33" s="1"/>
  <c r="I23"/>
  <c r="I33" s="1"/>
  <c r="I15"/>
  <c r="G10"/>
  <c r="H19" i="14"/>
  <c r="R19" s="1"/>
  <c r="J4" i="48"/>
  <c r="K11" i="14"/>
  <c r="N22"/>
  <c r="N27" s="1"/>
  <c r="Q46"/>
  <c r="Q61" s="1"/>
  <c r="Q63" s="1"/>
  <c r="J63"/>
  <c r="P15" i="48"/>
  <c r="O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K10"/>
  <c r="J5" i="48"/>
  <c r="J23" s="1"/>
  <c r="M27"/>
  <c r="M33" s="1"/>
  <c r="M15"/>
  <c r="F10" i="14"/>
  <c r="E5" i="48"/>
  <c r="E23" s="1"/>
  <c r="G27"/>
  <c r="G33" s="1"/>
  <c r="G15"/>
  <c r="H9"/>
  <c r="I20" i="14"/>
  <c r="G28" i="48"/>
  <c r="Q10"/>
  <c r="E22"/>
  <c r="Q4"/>
  <c r="J22"/>
  <c r="R11"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I22" i="14"/>
  <c r="I27" s="1"/>
  <c r="I63" s="1"/>
  <c r="R20"/>
  <c r="R22" s="1"/>
  <c r="J22" i="16"/>
  <c r="K43" i="14" s="1"/>
  <c r="K46" s="1"/>
  <c r="K61" s="1"/>
  <c r="K63" s="1"/>
  <c r="J8" i="48"/>
  <c r="K13" i="14"/>
  <c r="F13"/>
  <c r="F16" s="1"/>
  <c r="F27" s="1"/>
  <c r="E8" i="48"/>
  <c r="E26" s="1"/>
  <c r="E33" s="1"/>
  <c r="F46" i="14"/>
  <c r="F61" s="1"/>
  <c r="K16"/>
  <c r="K27" s="1"/>
  <c r="Q9" i="48"/>
  <c r="E15"/>
  <c r="O13" i="14"/>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<sst xmlns="http://schemas.openxmlformats.org/spreadsheetml/2006/main" count="2428" uniqueCount="913">
  <si>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</si>
  <si>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</si>
  <si>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</si>
  <si>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</si>
  <si>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</si>
  <si>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</si>
  <si>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</si>
  <si>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</si>
  <si>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</si>
  <si>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</si>
  <si>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</si>
  <si>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</si>
  <si>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</si>
  <si>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</si>
  <si>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</si>
  <si>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</si>
  <si>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</si>
  <si>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</si>
  <si>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</si>
  <si>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</si>
  <si>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</si>
  <si>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</si>
  <si>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</si>
  <si>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</si>
  <si>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</si>
  <si>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</si>
  <si>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</si>
  <si>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</si>
  <si>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</si>
  <si>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</si>
  <si>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</si>
  <si>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</si>
  <si>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</si>
  <si>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</si>
  <si>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</si>
  <si>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</si>
  <si>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</si>
  <si>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</si>
  <si>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</si>
  <si>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</si>
  <si>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</si>
  <si>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</si>
  <si>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</si>
  <si>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</si>
  <si>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</si>
  <si>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</si>
  <si>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</si>
  <si>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</si>
  <si>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</si>
  <si>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</si>
  <si>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</si>
  <si>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</si>
  <si>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</si>
  <si>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</si>
  <si>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</si>
  <si>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</si>
  <si>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</si>
  <si>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</si>
  <si>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</si>
  <si>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</si>
  <si>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</si>
  <si>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</si>
  <si>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</si>
  <si>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</si>
  <si>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</si>
  <si>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</si>
  <si>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</si>
  <si>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</si>
  <si>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</si>
  <si>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</si>
  <si>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</si>
  <si>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</si>
  <si>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</si>
  <si>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</si>
  <si>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</si>
  <si>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</si>
  <si>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</si>
  <si>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</si>
  <si>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</si>
  <si>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</si>
  <si>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</si>
  <si>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</si>
  <si>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</si>
  <si>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</si>
  <si>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</si>
  <si>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</si>
  <si>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</si>
  <si>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</si>
  <si>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</si>
  <si>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</si>
  <si>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</si>
  <si>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</si>
  <si>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</si>
  <si>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</si>
  <si>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</si>
  <si>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</si>
  <si>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</si>
  <si>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</si>
  <si>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</si>
  <si>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</si>
  <si>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</si>
  <si>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</si>
  <si>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</si>
  <si>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</si>
  <si>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</si>
  <si>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</si>
  <si>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</si>
  <si>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</si>
  <si>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</si>
  <si>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</si>
  <si>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</si>
  <si>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</si>
  <si>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</si>
  <si>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</si>
  <si>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</si>
  <si>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</si>
  <si>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</si>
  <si>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</si>
  <si>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</si>
  <si>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</si>
  <si>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</si>
  <si>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</si>
  <si>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</si>
  <si>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</si>
  <si>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</si>
  <si>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</si>
  <si>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</si>
  <si>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</si>
  <si>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</si>
  <si>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</si>
  <si>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</si>
  <si>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</si>
  <si>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</si>
  <si>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</si>
  <si>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</si>
  <si>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</si>
  <si>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</si>
  <si>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</si>
  <si>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</si>
  <si>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</si>
  <si>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</si>
  <si>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</si>
  <si>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</si>
  <si>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</si>
  <si>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</si>
  <si>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</si>
  <si>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</si>
  <si>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</si>
  <si>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</si>
  <si>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</si>
  <si>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</si>
  <si>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</si>
  <si>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</si>
  <si>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</si>
  <si>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</si>
  <si>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</si>
  <si>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</si>
  <si>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</si>
  <si>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</si>
  <si>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</si>
  <si>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</si>
  <si>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</si>
  <si>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</si>
  <si>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</si>
  <si>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</si>
  <si>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</si>
  <si>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</si>
  <si>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</si>
  <si>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</si>
  <si>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</si>
  <si>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</si>
  <si>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</si>
  <si>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</si>
  <si>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</si>
  <si>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</si>
  <si>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</si>
  <si>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</si>
  <si>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</si>
  <si>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</si>
  <si>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</si>
  <si>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</si>
  <si>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</si>
  <si>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</si>
  <si>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</si>
  <si>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</si>
  <si>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</si>
  <si>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</si>
  <si>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</si>
  <si>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</si>
  <si>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</si>
  <si>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</si>
  <si>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</si>
  <si>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</si>
  <si>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</si>
  <si>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</si>
  <si>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</si>
  <si>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</si>
  <si>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</si>
  <si>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</si>
  <si>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</si>
  <si>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</si>
  <si>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</si>
  <si>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</si>
  <si>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</si>
  <si>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</si>
  <si>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</si>
  <si>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</si>
  <si>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</si>
  <si>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</si>
  <si>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</si>
  <si>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</si>
  <si>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</si>
  <si>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</si>
  <si>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</si>
  <si>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</si>
  <si>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</si>
  <si>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</si>
  <si>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</si>
  <si>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</si>
  <si>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</si>
  <si>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</si>
  <si>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</si>
  <si>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</si>
  <si>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</si>
  <si>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</si>
  <si>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</si>
  <si>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</si>
  <si>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</si>
  <si>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</si>
  <si>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</si>
  <si>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</si>
  <si>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</si>
  <si>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</si>
  <si>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</si>
  <si>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</si>
  <si>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</si>
  <si>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</si>
  <si>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</si>
  <si>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</si>
  <si>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</si>
  <si>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</si>
  <si>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</si>
  <si>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</si>
  <si>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</si>
  <si>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</si>
  <si>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</si>
  <si>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</si>
  <si>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</si>
  <si>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</si>
  <si>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</si>
  <si>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</si>
  <si>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</si>
  <si>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</si>
  <si>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</si>
  <si>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</si>
  <si>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</si>
  <si>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</si>
  <si>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</si>
  <si>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</si>
  <si>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</si>
  <si>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</si>
  <si>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</si>
  <si>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</si>
  <si>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</si>
  <si>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</si>
  <si>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</si>
  <si>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</si>
  <si>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</si>
  <si>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</si>
  <si>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</si>
  <si>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</si>
  <si>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</si>
  <si>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</si>
  <si>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</si>
  <si>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</si>
  <si>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</si>
  <si>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</si>
  <si>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</si>
  <si>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</si>
  <si>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</si>
  <si>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</si>
  <si>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</si>
  <si>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</si>
  <si>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</si>
  <si>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</si>
  <si>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</si>
  <si>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</si>
  <si>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</si>
  <si>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</si>
  <si>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</si>
  <si>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</si>
  <si>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</si>
  <si>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</si>
  <si>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</si>
  <si>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</si>
  <si>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</si>
  <si>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</si>
  <si>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</si>
  <si>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</si>
  <si>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</si>
  <si>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</si>
  <si>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</si>
  <si>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</si>
  <si>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</si>
  <si>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</si>
  <si>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</si>
  <si>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</si>
  <si>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</si>
  <si>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</si>
  <si>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</si>
  <si>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</si>
  <si>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</si>
  <si>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</si>
  <si>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</si>
  <si>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</si>
  <si>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</si>
  <si>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</si>
  <si>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</si>
  <si>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</si>
  <si>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</si>
  <si>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</si>
  <si>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</si>
  <si>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</si>
  <si>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</si>
  <si>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</si>
  <si>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</si>
  <si>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</si>
  <si>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</si>
  <si>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</si>
  <si>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</si>
  <si>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</si>
  <si>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</si>
  <si>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</si>
  <si>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</si>
  <si>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</si>
  <si>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</si>
  <si>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</si>
  <si>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</si>
  <si>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</si>
  <si>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</si>
  <si>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</si>
  <si>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</si>
  <si>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</si>
  <si>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</si>
  <si>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</si>
  <si>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</si>
  <si>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</si>
  <si>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</si>
  <si>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</si>
  <si>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</si>
  <si>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</si>
  <si>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</si>
  <si>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</si>
  <si>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</si>
  <si>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</si>
  <si>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</si>
  <si>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</si>
  <si>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</si>
  <si>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</si>
  <si>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</si>
  <si>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</si>
  <si>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</si>
  <si>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</si>
  <si>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</si>
  <si>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</si>
  <si>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</si>
  <si>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</si>
  <si>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</si>
  <si>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</si>
  <si>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</si>
  <si>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</si>
  <si>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</si>
  <si>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</si>
  <si>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</si>
  <si>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</si>
  <si>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</si>
  <si>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</si>
  <si>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</si>
  <si>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</si>
  <si>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</si>
  <si>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</si>
  <si>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</si>
  <si>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</si>
  <si>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</si>
  <si>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</si>
  <si>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</si>
  <si>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</si>
  <si>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</si>
  <si>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</si>
  <si>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</si>
  <si>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</si>
  <si>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</si>
  <si>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</si>
  <si>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</si>
  <si>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</si>
  <si>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</si>
  <si>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</si>
  <si>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</si>
  <si>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</si>
  <si>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</si>
  <si>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</si>
  <si>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</si>
  <si>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</si>
  <si>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</si>
  <si>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</si>
  <si>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</si>
  <si>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</si>
  <si>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</si>
  <si>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</si>
  <si>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</si>
  <si>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</si>
  <si>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</si>
  <si>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</si>
  <si>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</si>
  <si>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</si>
  <si>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</si>
  <si>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</si>
  <si>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</si>
  <si>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</si>
  <si>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</si>
  <si>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</si>
  <si>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</si>
  <si>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</si>
  <si>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</si>
  <si>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</si>
  <si>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</si>
  <si>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</si>
  <si>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</si>
  <si>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</si>
  <si>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</si>
  <si>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</si>
  <si>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</si>
  <si>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</si>
  <si>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</si>
  <si>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</si>
  <si>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</si>
  <si>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</si>
  <si>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</si>
  <si>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</si>
  <si>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</si>
  <si>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</si>
  <si>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</si>
  <si>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</si>
  <si>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</si>
  <si>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</si>
  <si>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</si>
  <si>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</si>
  <si>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</si>
  <si>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</si>
  <si>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</si>
  <si>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</si>
  <si>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</si>
  <si>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</si>
  <si>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</si>
  <si>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</si>
  <si>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</si>
  <si>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</si>
  <si>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</si>
  <si>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</si>
  <si>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</si>
  <si>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</si>
  <si>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</si>
  <si>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</si>
  <si>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</si>
  <si>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</si>
  <si>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</si>
  <si>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</si>
  <si>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</si>
  <si>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</si>
  <si>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</si>
  <si>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</si>
  <si>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</si>
  <si>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</si>
  <si>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</si>
  <si>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</si>
  <si>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</si>
  <si>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</si>
  <si>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</si>
  <si>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</si>
  <si>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</si>
  <si>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</si>
  <si>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</si>
  <si>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</si>
  <si>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</si>
  <si>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</si>
  <si>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</si>
  <si>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</si>
  <si>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</si>
  <si>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</si>
  <si>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</si>
  <si>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</si>
  <si>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</si>
  <si>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</si>
  <si>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</si>
  <si>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</si>
  <si>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</si>
  <si>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</si>
  <si>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</si>
  <si>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</si>
  <si>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</si>
  <si>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</si>
  <si>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</si>
  <si>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</si>
  <si>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</si>
  <si>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</si>
  <si>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</si>
  <si>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</si>
  <si>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</si>
  <si>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</si>
  <si>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</si>
  <si>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</si>
  <si>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</si>
  <si>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</si>
  <si>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</si>
  <si>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</si>
  <si>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</si>
  <si>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</si>
  <si>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</si>
  <si>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</si>
  <si>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</si>
  <si>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</si>
  <si>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</si>
  <si>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</si>
  <si>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</si>
  <si>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</si>
  <si>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</si>
  <si>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</si>
  <si>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</si>
  <si>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</si>
  <si>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</si>
  <si>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</si>
  <si>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</si>
  <si>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</si>
  <si>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</si>
  <si>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</si>
  <si>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</si>
  <si>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</si>
  <si>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</si>
  <si>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</si>
  <si>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</si>
  <si>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</si>
  <si>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</si>
  <si>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</si>
  <si>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</si>
  <si>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</si>
  <si>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</si>
  <si>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</si>
  <si>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</si>
  <si>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</si>
  <si>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</si>
  <si>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</si>
  <si>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</si>
  <si>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</si>
  <si>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</si>
  <si>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</si>
  <si>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</si>
  <si>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</si>
  <si>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</si>
  <si>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</si>
  <si>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</si>
  <si>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</si>
  <si>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</si>
  <si>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</si>
  <si>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</si>
  <si>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</si>
  <si>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</si>
  <si>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</si>
  <si>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</si>
  <si>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</si>
  <si>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</si>
  <si>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</si>
  <si>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</si>
  <si>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</si>
  <si>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</si>
  <si>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</si>
  <si>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</si>
  <si>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</si>
  <si>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</si>
  <si>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</si>
  <si>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</si>
  <si>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</si>
  <si>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</si>
  <si>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</si>
  <si>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</si>
  <si>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</si>
  <si>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</si>
  <si>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</si>
  <si>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</si>
  <si>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</si>
  <si>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</si>
  <si>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</si>
  <si>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</si>
  <si>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</si>
  <si>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</si>
  <si>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</si>
  <si>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</si>
  <si>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</si>
  <si>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</si>
  <si>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</si>
  <si>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</si>
  <si>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</si>
  <si>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</si>
  <si>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</si>
  <si>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</si>
  <si>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</si>
  <si>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</si>
  <si>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</si>
  <si>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</si>
  <si>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</si>
  <si>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</si>
  <si>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</si>
  <si>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</si>
  <si>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</si>
  <si>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</si>
  <si>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</si>
  <si>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</si>
  <si>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</si>
  <si>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</si>
  <si>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</si>
  <si>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</si>
  <si>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</si>
  <si>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</si>
  <si>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</si>
  <si>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</si>
  <si>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</si>
  <si>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</si>
  <si>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</si>
  <si>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</si>
  <si>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</si>
  <si>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</si>
  <si>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</si>
  <si>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</si>
  <si>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</si>
  <si>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</si>
  <si>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</si>
  <si>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</si>
  <si>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</si>
  <si>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</si>
  <si>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</si>
  <si>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</si>
  <si>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</si>
  <si>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</si>
  <si>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</si>
  <si>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</si>
  <si>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</si>
  <si>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</si>
  <si>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</si>
  <si>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</si>
  <si>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</si>
  <si>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</si>
  <si>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</si>
  <si>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</si>
  <si>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</si>
  <si>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</si>
  <si>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</si>
  <si>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</si>
  <si>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</si>
  <si>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</si>
  <si>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</si>
  <si>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</si>
  <si>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</si>
  <si>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</si>
  <si>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</si>
  <si>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</si>
  <si>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</si>
  <si>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</si>
  <si>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</si>
  <si>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</si>
  <si>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</si>
  <si>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</si>
  <si>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</si>
  <si>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</si>
  <si>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</si>
  <si>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</si>
  <si>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</si>
  <si>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</si>
  <si>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</si>
  <si>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</si>
  <si>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</si>
  <si>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</si>
  <si>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</si>
  <si>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</si>
  <si>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</si>
  <si>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</si>
  <si>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</si>
  <si>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</si>
  <si>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</si>
  <si>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</si>
  <si>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</si>
  <si>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</si>
  <si>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</si>
  <si>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</si>
  <si>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</si>
  <si>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</si>
  <si>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</si>
  <si>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</si>
  <si>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</si>
  <si>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</si>
  <si>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</si>
  <si>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</si>
  <si>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</si>
  <si>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</si>
  <si>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</si>
  <si>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</si>
  <si>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</si>
  <si>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</si>
  <si>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</si>
  <si>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</si>
  <si>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</si>
  <si>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</si>
  <si>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</si>
  <si>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</si>
  <si>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</si>
  <si>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</si>
  <si>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</si>
  <si>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</si>
  <si>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</si>
  <si>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</si>
  <si>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</si>
  <si>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</si>
  <si>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</si>
  <si>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</si>
  <si>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</si>
  <si>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</si>
  <si>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</si>
  <si>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</si>
  <si>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</si>
  <si>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</si>
  <si>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</si>
  <si>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</si>
  <si>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</si>
  <si>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</si>
  <si>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</si>
  <si>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</si>
  <si>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</si>
  <si>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</si>
  <si>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</si>
  <si>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</si>
  <si>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</si>
  <si>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</si>
  <si>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</si>
  <si>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</si>
  <si>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</si>
  <si>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</si>
  <si>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</si>
  <si>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</si>
  <si>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</si>
  <si>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</si>
  <si>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</si>
  <si>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</si>
  <si>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</si>
  <si>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</si>
  <si>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</si>
  <si>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</si>
  <si>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</si>
  <si>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</si>
  <si>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</si>
  <si>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</si>
  <si>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</si>
  <si>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</si>
  <si>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</si>
  <si>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</si>
  <si>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</si>
  <si>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</si>
  <si>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</si>
  <si>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</si>
  <si>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</si>
  <si>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</si>
  <si>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</si>
  <si>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</si>
  <si>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</si>
  <si>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</si>
  <si>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</si>
  <si>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</si>
  <si>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</si>
  <si>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</si>
  <si>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</si>
  <si>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</si>
  <si>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</si>
  <si>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</si>
  <si>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</si>
  <si>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</si>
  <si>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</si>
  <si>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</si>
  <si>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</si>
  <si>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</si>
  <si>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</si>
  <si>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</si>
  <si>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</si>
  <si>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</si>
  <si>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</si>
  <si>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</si>
  <si>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</si>
  <si>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</si>
  <si>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</si>
  <si>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</si>
  <si>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</si>
  <si>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</si>
  <si>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</si>
  <si>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</si>
  <si>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</si>
  <si>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</si>
  <si>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</si>
  <si>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</si>
  <si>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</si>
  <si>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</si>
  <si>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</si>
  <si>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</si>
  <si>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</si>
  <si>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</si>
  <si>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</si>
  <si>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</si>
  <si>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</si>
  <si>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</si>
  <si>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</si>
  <si>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</si>
  <si>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</si>
  <si>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</si>
  <si>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</si>
  <si>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</si>
  <si>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</si>
  <si>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</si>
  <si>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</si>
  <si>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</si>
  <si>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</si>
  <si>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</si>
  <si>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</si>
  <si>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</si>
  <si>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</si>
  <si>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</si>
  <si>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</si>
  <si>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</si>
  <si>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</si>
  <si>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</si>
  <si>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</si>
  <si>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</si>
  <si>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</si>
  <si>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</si>
  <si>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</si>
  <si>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</si>
  <si>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</si>
  <si>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</si>
  <si>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</si>
  <si>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</si>
  <si>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</si>
  <si>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</si>
  <si>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</si>
  <si>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</si>
  <si>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</si>
  <si>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</si>
  <si>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</si>
  <si>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</si>
  <si>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</si>
  <si>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</si>
  <si>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</si>
  <si>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</si>
  <si>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</si>
  <si>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</si>
  <si>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</si>
  <si>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</si>
  <si>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</si>
  <si>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</si>
  <si>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</si>
  <si>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</si>
  <si>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</si>
  <si>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</si>
  <si>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</si>
  <si>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</si>
  <si>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</si>
  <si>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</si>
  <si>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</si>
  <si>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</si>
  <si>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</si>
  <si>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</si>
  <si>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</si>
  <si>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</si>
  <si>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</si>
  <si>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</si>
  <si>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</si>
  <si>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</si>
  <si>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</si>
  <si>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</si>
  <si>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</si>
  <si>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</si>
  <si>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</si>
  <si>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</si>
  <si>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</si>
  <si>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</si>
  <si>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</si>
  <si>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</si>
  <si>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</si>
  <si>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</si>
  <si>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</si>
  <si>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</si>
  <si>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</si>
  <si>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</si>
  <si>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</si>
  <si>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</si>
  <si>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</si>
  <si>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73066</t>
  </si>
  <si>
    <t>RIEMST</t>
  </si>
  <si>
    <t>Paarden&amp;pony's 200 - 600 kg</t>
  </si>
  <si>
    <t>Paarden&amp;pony's &lt; 200 kg</t>
  </si>
  <si>
    <t>referentietaak LNE (2017); Jaarverslag De Lijn (2014)</t>
  </si>
  <si>
    <t>op basis van VEA (maart 2018) en Inventaris Hernieuwbare Energiebronnen (juni 2018)</t>
  </si>
  <si>
    <t>VEA (maart 2016)</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</si>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</sst>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153226.22882643022</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153226.22882643022</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33549.381005998366</c:v>
                </c:pt>
                <c:pt idx="2">
                  <c:v>5476.4522916754295</c:v>
                </c:pt>
                <c:pt idx="3">
                  <c:v>176.7694630809921</c:v>
                </c:pt>
                <c:pt idx="4">
                  <c:v>2998.9697314241848</c:v>
                </c:pt>
                <c:pt idx="5">
                  <c:v>2435.6078398439754</c:v>
                </c:pt>
                <c:pt idx="6">
                  <c:v>32244.988463268339</c:v>
                </c:pt>
                <c:pt idx="7">
                  <c:v>454.71380093183922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33549.381005998366</c:v>
                </c:pt>
                <c:pt idx="2">
                  <c:v>5476.4522916754295</c:v>
                </c:pt>
                <c:pt idx="3">
                  <c:v>176.7694630809921</c:v>
                </c:pt>
                <c:pt idx="4">
                  <c:v>2998.9697314241848</c:v>
                </c:pt>
                <c:pt idx="5">
                  <c:v>2435.6078398439754</c:v>
                </c:pt>
                <c:pt idx="6">
                  <c:v>32244.988463268339</c:v>
                </c:pt>
                <c:pt idx="7">
                  <c:v>454.71380093183922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73066</v>
      </c>
      <c r="B6" s="416"/>
      <c r="C6" s="417"/>
    </row>
    <row r="7" spans="1:7" s="414" customFormat="1" ht="15.75" customHeight="1">
      <c r="A7" s="418" t="str">
        <f>txtMunicipality</f>
        <v>RIEMST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0.18871916031194444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0.18871916031194444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6627</v>
      </c>
      <c r="C9" s="342">
        <v>6818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4254</v>
      </c>
    </row>
    <row r="15" spans="1:6">
      <c r="A15" s="348" t="s">
        <v>184</v>
      </c>
      <c r="B15" s="334">
        <v>9</v>
      </c>
    </row>
    <row r="16" spans="1:6">
      <c r="A16" s="348" t="s">
        <v>6</v>
      </c>
      <c r="B16" s="334">
        <v>329</v>
      </c>
    </row>
    <row r="17" spans="1:6">
      <c r="A17" s="348" t="s">
        <v>7</v>
      </c>
      <c r="B17" s="334">
        <v>815</v>
      </c>
    </row>
    <row r="18" spans="1:6">
      <c r="A18" s="348" t="s">
        <v>8</v>
      </c>
      <c r="B18" s="334">
        <v>926</v>
      </c>
    </row>
    <row r="19" spans="1:6">
      <c r="A19" s="348" t="s">
        <v>9</v>
      </c>
      <c r="B19" s="334">
        <v>957</v>
      </c>
    </row>
    <row r="20" spans="1:6">
      <c r="A20" s="348" t="s">
        <v>10</v>
      </c>
      <c r="B20" s="334">
        <v>549</v>
      </c>
    </row>
    <row r="21" spans="1:6">
      <c r="A21" s="348" t="s">
        <v>11</v>
      </c>
      <c r="B21" s="334">
        <v>8772</v>
      </c>
    </row>
    <row r="22" spans="1:6">
      <c r="A22" s="348" t="s">
        <v>12</v>
      </c>
      <c r="B22" s="334">
        <v>19085</v>
      </c>
    </row>
    <row r="23" spans="1:6">
      <c r="A23" s="348" t="s">
        <v>13</v>
      </c>
      <c r="B23" s="334">
        <v>376</v>
      </c>
    </row>
    <row r="24" spans="1:6">
      <c r="A24" s="348" t="s">
        <v>14</v>
      </c>
      <c r="B24" s="334">
        <v>25</v>
      </c>
    </row>
    <row r="25" spans="1:6">
      <c r="A25" s="348" t="s">
        <v>15</v>
      </c>
      <c r="B25" s="334">
        <v>2183</v>
      </c>
    </row>
    <row r="26" spans="1:6">
      <c r="A26" s="348" t="s">
        <v>16</v>
      </c>
      <c r="B26" s="334">
        <v>259</v>
      </c>
    </row>
    <row r="27" spans="1:6">
      <c r="A27" s="348" t="s">
        <v>17</v>
      </c>
      <c r="B27" s="334">
        <v>594</v>
      </c>
    </row>
    <row r="28" spans="1:6" s="356" customFormat="1">
      <c r="A28" s="355" t="s">
        <v>18</v>
      </c>
      <c r="B28" s="355">
        <v>6</v>
      </c>
    </row>
    <row r="29" spans="1:6">
      <c r="A29" s="355" t="s">
        <v>901</v>
      </c>
      <c r="B29" s="355">
        <v>35</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4708</v>
      </c>
    </row>
    <row r="37" spans="1:6">
      <c r="A37" s="348" t="s">
        <v>25</v>
      </c>
      <c r="B37" s="348" t="s">
        <v>28</v>
      </c>
      <c r="C37" s="334">
        <v>0</v>
      </c>
      <c r="D37" s="334">
        <v>0</v>
      </c>
      <c r="E37" s="334">
        <v>0</v>
      </c>
      <c r="F37" s="334">
        <v>0</v>
      </c>
    </row>
    <row r="38" spans="1:6">
      <c r="A38" s="348" t="s">
        <v>25</v>
      </c>
      <c r="B38" s="348" t="s">
        <v>29</v>
      </c>
      <c r="C38" s="334">
        <v>0</v>
      </c>
      <c r="D38" s="334">
        <v>0</v>
      </c>
      <c r="E38" s="334">
        <v>1</v>
      </c>
      <c r="F38" s="334">
        <v>3220</v>
      </c>
    </row>
    <row r="39" spans="1:6">
      <c r="A39" s="348" t="s">
        <v>30</v>
      </c>
      <c r="B39" s="348" t="s">
        <v>31</v>
      </c>
      <c r="C39" s="334">
        <v>2371</v>
      </c>
      <c r="D39" s="334">
        <v>40739285</v>
      </c>
      <c r="E39" s="334">
        <v>6638</v>
      </c>
      <c r="F39" s="334">
        <v>24439272</v>
      </c>
    </row>
    <row r="40" spans="1:6">
      <c r="A40" s="348" t="s">
        <v>30</v>
      </c>
      <c r="B40" s="348" t="s">
        <v>29</v>
      </c>
      <c r="C40" s="334">
        <v>0</v>
      </c>
      <c r="D40" s="334">
        <v>0</v>
      </c>
      <c r="E40" s="334">
        <v>0</v>
      </c>
      <c r="F40" s="334">
        <v>0</v>
      </c>
    </row>
    <row r="41" spans="1:6">
      <c r="A41" s="348" t="s">
        <v>32</v>
      </c>
      <c r="B41" s="348" t="s">
        <v>33</v>
      </c>
      <c r="C41" s="334">
        <v>35</v>
      </c>
      <c r="D41" s="334">
        <v>712591</v>
      </c>
      <c r="E41" s="334">
        <v>110</v>
      </c>
      <c r="F41" s="334">
        <v>772128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80207</v>
      </c>
      <c r="E44" s="334">
        <v>9</v>
      </c>
      <c r="F44" s="334">
        <v>72306</v>
      </c>
    </row>
    <row r="45" spans="1:6">
      <c r="A45" s="348" t="s">
        <v>32</v>
      </c>
      <c r="B45" s="348" t="s">
        <v>37</v>
      </c>
      <c r="C45" s="334">
        <v>0</v>
      </c>
      <c r="D45" s="334">
        <v>0</v>
      </c>
      <c r="E45" s="334">
        <v>4</v>
      </c>
      <c r="F45" s="334">
        <v>589621</v>
      </c>
    </row>
    <row r="46" spans="1:6">
      <c r="A46" s="348" t="s">
        <v>32</v>
      </c>
      <c r="B46" s="348" t="s">
        <v>38</v>
      </c>
      <c r="C46" s="334">
        <v>0</v>
      </c>
      <c r="D46" s="334">
        <v>0</v>
      </c>
      <c r="E46" s="334">
        <v>0</v>
      </c>
      <c r="F46" s="334">
        <v>0</v>
      </c>
    </row>
    <row r="47" spans="1:6">
      <c r="A47" s="348" t="s">
        <v>32</v>
      </c>
      <c r="B47" s="348" t="s">
        <v>39</v>
      </c>
      <c r="C47" s="334">
        <v>0</v>
      </c>
      <c r="D47" s="334">
        <v>0</v>
      </c>
      <c r="E47" s="334">
        <v>3</v>
      </c>
      <c r="F47" s="334">
        <v>16438</v>
      </c>
    </row>
    <row r="48" spans="1:6">
      <c r="A48" s="348" t="s">
        <v>32</v>
      </c>
      <c r="B48" s="348" t="s">
        <v>29</v>
      </c>
      <c r="C48" s="334">
        <v>3</v>
      </c>
      <c r="D48" s="334">
        <v>6577046</v>
      </c>
      <c r="E48" s="334">
        <v>3</v>
      </c>
      <c r="F48" s="334">
        <v>52989</v>
      </c>
    </row>
    <row r="49" spans="1:6">
      <c r="A49" s="348" t="s">
        <v>32</v>
      </c>
      <c r="B49" s="348" t="s">
        <v>40</v>
      </c>
      <c r="C49" s="334">
        <v>0</v>
      </c>
      <c r="D49" s="334">
        <v>0</v>
      </c>
      <c r="E49" s="334">
        <v>0</v>
      </c>
      <c r="F49" s="334">
        <v>0</v>
      </c>
    </row>
    <row r="50" spans="1:6">
      <c r="A50" s="348" t="s">
        <v>32</v>
      </c>
      <c r="B50" s="348" t="s">
        <v>41</v>
      </c>
      <c r="C50" s="334">
        <v>4</v>
      </c>
      <c r="D50" s="334">
        <v>316190</v>
      </c>
      <c r="E50" s="334">
        <v>16</v>
      </c>
      <c r="F50" s="334">
        <v>745394</v>
      </c>
    </row>
    <row r="51" spans="1:6">
      <c r="A51" s="348" t="s">
        <v>42</v>
      </c>
      <c r="B51" s="348" t="s">
        <v>43</v>
      </c>
      <c r="C51" s="334">
        <v>12</v>
      </c>
      <c r="D51" s="334">
        <v>3461535</v>
      </c>
      <c r="E51" s="334">
        <v>146</v>
      </c>
      <c r="F51" s="334">
        <v>2567158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936680</v>
      </c>
    </row>
    <row r="55" spans="1:6">
      <c r="A55" s="348" t="s">
        <v>46</v>
      </c>
      <c r="B55" s="348" t="s">
        <v>29</v>
      </c>
      <c r="C55" s="334">
        <v>0</v>
      </c>
      <c r="D55" s="334">
        <v>0</v>
      </c>
      <c r="E55" s="334">
        <v>0</v>
      </c>
      <c r="F55" s="334">
        <v>0</v>
      </c>
    </row>
    <row r="56" spans="1:6">
      <c r="A56" s="348" t="s">
        <v>48</v>
      </c>
      <c r="B56" s="348" t="s">
        <v>29</v>
      </c>
      <c r="C56" s="334">
        <v>26</v>
      </c>
      <c r="D56" s="334">
        <v>914930</v>
      </c>
      <c r="E56" s="334">
        <v>143</v>
      </c>
      <c r="F56" s="334">
        <v>546212</v>
      </c>
    </row>
    <row r="57" spans="1:6">
      <c r="A57" s="348" t="s">
        <v>49</v>
      </c>
      <c r="B57" s="348" t="s">
        <v>50</v>
      </c>
      <c r="C57" s="334">
        <v>19</v>
      </c>
      <c r="D57" s="334">
        <v>914409</v>
      </c>
      <c r="E57" s="334">
        <v>76</v>
      </c>
      <c r="F57" s="334">
        <v>6238812</v>
      </c>
    </row>
    <row r="58" spans="1:6">
      <c r="A58" s="348" t="s">
        <v>49</v>
      </c>
      <c r="B58" s="348" t="s">
        <v>51</v>
      </c>
      <c r="C58" s="334">
        <v>17</v>
      </c>
      <c r="D58" s="334">
        <v>1270722</v>
      </c>
      <c r="E58" s="334">
        <v>21</v>
      </c>
      <c r="F58" s="334">
        <v>726636</v>
      </c>
    </row>
    <row r="59" spans="1:6">
      <c r="A59" s="348" t="s">
        <v>49</v>
      </c>
      <c r="B59" s="348" t="s">
        <v>52</v>
      </c>
      <c r="C59" s="334">
        <v>62</v>
      </c>
      <c r="D59" s="334">
        <v>2647391</v>
      </c>
      <c r="E59" s="334">
        <v>169</v>
      </c>
      <c r="F59" s="334">
        <v>4925631</v>
      </c>
    </row>
    <row r="60" spans="1:6">
      <c r="A60" s="348" t="s">
        <v>49</v>
      </c>
      <c r="B60" s="348" t="s">
        <v>53</v>
      </c>
      <c r="C60" s="334">
        <v>33</v>
      </c>
      <c r="D60" s="334">
        <v>1455572</v>
      </c>
      <c r="E60" s="334">
        <v>85</v>
      </c>
      <c r="F60" s="334">
        <v>1866402</v>
      </c>
    </row>
    <row r="61" spans="1:6">
      <c r="A61" s="348" t="s">
        <v>49</v>
      </c>
      <c r="B61" s="348" t="s">
        <v>54</v>
      </c>
      <c r="C61" s="334">
        <v>44</v>
      </c>
      <c r="D61" s="334">
        <v>1812746</v>
      </c>
      <c r="E61" s="334">
        <v>261</v>
      </c>
      <c r="F61" s="334">
        <v>2766689</v>
      </c>
    </row>
    <row r="62" spans="1:6">
      <c r="A62" s="348" t="s">
        <v>49</v>
      </c>
      <c r="B62" s="348" t="s">
        <v>55</v>
      </c>
      <c r="C62" s="334">
        <v>8</v>
      </c>
      <c r="D62" s="334">
        <v>276070</v>
      </c>
      <c r="E62" s="334">
        <v>17</v>
      </c>
      <c r="F62" s="334">
        <v>148911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38396</v>
      </c>
      <c r="E68" s="334">
        <v>12</v>
      </c>
      <c r="F68" s="334">
        <v>119010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72644552</v>
      </c>
      <c r="E73" s="476">
        <v>75317805.061731681</v>
      </c>
    </row>
    <row r="74" spans="1:6">
      <c r="A74" s="348" t="s">
        <v>64</v>
      </c>
      <c r="B74" s="348" t="s">
        <v>714</v>
      </c>
      <c r="C74" s="1311" t="s">
        <v>716</v>
      </c>
      <c r="D74" s="476">
        <v>4343270.0924054785</v>
      </c>
      <c r="E74" s="476">
        <v>4569575.452899077</v>
      </c>
    </row>
    <row r="75" spans="1:6">
      <c r="A75" s="348" t="s">
        <v>65</v>
      </c>
      <c r="B75" s="348" t="s">
        <v>713</v>
      </c>
      <c r="C75" s="1311" t="s">
        <v>717</v>
      </c>
      <c r="D75" s="476">
        <v>26511344</v>
      </c>
      <c r="E75" s="476">
        <v>27274813.204206314</v>
      </c>
    </row>
    <row r="76" spans="1:6">
      <c r="A76" s="348" t="s">
        <v>65</v>
      </c>
      <c r="B76" s="348" t="s">
        <v>714</v>
      </c>
      <c r="C76" s="1311" t="s">
        <v>718</v>
      </c>
      <c r="D76" s="476">
        <v>38398.092405478499</v>
      </c>
      <c r="E76" s="476">
        <v>49494.824032186531</v>
      </c>
    </row>
    <row r="77" spans="1:6">
      <c r="A77" s="348" t="s">
        <v>66</v>
      </c>
      <c r="B77" s="348" t="s">
        <v>713</v>
      </c>
      <c r="C77" s="1311" t="s">
        <v>719</v>
      </c>
      <c r="D77" s="476">
        <v>38328376</v>
      </c>
      <c r="E77" s="476">
        <v>39810467.809073485</v>
      </c>
    </row>
    <row r="78" spans="1:6">
      <c r="A78" s="341" t="s">
        <v>66</v>
      </c>
      <c r="B78" s="341" t="s">
        <v>714</v>
      </c>
      <c r="C78" s="341" t="s">
        <v>720</v>
      </c>
      <c r="D78" s="1307">
        <v>9361896</v>
      </c>
      <c r="E78" s="1307">
        <v>8915523.7200573031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481047.815189043</v>
      </c>
      <c r="C83" s="476">
        <v>472847.44504193333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4966.0000650800866</v>
      </c>
    </row>
    <row r="92" spans="1:6">
      <c r="A92" s="341" t="s">
        <v>69</v>
      </c>
      <c r="B92" s="342">
        <v>2633.3520031992057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52396.121768652934</v>
      </c>
      <c r="C3" s="43" t="s">
        <v>170</v>
      </c>
      <c r="D3" s="43"/>
      <c r="E3" s="154"/>
      <c r="F3" s="43"/>
      <c r="G3" s="43"/>
      <c r="H3" s="43"/>
      <c r="I3" s="43"/>
      <c r="J3" s="43"/>
      <c r="K3" s="96"/>
    </row>
    <row r="4" spans="1:11">
      <c r="A4" s="384" t="s">
        <v>171</v>
      </c>
      <c r="B4" s="49">
        <f>IF(ISERROR('SEAP template'!B78+'SEAP template'!C78),0,'SEAP template'!B78+'SEAP template'!C78)</f>
        <v>7653.3520682792923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0.18871916031194444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77.142857142857139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936.68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936.68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0.18871916031194444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176.7694630809921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24439.272000000001</v>
      </c>
      <c r="C5" s="17">
        <f>IF(ISERROR('Eigen informatie GS &amp; warmtenet'!B57),0,'Eigen informatie GS &amp; warmtenet'!B57)</f>
        <v>0</v>
      </c>
      <c r="D5" s="30">
        <f>(SUM(HH_hh_gas_kWh,HH_rest_gas_kWh)/1000)*0.902</f>
        <v>36746.835070000001</v>
      </c>
      <c r="E5" s="17">
        <f>B46*B57</f>
        <v>3438.3506691380721</v>
      </c>
      <c r="F5" s="17">
        <f>B51*B62</f>
        <v>74144.855682014371</v>
      </c>
      <c r="G5" s="18"/>
      <c r="H5" s="17"/>
      <c r="I5" s="17"/>
      <c r="J5" s="17">
        <f>B50*B61+C50*C61</f>
        <v>0</v>
      </c>
      <c r="K5" s="17"/>
      <c r="L5" s="17"/>
      <c r="M5" s="17"/>
      <c r="N5" s="17">
        <f>B48*B59+C48*C59</f>
        <v>8398.0786735310212</v>
      </c>
      <c r="O5" s="17">
        <f>B69*B70*B71</f>
        <v>311.10333333333335</v>
      </c>
      <c r="P5" s="17">
        <f>B77*B78*B79/1000-B77*B78*B79/1000/B80</f>
        <v>781.73333333333335</v>
      </c>
    </row>
    <row r="6" spans="1:16">
      <c r="A6" s="16" t="s">
        <v>631</v>
      </c>
      <c r="B6" s="789">
        <f>kWh_PV_kleiner_dan_10kW</f>
        <v>4966.0000650800866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29405.272065080087</v>
      </c>
      <c r="C8" s="21">
        <f>C5</f>
        <v>0</v>
      </c>
      <c r="D8" s="21">
        <f>D5</f>
        <v>36746.835070000001</v>
      </c>
      <c r="E8" s="21">
        <f>E5</f>
        <v>3438.3506691380721</v>
      </c>
      <c r="F8" s="21">
        <f>F5</f>
        <v>74144.855682014371</v>
      </c>
      <c r="G8" s="21"/>
      <c r="H8" s="21"/>
      <c r="I8" s="21"/>
      <c r="J8" s="21">
        <f>J5</f>
        <v>0</v>
      </c>
      <c r="K8" s="21"/>
      <c r="L8" s="21">
        <f>L5</f>
        <v>0</v>
      </c>
      <c r="M8" s="21">
        <f>M5</f>
        <v>0</v>
      </c>
      <c r="N8" s="21">
        <f>N5</f>
        <v>8398.0786735310212</v>
      </c>
      <c r="O8" s="21">
        <f>O5</f>
        <v>311.10333333333335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0.18871916031194444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5549.3382528661905</v>
      </c>
      <c r="C12" s="23">
        <f ca="1">C10*C8</f>
        <v>0</v>
      </c>
      <c r="D12" s="23">
        <f>D8*D10</f>
        <v>7422.8606841400006</v>
      </c>
      <c r="E12" s="23">
        <f>E10*E8</f>
        <v>780.50560189434236</v>
      </c>
      <c r="F12" s="23">
        <f>F10*F8</f>
        <v>19796.676467097837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6627</v>
      </c>
      <c r="C28" s="36"/>
      <c r="D28" s="228"/>
    </row>
    <row r="29" spans="1:7" s="15" customFormat="1">
      <c r="A29" s="230" t="s">
        <v>741</v>
      </c>
      <c r="B29" s="37">
        <f>SUM(HH_hh_gas_aantal,HH_rest_gas_aantal)</f>
        <v>2371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2371</v>
      </c>
      <c r="C32" s="167">
        <f>IF(ISERROR(B32/SUM($B$32,$B$34,$B$35,$B$36,$B$38,$B$39)*100),0,B32/SUM($B$32,$B$34,$B$35,$B$36,$B$38,$B$39)*100)</f>
        <v>36.000607348921953</v>
      </c>
      <c r="D32" s="233"/>
      <c r="G32" s="15"/>
    </row>
    <row r="33" spans="1:7">
      <c r="A33" s="171" t="s">
        <v>72</v>
      </c>
      <c r="B33" s="34" t="s">
        <v>111</v>
      </c>
      <c r="C33" s="167"/>
      <c r="D33" s="233"/>
      <c r="G33" s="15"/>
    </row>
    <row r="34" spans="1:7">
      <c r="A34" s="171" t="s">
        <v>73</v>
      </c>
      <c r="B34" s="33">
        <f>IF((($B$28-$B$32-$B$39-$B$77-$B$38)*C20/100)&lt;0,0,($B$28-$B$32-$B$39-$B$77-$B$38)*C20/100)</f>
        <v>230.44480519480518</v>
      </c>
      <c r="C34" s="167">
        <f>IF(ISERROR(B34/SUM($B$32,$B$34,$B$35,$B$36,$B$38,$B$39)*100),0,B34/SUM($B$32,$B$34,$B$35,$B$36,$B$38,$B$39)*100)</f>
        <v>3.4990101001336953</v>
      </c>
      <c r="D34" s="233"/>
      <c r="G34" s="15"/>
    </row>
    <row r="35" spans="1:7">
      <c r="A35" s="171" t="s">
        <v>74</v>
      </c>
      <c r="B35" s="33">
        <f>IF((($B$28-$B$32-$B$39-$B$77-$B$38)*C21/100)&lt;0,0,($B$28-$B$32-$B$39-$B$77-$B$38)*C21/100)</f>
        <v>824.13311688311671</v>
      </c>
      <c r="C35" s="167">
        <f>IF(ISERROR(B35/SUM($B$32,$B$34,$B$35,$B$36,$B$38,$B$39)*100),0,B35/SUM($B$32,$B$34,$B$35,$B$36,$B$38,$B$39)*100)</f>
        <v>12.513409002173045</v>
      </c>
      <c r="D35" s="233"/>
      <c r="G35" s="15"/>
    </row>
    <row r="36" spans="1:7">
      <c r="A36" s="171" t="s">
        <v>75</v>
      </c>
      <c r="B36" s="33">
        <f>IF((($B$28-$B$32-$B$39-$B$77-$B$38)*C22/100)&lt;0,0,($B$28-$B$32-$B$39-$B$77-$B$38)*C22/100)</f>
        <v>148.4220779220779</v>
      </c>
      <c r="C36" s="167">
        <f>IF(ISERROR(B36/SUM($B$32,$B$34,$B$35,$B$36,$B$38,$B$39)*100),0,B36/SUM($B$32,$B$34,$B$35,$B$36,$B$38,$B$39)*100)</f>
        <v>2.2535997255098374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3012</v>
      </c>
      <c r="C39" s="167">
        <f>IF(ISERROR(B39/SUM($B$32,$B$34,$B$35,$B$36,$B$38,$B$39)*100),0,B39/SUM($B$32,$B$34,$B$35,$B$36,$B$38,$B$39)*100)</f>
        <v>45.733373823261466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2371</v>
      </c>
      <c r="C44" s="34" t="s">
        <v>111</v>
      </c>
      <c r="D44" s="174"/>
    </row>
    <row r="45" spans="1:7">
      <c r="A45" s="171" t="s">
        <v>72</v>
      </c>
      <c r="B45" s="33" t="str">
        <f t="shared" si="0"/>
        <v>-</v>
      </c>
      <c r="C45" s="34" t="s">
        <v>111</v>
      </c>
      <c r="D45" s="174"/>
    </row>
    <row r="46" spans="1:7">
      <c r="A46" s="171" t="s">
        <v>73</v>
      </c>
      <c r="B46" s="33">
        <f t="shared" si="0"/>
        <v>230.44480519480518</v>
      </c>
      <c r="C46" s="34" t="s">
        <v>111</v>
      </c>
      <c r="D46" s="174"/>
    </row>
    <row r="47" spans="1:7">
      <c r="A47" s="171" t="s">
        <v>74</v>
      </c>
      <c r="B47" s="33">
        <f t="shared" si="0"/>
        <v>824.13311688311671</v>
      </c>
      <c r="C47" s="34" t="s">
        <v>111</v>
      </c>
      <c r="D47" s="174"/>
    </row>
    <row r="48" spans="1:7">
      <c r="A48" s="171" t="s">
        <v>75</v>
      </c>
      <c r="B48" s="33">
        <f t="shared" si="0"/>
        <v>148.4220779220779</v>
      </c>
      <c r="C48" s="33">
        <f>B48*10</f>
        <v>1484.2207792207791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3012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16673.081000000002</v>
      </c>
      <c r="C5" s="17">
        <f>IF(ISERROR('Eigen informatie GS &amp; warmtenet'!B58),0,'Eigen informatie GS &amp; warmtenet'!B58)</f>
        <v>0</v>
      </c>
      <c r="D5" s="30">
        <f>SUM(D6:D12)</f>
        <v>7555.97282</v>
      </c>
      <c r="E5" s="17">
        <f>SUM(E6:E12)</f>
        <v>161.32934503678382</v>
      </c>
      <c r="F5" s="17">
        <f>SUM(F6:F12)</f>
        <v>2872.6373579739457</v>
      </c>
      <c r="G5" s="18"/>
      <c r="H5" s="17"/>
      <c r="I5" s="17"/>
      <c r="J5" s="17">
        <f>SUM(J6:J12)</f>
        <v>0</v>
      </c>
      <c r="K5" s="17"/>
      <c r="L5" s="17"/>
      <c r="M5" s="17"/>
      <c r="N5" s="17">
        <f>SUM(N6:N12)</f>
        <v>4468.8015174782295</v>
      </c>
      <c r="O5" s="17">
        <f>B38*B39*B40</f>
        <v>4.6900000000000004</v>
      </c>
      <c r="P5" s="17">
        <f>B46*B47*B48/1000-B46*B47*B48/1000/B49</f>
        <v>19.066666666666666</v>
      </c>
      <c r="R5" s="32"/>
    </row>
    <row r="6" spans="1:18">
      <c r="A6" s="32" t="s">
        <v>54</v>
      </c>
      <c r="B6" s="37">
        <f>B26</f>
        <v>2766.6889999999999</v>
      </c>
      <c r="C6" s="33"/>
      <c r="D6" s="37">
        <f>IF(ISERROR(TER_kantoor_gas_kWh/1000),0,TER_kantoor_gas_kWh/1000)*0.902</f>
        <v>1635.096892</v>
      </c>
      <c r="E6" s="33">
        <f>$C$26*'E Balans VL '!I12/100/3.6*1000000</f>
        <v>8.0155039638342878</v>
      </c>
      <c r="F6" s="33">
        <f>$C$26*('E Balans VL '!L12+'E Balans VL '!N12)/100/3.6*1000000</f>
        <v>313.12823991535487</v>
      </c>
      <c r="G6" s="34"/>
      <c r="H6" s="33"/>
      <c r="I6" s="33"/>
      <c r="J6" s="33">
        <f>$C$26*('E Balans VL '!D12+'E Balans VL '!E12)/100/3.6*1000000</f>
        <v>0</v>
      </c>
      <c r="K6" s="33"/>
      <c r="L6" s="33"/>
      <c r="M6" s="33"/>
      <c r="N6" s="33">
        <f>$C$26*'E Balans VL '!Y12/100/3.6*1000000</f>
        <v>27.692518302524384</v>
      </c>
      <c r="O6" s="33"/>
      <c r="P6" s="33"/>
      <c r="R6" s="32"/>
    </row>
    <row r="7" spans="1:18">
      <c r="A7" s="32" t="s">
        <v>53</v>
      </c>
      <c r="B7" s="37">
        <f t="shared" ref="B7:B12" si="0">B27</f>
        <v>1866.402</v>
      </c>
      <c r="C7" s="33"/>
      <c r="D7" s="37">
        <f>IF(ISERROR(TER_horeca_gas_kWh/1000),0,TER_horeca_gas_kWh/1000)*0.902</f>
        <v>1312.9259439999998</v>
      </c>
      <c r="E7" s="33">
        <f>$C$27*'E Balans VL '!I9/100/3.6*1000000</f>
        <v>78.346341335872964</v>
      </c>
      <c r="F7" s="33">
        <f>$C$27*('E Balans VL '!L9+'E Balans VL '!N9)/100/3.6*1000000</f>
        <v>401.03474387778482</v>
      </c>
      <c r="G7" s="34"/>
      <c r="H7" s="33"/>
      <c r="I7" s="33"/>
      <c r="J7" s="33">
        <f>$C$27*('E Balans VL '!D9+'E Balans VL '!E9)/100/3.6*1000000</f>
        <v>0</v>
      </c>
      <c r="K7" s="33"/>
      <c r="L7" s="33"/>
      <c r="M7" s="33"/>
      <c r="N7" s="33">
        <f>$C$27*'E Balans VL '!Y9/100/3.6*1000000</f>
        <v>0.48095547312238163</v>
      </c>
      <c r="O7" s="33"/>
      <c r="P7" s="33"/>
      <c r="R7" s="32"/>
    </row>
    <row r="8" spans="1:18">
      <c r="A8" s="6" t="s">
        <v>52</v>
      </c>
      <c r="B8" s="37">
        <f t="shared" si="0"/>
        <v>4925.6310000000003</v>
      </c>
      <c r="C8" s="33"/>
      <c r="D8" s="37">
        <f>IF(ISERROR(TER_handel_gas_kWh/1000),0,TER_handel_gas_kWh/1000)*0.902</f>
        <v>2387.9466820000002</v>
      </c>
      <c r="E8" s="33">
        <f>$C$28*'E Balans VL '!I13/100/3.6*1000000</f>
        <v>52.90537642614688</v>
      </c>
      <c r="F8" s="33">
        <f>$C$28*('E Balans VL '!L13+'E Balans VL '!N13)/100/3.6*1000000</f>
        <v>637.66360797229072</v>
      </c>
      <c r="G8" s="34"/>
      <c r="H8" s="33"/>
      <c r="I8" s="33"/>
      <c r="J8" s="33">
        <f>$C$28*('E Balans VL '!D13+'E Balans VL '!E13)/100/3.6*1000000</f>
        <v>0</v>
      </c>
      <c r="K8" s="33"/>
      <c r="L8" s="33"/>
      <c r="M8" s="33"/>
      <c r="N8" s="33">
        <f>$C$28*'E Balans VL '!Y13/100/3.6*1000000</f>
        <v>39.95698762314646</v>
      </c>
      <c r="O8" s="33"/>
      <c r="P8" s="33"/>
      <c r="R8" s="32"/>
    </row>
    <row r="9" spans="1:18">
      <c r="A9" s="32" t="s">
        <v>51</v>
      </c>
      <c r="B9" s="37">
        <f t="shared" si="0"/>
        <v>726.63599999999997</v>
      </c>
      <c r="C9" s="33"/>
      <c r="D9" s="37">
        <f>IF(ISERROR(TER_gezond_gas_kWh/1000),0,TER_gezond_gas_kWh/1000)*0.902</f>
        <v>1146.1912440000001</v>
      </c>
      <c r="E9" s="33">
        <f>$C$29*'E Balans VL '!I10/100/3.6*1000000</f>
        <v>0.57844925355737808</v>
      </c>
      <c r="F9" s="33">
        <f>$C$29*('E Balans VL '!L10+'E Balans VL '!N10)/100/3.6*1000000</f>
        <v>88.333106636014534</v>
      </c>
      <c r="G9" s="34"/>
      <c r="H9" s="33"/>
      <c r="I9" s="33"/>
      <c r="J9" s="33">
        <f>$C$29*('E Balans VL '!D10+'E Balans VL '!E10)/100/3.6*1000000</f>
        <v>0</v>
      </c>
      <c r="K9" s="33"/>
      <c r="L9" s="33"/>
      <c r="M9" s="33"/>
      <c r="N9" s="33">
        <f>$C$29*'E Balans VL '!Y10/100/3.6*1000000</f>
        <v>5.8695730984403909</v>
      </c>
      <c r="O9" s="33"/>
      <c r="P9" s="33"/>
      <c r="R9" s="32"/>
    </row>
    <row r="10" spans="1:18">
      <c r="A10" s="32" t="s">
        <v>50</v>
      </c>
      <c r="B10" s="37">
        <f t="shared" si="0"/>
        <v>6238.8119999999999</v>
      </c>
      <c r="C10" s="33"/>
      <c r="D10" s="37">
        <f>IF(ISERROR(TER_ander_gas_kWh/1000),0,TER_ander_gas_kWh/1000)*0.902</f>
        <v>824.79691800000001</v>
      </c>
      <c r="E10" s="33">
        <f>$C$30*'E Balans VL '!I14/100/3.6*1000000</f>
        <v>21.380736469170152</v>
      </c>
      <c r="F10" s="33">
        <f>$C$30*('E Balans VL '!L14+'E Balans VL '!N14)/100/3.6*1000000</f>
        <v>1393.4970853435536</v>
      </c>
      <c r="G10" s="34"/>
      <c r="H10" s="33"/>
      <c r="I10" s="33"/>
      <c r="J10" s="33">
        <f>$C$30*('E Balans VL '!D14+'E Balans VL '!E14)/100/3.6*1000000</f>
        <v>0</v>
      </c>
      <c r="K10" s="33"/>
      <c r="L10" s="33"/>
      <c r="M10" s="33"/>
      <c r="N10" s="33">
        <f>$C$30*'E Balans VL '!Y14/100/3.6*1000000</f>
        <v>4394.6532547637462</v>
      </c>
      <c r="O10" s="33"/>
      <c r="P10" s="33"/>
      <c r="R10" s="32"/>
    </row>
    <row r="11" spans="1:18">
      <c r="A11" s="32" t="s">
        <v>55</v>
      </c>
      <c r="B11" s="37">
        <f t="shared" si="0"/>
        <v>148.911</v>
      </c>
      <c r="C11" s="33"/>
      <c r="D11" s="37">
        <f>IF(ISERROR(TER_onderwijs_gas_kWh/1000),0,TER_onderwijs_gas_kWh/1000)*0.902</f>
        <v>249.01514</v>
      </c>
      <c r="E11" s="33">
        <f>$C$31*'E Balans VL '!I11/100/3.6*1000000</f>
        <v>0.10293758820213161</v>
      </c>
      <c r="F11" s="33">
        <f>$C$31*('E Balans VL '!L11+'E Balans VL '!N11)/100/3.6*1000000</f>
        <v>38.980574228947049</v>
      </c>
      <c r="G11" s="34"/>
      <c r="H11" s="33"/>
      <c r="I11" s="33"/>
      <c r="J11" s="33">
        <f>$C$31*('E Balans VL '!D11+'E Balans VL '!E11)/100/3.6*1000000</f>
        <v>0</v>
      </c>
      <c r="K11" s="33"/>
      <c r="L11" s="33"/>
      <c r="M11" s="33"/>
      <c r="N11" s="33">
        <f>$C$31*'E Balans VL '!Y11/100/3.6*1000000</f>
        <v>0.14822821725041826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16673.081000000002</v>
      </c>
      <c r="C16" s="21">
        <f t="shared" ca="1" si="1"/>
        <v>0</v>
      </c>
      <c r="D16" s="21">
        <f t="shared" ca="1" si="1"/>
        <v>7555.97282</v>
      </c>
      <c r="E16" s="21">
        <f t="shared" si="1"/>
        <v>161.32934503678382</v>
      </c>
      <c r="F16" s="21">
        <f t="shared" ca="1" si="1"/>
        <v>2872.6373579739457</v>
      </c>
      <c r="G16" s="21">
        <f t="shared" si="1"/>
        <v>0</v>
      </c>
      <c r="H16" s="21">
        <f t="shared" si="1"/>
        <v>0</v>
      </c>
      <c r="I16" s="21">
        <f t="shared" si="1"/>
        <v>0</v>
      </c>
      <c r="J16" s="21">
        <f t="shared" si="1"/>
        <v>0</v>
      </c>
      <c r="K16" s="21">
        <f t="shared" si="1"/>
        <v>0</v>
      </c>
      <c r="L16" s="21">
        <f t="shared" ca="1" si="1"/>
        <v>0</v>
      </c>
      <c r="M16" s="21">
        <f t="shared" si="1"/>
        <v>0</v>
      </c>
      <c r="N16" s="21">
        <f t="shared" ca="1" si="1"/>
        <v>4468.8015174782295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0.18871916031194444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3146.5298461330353</v>
      </c>
      <c r="C20" s="23">
        <f t="shared" ref="C20:P20" ca="1" si="2">C16*C18</f>
        <v>0</v>
      </c>
      <c r="D20" s="23">
        <f t="shared" ca="1" si="2"/>
        <v>1526.3065096400001</v>
      </c>
      <c r="E20" s="23">
        <f t="shared" si="2"/>
        <v>36.621761323349929</v>
      </c>
      <c r="F20" s="23">
        <f t="shared" ca="1" si="2"/>
        <v>766.99417457904349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2766.6889999999999</v>
      </c>
      <c r="C26" s="39">
        <f>IF(ISERROR(B26*3.6/1000000/'E Balans VL '!Z12*100),0,B26*3.6/1000000/'E Balans VL '!Z12*100)</f>
        <v>6.0773522497784269E-2</v>
      </c>
      <c r="D26" s="237" t="s">
        <v>692</v>
      </c>
      <c r="F26" s="6"/>
    </row>
    <row r="27" spans="1:18">
      <c r="A27" s="231" t="s">
        <v>53</v>
      </c>
      <c r="B27" s="33">
        <f>IF(ISERROR(TER_horeca_ele_kWh/1000),0,TER_horeca_ele_kWh/1000)</f>
        <v>1866.402</v>
      </c>
      <c r="C27" s="39">
        <f>IF(ISERROR(B27*3.6/1000000/'E Balans VL '!Z9*100),0,B27*3.6/1000000/'E Balans VL '!Z9*100)</f>
        <v>0.1499840052148754</v>
      </c>
      <c r="D27" s="237" t="s">
        <v>692</v>
      </c>
      <c r="F27" s="6"/>
    </row>
    <row r="28" spans="1:18">
      <c r="A28" s="171" t="s">
        <v>52</v>
      </c>
      <c r="B28" s="33">
        <f>IF(ISERROR(TER_handel_ele_kWh/1000),0,TER_handel_ele_kWh/1000)</f>
        <v>4925.6310000000003</v>
      </c>
      <c r="C28" s="39">
        <f>IF(ISERROR(B28*3.6/1000000/'E Balans VL '!Z13*100),0,B28*3.6/1000000/'E Balans VL '!Z13*100)</f>
        <v>0.1456474675519317</v>
      </c>
      <c r="D28" s="237" t="s">
        <v>692</v>
      </c>
      <c r="F28" s="6"/>
    </row>
    <row r="29" spans="1:18">
      <c r="A29" s="231" t="s">
        <v>51</v>
      </c>
      <c r="B29" s="33">
        <f>IF(ISERROR(TER_gezond_ele_kWh/1000),0,TER_gezond_ele_kWh/1000)</f>
        <v>726.63599999999997</v>
      </c>
      <c r="C29" s="39">
        <f>IF(ISERROR(B29*3.6/1000000/'E Balans VL '!Z10*100),0,B29*3.6/1000000/'E Balans VL '!Z10*100)</f>
        <v>8.1873117112185909E-2</v>
      </c>
      <c r="D29" s="237" t="s">
        <v>692</v>
      </c>
      <c r="F29" s="6"/>
    </row>
    <row r="30" spans="1:18">
      <c r="A30" s="231" t="s">
        <v>50</v>
      </c>
      <c r="B30" s="33">
        <f>IF(ISERROR(TER_ander_ele_kWh/1000),0,TER_ander_ele_kWh/1000)</f>
        <v>6238.8119999999999</v>
      </c>
      <c r="C30" s="39">
        <f>IF(ISERROR(B30*3.6/1000000/'E Balans VL '!Z14*100),0,B30*3.6/1000000/'E Balans VL '!Z14*100)</f>
        <v>0.4718306867926142</v>
      </c>
      <c r="D30" s="237" t="s">
        <v>692</v>
      </c>
      <c r="F30" s="6"/>
    </row>
    <row r="31" spans="1:18">
      <c r="A31" s="231" t="s">
        <v>55</v>
      </c>
      <c r="B31" s="33">
        <f>IF(ISERROR(TER_onderwijs_ele_kWh/1000),0,TER_onderwijs_ele_kWh/1000)</f>
        <v>148.911</v>
      </c>
      <c r="C31" s="39">
        <f>IF(ISERROR(B31*3.6/1000000/'E Balans VL '!Z11*100),0,B31*3.6/1000000/'E Balans VL '!Z11*100)</f>
        <v>3.0910466779537772E-2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2248.8760000000002</v>
      </c>
      <c r="C5" s="17">
        <f>IF(ISERROR('Eigen informatie GS &amp; warmtenet'!B59),0,'Eigen informatie GS &amp; warmtenet'!B59)</f>
        <v>0</v>
      </c>
      <c r="D5" s="30">
        <f>SUM(D6:D15)</f>
        <v>6932.8026680000003</v>
      </c>
      <c r="E5" s="17">
        <f>SUM(E6:E15)</f>
        <v>226.22743317568825</v>
      </c>
      <c r="F5" s="17">
        <f>SUM(F6:F15)</f>
        <v>2070.1072387161316</v>
      </c>
      <c r="G5" s="18"/>
      <c r="H5" s="17"/>
      <c r="I5" s="17"/>
      <c r="J5" s="17">
        <f>SUM(J6:J15)</f>
        <v>18.936300774584222</v>
      </c>
      <c r="K5" s="17"/>
      <c r="L5" s="17"/>
      <c r="M5" s="17"/>
      <c r="N5" s="17">
        <f>SUM(N6:N15)</f>
        <v>661.57991499638365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72.305999999999997</v>
      </c>
      <c r="C8" s="33"/>
      <c r="D8" s="37">
        <f>IF( ISERROR(IND_metaal_Gas_kWH/1000),0,IND_metaal_Gas_kWH/1000)*0.902</f>
        <v>72.346713999999992</v>
      </c>
      <c r="E8" s="33">
        <f>C30*'E Balans VL '!I18/100/3.6*1000000</f>
        <v>1.8095661144215767</v>
      </c>
      <c r="F8" s="33">
        <f>C30*'E Balans VL '!L18/100/3.6*1000000+C30*'E Balans VL '!N18/100/3.6*1000000</f>
        <v>22.661060068541019</v>
      </c>
      <c r="G8" s="34"/>
      <c r="H8" s="33"/>
      <c r="I8" s="33"/>
      <c r="J8" s="40">
        <f>C30*'E Balans VL '!D18/100/3.6*1000000+C30*'E Balans VL '!E18/100/3.6*1000000</f>
        <v>0</v>
      </c>
      <c r="K8" s="33"/>
      <c r="L8" s="33"/>
      <c r="M8" s="33"/>
      <c r="N8" s="33">
        <f>C30*'E Balans VL '!Y18/100/3.6*1000000</f>
        <v>1.816514370433244</v>
      </c>
      <c r="O8" s="33"/>
      <c r="P8" s="33"/>
      <c r="R8" s="32"/>
    </row>
    <row r="9" spans="1:18">
      <c r="A9" s="6" t="s">
        <v>33</v>
      </c>
      <c r="B9" s="37">
        <f t="shared" si="0"/>
        <v>772.12800000000004</v>
      </c>
      <c r="C9" s="33"/>
      <c r="D9" s="37">
        <f>IF( ISERROR(IND_andere_gas_kWh/1000),0,IND_andere_gas_kWh/1000)*0.902</f>
        <v>642.75708199999997</v>
      </c>
      <c r="E9" s="33">
        <f>C31*'E Balans VL '!I19/100/3.6*1000000</f>
        <v>212.30353112715414</v>
      </c>
      <c r="F9" s="33">
        <f>C31*'E Balans VL '!L19/100/3.6*1000000+C31*'E Balans VL '!N19/100/3.6*1000000</f>
        <v>608.57122391876806</v>
      </c>
      <c r="G9" s="34"/>
      <c r="H9" s="33"/>
      <c r="I9" s="33"/>
      <c r="J9" s="40">
        <f>C31*'E Balans VL '!D19/100/3.6*1000000+C31*'E Balans VL '!E19/100/3.6*1000000</f>
        <v>0</v>
      </c>
      <c r="K9" s="33"/>
      <c r="L9" s="33"/>
      <c r="M9" s="33"/>
      <c r="N9" s="33">
        <f>C31*'E Balans VL '!Y19/100/3.6*1000000</f>
        <v>249.95821436869954</v>
      </c>
      <c r="O9" s="33"/>
      <c r="P9" s="33"/>
      <c r="R9" s="32"/>
    </row>
    <row r="10" spans="1:18">
      <c r="A10" s="6" t="s">
        <v>41</v>
      </c>
      <c r="B10" s="37">
        <f t="shared" si="0"/>
        <v>745.39400000000001</v>
      </c>
      <c r="C10" s="33"/>
      <c r="D10" s="37">
        <f>IF( ISERROR(IND_voed_gas_kWh/1000),0,IND_voed_gas_kWh/1000)*0.902</f>
        <v>285.20337999999998</v>
      </c>
      <c r="E10" s="33">
        <f>C32*'E Balans VL '!I20/100/3.6*1000000</f>
        <v>7.5988811901022792</v>
      </c>
      <c r="F10" s="33">
        <f>C32*'E Balans VL '!L20/100/3.6*1000000+C32*'E Balans VL '!N20/100/3.6*1000000</f>
        <v>1408.0446040105564</v>
      </c>
      <c r="G10" s="34"/>
      <c r="H10" s="33"/>
      <c r="I10" s="33"/>
      <c r="J10" s="40">
        <f>C32*'E Balans VL '!D20/100/3.6*1000000+C32*'E Balans VL '!E20/100/3.6*1000000</f>
        <v>17.839717360210052</v>
      </c>
      <c r="K10" s="33"/>
      <c r="L10" s="33"/>
      <c r="M10" s="33"/>
      <c r="N10" s="33">
        <f>C32*'E Balans VL '!Y20/100/3.6*1000000</f>
        <v>392.90849686048034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589.62099999999998</v>
      </c>
      <c r="C12" s="33"/>
      <c r="D12" s="37">
        <f>IF( ISERROR(IND_min_gas_kWh/1000),0,IND_min_gas_kWh/1000)*0.902</f>
        <v>0</v>
      </c>
      <c r="E12" s="33">
        <f>C34*'E Balans VL '!I22/100/3.6*1000000</f>
        <v>1.7856952922113685</v>
      </c>
      <c r="F12" s="33">
        <f>C34*'E Balans VL '!L22/100/3.6*1000000+C34*'E Balans VL '!N22/100/3.6*1000000</f>
        <v>18.426163168461972</v>
      </c>
      <c r="G12" s="34"/>
      <c r="H12" s="33"/>
      <c r="I12" s="33"/>
      <c r="J12" s="40">
        <f>C34*'E Balans VL '!D22/100/3.6*1000000+C34*'E Balans VL '!E22/100/3.6*1000000</f>
        <v>0.87427705388258992</v>
      </c>
      <c r="K12" s="33"/>
      <c r="L12" s="33"/>
      <c r="M12" s="33"/>
      <c r="N12" s="33">
        <f>C34*'E Balans VL '!Y22/100/3.6*1000000</f>
        <v>0</v>
      </c>
      <c r="O12" s="33"/>
      <c r="P12" s="33"/>
      <c r="R12" s="32"/>
    </row>
    <row r="13" spans="1:18">
      <c r="A13" s="6" t="s">
        <v>39</v>
      </c>
      <c r="B13" s="37">
        <f t="shared" si="0"/>
        <v>16.437999999999999</v>
      </c>
      <c r="C13" s="33"/>
      <c r="D13" s="37">
        <f>IF( ISERROR(IND_papier_gas_kWh/1000),0,IND_papier_gas_kWh/1000)*0.902</f>
        <v>0</v>
      </c>
      <c r="E13" s="33">
        <f>C35*'E Balans VL '!I23/100/3.6*1000000</f>
        <v>3.4044207538282779E-2</v>
      </c>
      <c r="F13" s="33">
        <f>C35*'E Balans VL '!L23/100/3.6*1000000+C35*'E Balans VL '!N23/100/3.6*1000000</f>
        <v>0.32600078027107571</v>
      </c>
      <c r="G13" s="34"/>
      <c r="H13" s="33"/>
      <c r="I13" s="33"/>
      <c r="J13" s="40">
        <f>C35*'E Balans VL '!D23/100/3.6*1000000+C35*'E Balans VL '!E23/100/3.6*1000000</f>
        <v>0</v>
      </c>
      <c r="K13" s="33"/>
      <c r="L13" s="33"/>
      <c r="M13" s="33"/>
      <c r="N13" s="33">
        <f>C35*'E Balans VL '!Y23/100/3.6*1000000</f>
        <v>6.9409104670098207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52.988999999999997</v>
      </c>
      <c r="C15" s="33"/>
      <c r="D15" s="37">
        <f>IF( ISERROR(IND_rest_gas_kWh/1000),0,IND_rest_gas_kWh/1000)*0.902</f>
        <v>5932.495492</v>
      </c>
      <c r="E15" s="33">
        <f>C37*'E Balans VL '!I15/100/3.6*1000000</f>
        <v>2.6957152442606134</v>
      </c>
      <c r="F15" s="33">
        <f>C37*'E Balans VL '!L15/100/3.6*1000000+C37*'E Balans VL '!N15/100/3.6*1000000</f>
        <v>12.078186769533055</v>
      </c>
      <c r="G15" s="34"/>
      <c r="H15" s="33"/>
      <c r="I15" s="33"/>
      <c r="J15" s="40">
        <f>C37*'E Balans VL '!D15/100/3.6*1000000+C37*'E Balans VL '!E15/100/3.6*1000000</f>
        <v>0.22230636049158042</v>
      </c>
      <c r="K15" s="33"/>
      <c r="L15" s="33"/>
      <c r="M15" s="33"/>
      <c r="N15" s="33">
        <f>C37*'E Balans VL '!Y15/100/3.6*1000000</f>
        <v>9.9557789297606405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2248.8760000000002</v>
      </c>
      <c r="C18" s="21">
        <f>C5+C16</f>
        <v>0</v>
      </c>
      <c r="D18" s="21">
        <f>MAX((D5+D16),0)</f>
        <v>6932.8026680000003</v>
      </c>
      <c r="E18" s="21">
        <f>MAX((E5+E16),0)</f>
        <v>226.22743317568825</v>
      </c>
      <c r="F18" s="21">
        <f>MAX((F5+F16),0)</f>
        <v>2070.1072387161316</v>
      </c>
      <c r="G18" s="21"/>
      <c r="H18" s="21"/>
      <c r="I18" s="21"/>
      <c r="J18" s="21">
        <f>MAX((J5+J16),0)</f>
        <v>18.936300774584222</v>
      </c>
      <c r="K18" s="21"/>
      <c r="L18" s="21">
        <f>MAX((L5+L16),0)</f>
        <v>0</v>
      </c>
      <c r="M18" s="21"/>
      <c r="N18" s="21">
        <f>MAX((N5+N16),0)</f>
        <v>661.57991499638365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0.18871916031194444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424.40599036568437</v>
      </c>
      <c r="C22" s="23">
        <f ca="1">C18*C20</f>
        <v>0</v>
      </c>
      <c r="D22" s="23">
        <f>D18*D20</f>
        <v>1400.4261389360001</v>
      </c>
      <c r="E22" s="23">
        <f>E18*E20</f>
        <v>51.353627330881231</v>
      </c>
      <c r="F22" s="23">
        <f>F18*F20</f>
        <v>552.71863273720714</v>
      </c>
      <c r="G22" s="23"/>
      <c r="H22" s="23"/>
      <c r="I22" s="23"/>
      <c r="J22" s="23">
        <f>J18*J20</f>
        <v>6.703450474202814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72.305999999999997</v>
      </c>
      <c r="C30" s="39">
        <f>IF(ISERROR(B30*3.6/1000000/'E Balans VL '!Z18*100),0,B30*3.6/1000000/'E Balans VL '!Z18*100)</f>
        <v>1.0120430375930148E-2</v>
      </c>
      <c r="D30" s="237" t="s">
        <v>692</v>
      </c>
    </row>
    <row r="31" spans="1:18">
      <c r="A31" s="6" t="s">
        <v>33</v>
      </c>
      <c r="B31" s="37">
        <f>IF( ISERROR(IND_ander_ele_kWh/1000),0,IND_ander_ele_kWh/1000)</f>
        <v>772.12800000000004</v>
      </c>
      <c r="C31" s="39">
        <f>IF(ISERROR(B31*3.6/1000000/'E Balans VL '!Z19*100),0,B31*3.6/1000000/'E Balans VL '!Z19*100)</f>
        <v>3.37959173030426E-2</v>
      </c>
      <c r="D31" s="237" t="s">
        <v>692</v>
      </c>
    </row>
    <row r="32" spans="1:18">
      <c r="A32" s="171" t="s">
        <v>41</v>
      </c>
      <c r="B32" s="37">
        <f>IF( ISERROR(IND_voed_ele_kWh/1000),0,IND_voed_ele_kWh/1000)</f>
        <v>745.39400000000001</v>
      </c>
      <c r="C32" s="39">
        <f>IF(ISERROR(B32*3.6/1000000/'E Balans VL '!Z20*100),0,B32*3.6/1000000/'E Balans VL '!Z20*100)</f>
        <v>0.18453480108622911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589.62099999999998</v>
      </c>
      <c r="C34" s="39">
        <f>IF(ISERROR(B34*3.6/1000000/'E Balans VL '!Z22*100),0,B34*3.6/1000000/'E Balans VL '!Z22*100)</f>
        <v>1.67310384556036E-2</v>
      </c>
      <c r="D34" s="237" t="s">
        <v>692</v>
      </c>
    </row>
    <row r="35" spans="1:5">
      <c r="A35" s="171" t="s">
        <v>39</v>
      </c>
      <c r="B35" s="37">
        <f>IF( ISERROR(IND_papier_ele_kWh/1000),0,IND_papier_ele_kWh/1000)</f>
        <v>16.437999999999999</v>
      </c>
      <c r="C35" s="39">
        <f>IF(ISERROR(B35*3.6/1000000/'E Balans VL '!Z22*100),0,B35*3.6/1000000/'E Balans VL '!Z22*100)</f>
        <v>4.6644337656428776E-4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52.988999999999997</v>
      </c>
      <c r="C37" s="39">
        <f>IF(ISERROR(B37*3.6/1000000/'E Balans VL '!Z15*100),0,B37*3.6/1000000/'E Balans VL '!Z15*100)</f>
        <v>3.9290436289930091E-4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2567.1579999999999</v>
      </c>
      <c r="C5" s="17">
        <f>'Eigen informatie GS &amp; warmtenet'!B60</f>
        <v>0</v>
      </c>
      <c r="D5" s="30">
        <f>IF(ISERROR(SUM(LB_lb_gas_kWh,LB_rest_gas_kWh)/1000),0,SUM(LB_lb_gas_kWh,LB_rest_gas_kWh)/1000)*0.902</f>
        <v>3122.3045699999998</v>
      </c>
      <c r="E5" s="17">
        <f>B17*'E Balans VL '!I25/3.6*1000000/100</f>
        <v>23.778092620607119</v>
      </c>
      <c r="F5" s="17">
        <f>B17*('E Balans VL '!L25/3.6*1000000+'E Balans VL '!N25/3.6*1000000)/100</f>
        <v>6513.3688890971353</v>
      </c>
      <c r="G5" s="18"/>
      <c r="H5" s="17"/>
      <c r="I5" s="17"/>
      <c r="J5" s="17">
        <f>('E Balans VL '!D25+'E Balans VL '!E25)/3.6*1000000*landbouw!B17/100</f>
        <v>393.57397096689652</v>
      </c>
      <c r="K5" s="17"/>
      <c r="L5" s="17">
        <f>L6*(-1)</f>
        <v>0</v>
      </c>
      <c r="M5" s="17"/>
      <c r="N5" s="17">
        <f>N6*(-1)</f>
        <v>154.28571428571431</v>
      </c>
      <c r="O5" s="17"/>
      <c r="P5" s="17"/>
      <c r="R5" s="32"/>
    </row>
    <row r="6" spans="1:18">
      <c r="A6" s="16" t="s">
        <v>494</v>
      </c>
      <c r="B6" s="17" t="s">
        <v>211</v>
      </c>
      <c r="C6" s="17">
        <f>'lokale energieproductie'!O92+'lokale energieproductie'!O61</f>
        <v>77.142857142857139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2567.1579999999999</v>
      </c>
      <c r="C8" s="21">
        <f>C5+C6</f>
        <v>77.142857142857139</v>
      </c>
      <c r="D8" s="21">
        <f>MAX((D5+D6),0)</f>
        <v>3122.3045699999998</v>
      </c>
      <c r="E8" s="21">
        <f>MAX((E5+E6),0)</f>
        <v>23.778092620607119</v>
      </c>
      <c r="F8" s="21">
        <f>MAX((F5+F6),0)</f>
        <v>6513.3688890971353</v>
      </c>
      <c r="G8" s="21"/>
      <c r="H8" s="21"/>
      <c r="I8" s="21"/>
      <c r="J8" s="21">
        <f>MAX((J5+J6),0)</f>
        <v>393.57397096689652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0.18871916031194444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484.47190214809063</v>
      </c>
      <c r="C12" s="23">
        <f ca="1">C8*C10</f>
        <v>0</v>
      </c>
      <c r="D12" s="23">
        <f>D8*D10</f>
        <v>630.70552313999997</v>
      </c>
      <c r="E12" s="23">
        <f>E8*E10</f>
        <v>5.3976270248778162</v>
      </c>
      <c r="F12" s="23">
        <f>F8*F10</f>
        <v>1739.0694933889351</v>
      </c>
      <c r="G12" s="23"/>
      <c r="H12" s="23"/>
      <c r="I12" s="23"/>
      <c r="J12" s="23">
        <f>J8*J10</f>
        <v>139.32518572228136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0.36499543444167926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274.54988764998433</v>
      </c>
      <c r="C26" s="247">
        <f>B26*'GWP N2O_CH4'!B5</f>
        <v>5765.5476406496709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162.36322256616097</v>
      </c>
      <c r="C27" s="247">
        <f>B27*'GWP N2O_CH4'!B5</f>
        <v>3409.6276738893803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4.2600401859050878</v>
      </c>
      <c r="C28" s="247">
        <f>B28*'GWP N2O_CH4'!B4</f>
        <v>1320.6124576305772</v>
      </c>
      <c r="D28" s="50"/>
    </row>
    <row r="29" spans="1:4">
      <c r="A29" s="41" t="s">
        <v>277</v>
      </c>
      <c r="B29" s="247">
        <f>B34*'ha_N2O bodem landbouw'!B4</f>
        <v>28.160574525845213</v>
      </c>
      <c r="C29" s="247">
        <f>B29*'GWP N2O_CH4'!B4</f>
        <v>8729.7781030120168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6.3159207525655646E-3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6.7833732862214652E-5</v>
      </c>
      <c r="C5" s="464" t="s">
        <v>211</v>
      </c>
      <c r="D5" s="449">
        <f>SUM(D6:D11)</f>
        <v>1.8228709969133385E-4</v>
      </c>
      <c r="E5" s="449">
        <f>SUM(E6:E11)</f>
        <v>1.2337647145225924E-3</v>
      </c>
      <c r="F5" s="462" t="s">
        <v>211</v>
      </c>
      <c r="G5" s="449">
        <f>SUM(G6:G11)</f>
        <v>0.36861395583284107</v>
      </c>
      <c r="H5" s="449">
        <f>SUM(H6:H11)</f>
        <v>6.9607807835167013E-2</v>
      </c>
      <c r="I5" s="464" t="s">
        <v>211</v>
      </c>
      <c r="J5" s="464" t="s">
        <v>211</v>
      </c>
      <c r="K5" s="464" t="s">
        <v>211</v>
      </c>
      <c r="L5" s="464" t="s">
        <v>211</v>
      </c>
      <c r="M5" s="449">
        <f>SUM(M6:M11)</f>
        <v>2.3465426219227099E-2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3.584228990399179E-5</v>
      </c>
      <c r="C6" s="450"/>
      <c r="D6" s="893">
        <f>vkm_2011_GW_PW*SUMIFS(TableVerdeelsleutelVkm[CNG],TableVerdeelsleutelVkm[Voertuigtype],"Lichte voertuigen")*SUMIFS(TableECFTransport[EnergieConsumptieFactor (PJ per km)],TableECFTransport[Index],CONCATENATE($A6,"_CNG_CNG"))</f>
        <v>8.2907162620586604E-5</v>
      </c>
      <c r="E6" s="893">
        <f>vkm_2011_GW_PW*SUMIFS(TableVerdeelsleutelVkm[LPG],TableVerdeelsleutelVkm[Voertuigtype],"Lichte voertuigen")*SUMIFS(TableECFTransport[EnergieConsumptieFactor (PJ per km)],TableECFTransport[Index],CONCATENATE($A6,"_LPG_LPG"))</f>
        <v>5.3984137675214315E-4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0.11214805212804302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3.1612218286154195E-2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7.4604127910589731E-3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4.0517691182299274E-2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1.3856314548797578E-5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2.3441780995921255E-3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1.3080502959016851E-5</v>
      </c>
      <c r="C8" s="450"/>
      <c r="D8" s="452">
        <f>vkm_2011_NGW_PW*SUMIFS(TableVerdeelsleutelVkm[CNG],TableVerdeelsleutelVkm[Voertuigtype],"Lichte voertuigen")*SUMIFS(TableECFTransport[EnergieConsumptieFactor (PJ per km)],TableECFTransport[Index],CONCATENATE($A8,"_CNG_CNG"))</f>
        <v>5.3515159938525469E-5</v>
      </c>
      <c r="E8" s="452">
        <f>vkm_2011_NGW_PW*SUMIFS(TableVerdeelsleutelVkm[LPG],TableVerdeelsleutelVkm[Voertuigtype],"Lichte voertuigen")*SUMIFS(TableECFTransport[EnergieConsumptieFactor (PJ per km)],TableECFTransport[Index],CONCATENATE($A8,"_LPG_LPG"))</f>
        <v>3.2159085457033308E-4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6.2452471519842984E-2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1.9730337967018757E-2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4.2199771985115663E-3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4.5698157654733458E-4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1.4787391493640733E-7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2.6438715726647284E-5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1.8910939999206017E-5</v>
      </c>
      <c r="C10" s="450"/>
      <c r="D10" s="452">
        <f>vkm_2011_SW_PW*SUMIFS(TableVerdeelsleutelVkm[CNG],TableVerdeelsleutelVkm[Voertuigtype],"Lichte voertuigen")*SUMIFS(TableECFTransport[EnergieConsumptieFactor (PJ per km)],TableECFTransport[Index],CONCATENATE($A10,"_CNG_CNG"))</f>
        <v>4.5864777132221767E-5</v>
      </c>
      <c r="E10" s="452">
        <f>vkm_2011_SW_PW*SUMIFS(TableVerdeelsleutelVkm[LPG],TableVerdeelsleutelVkm[Voertuigtype],"Lichte voertuigen")*SUMIFS(TableECFTransport[EnergieConsumptieFactor (PJ per km)],TableECFTransport[Index],CONCATENATE($A10,"_LPG_LPG"))</f>
        <v>3.7233248320011622E-4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6.9636864949226482E-2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1.8220508602590845E-2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4.5890788287341194E-3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8.3401894476881941E-2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3.0738790939477029E-5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4.8253405856036689E-3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18.842703572837404</v>
      </c>
      <c r="C14" s="21"/>
      <c r="D14" s="21">
        <f t="shared" ref="D14:M14" si="0">((D5)*10^9/3600)+D12</f>
        <v>50.635305469814959</v>
      </c>
      <c r="E14" s="21">
        <f t="shared" si="0"/>
        <v>342.71242070072014</v>
      </c>
      <c r="F14" s="21"/>
      <c r="G14" s="21">
        <f t="shared" si="0"/>
        <v>102392.76550912252</v>
      </c>
      <c r="H14" s="21">
        <f t="shared" si="0"/>
        <v>19335.502176435279</v>
      </c>
      <c r="I14" s="21"/>
      <c r="J14" s="21"/>
      <c r="K14" s="21"/>
      <c r="L14" s="21"/>
      <c r="M14" s="21">
        <f t="shared" si="0"/>
        <v>6518.173949785305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0.18871916031194444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3.5559791962727503</v>
      </c>
      <c r="C18" s="23"/>
      <c r="D18" s="23">
        <f t="shared" ref="D18:M18" si="1">D14*D16</f>
        <v>10.228331704902622</v>
      </c>
      <c r="E18" s="23">
        <f t="shared" si="1"/>
        <v>77.79571949906348</v>
      </c>
      <c r="F18" s="23"/>
      <c r="G18" s="23">
        <f t="shared" si="1"/>
        <v>27338.868390935713</v>
      </c>
      <c r="H18" s="23">
        <f t="shared" si="1"/>
        <v>4814.5400419323842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6.1309725968337865E-3</v>
      </c>
      <c r="H50" s="321">
        <f t="shared" si="2"/>
        <v>0</v>
      </c>
      <c r="I50" s="321">
        <f t="shared" si="2"/>
        <v>0</v>
      </c>
      <c r="J50" s="321">
        <f t="shared" si="2"/>
        <v>0</v>
      </c>
      <c r="K50" s="321">
        <f t="shared" si="2"/>
        <v>0</v>
      </c>
      <c r="L50" s="321">
        <f t="shared" si="2"/>
        <v>0</v>
      </c>
      <c r="M50" s="321">
        <f t="shared" si="2"/>
        <v>3.4963149444682966E-4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6.1309725968337865E-3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3.4963149444682966E-4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1703.0479435649409</v>
      </c>
      <c r="H54" s="21">
        <f t="shared" si="3"/>
        <v>0</v>
      </c>
      <c r="I54" s="21">
        <f t="shared" si="3"/>
        <v>0</v>
      </c>
      <c r="J54" s="21">
        <f t="shared" si="3"/>
        <v>0</v>
      </c>
      <c r="K54" s="21">
        <f t="shared" si="3"/>
        <v>0</v>
      </c>
      <c r="L54" s="21">
        <f t="shared" si="3"/>
        <v>0</v>
      </c>
      <c r="M54" s="21">
        <f t="shared" si="3"/>
        <v>97.119859568563797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0.18871916031194444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454.71380093183922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17609.761000000002</v>
      </c>
      <c r="D10" s="1025">
        <f ca="1">tertiair!C16</f>
        <v>0</v>
      </c>
      <c r="E10" s="1025">
        <f ca="1">tertiair!D16</f>
        <v>7555.97282</v>
      </c>
      <c r="F10" s="1025">
        <f>tertiair!E16</f>
        <v>161.32934503678382</v>
      </c>
      <c r="G10" s="1025">
        <f ca="1">tertiair!F16</f>
        <v>2872.6373579739457</v>
      </c>
      <c r="H10" s="1025">
        <f>tertiair!G16</f>
        <v>0</v>
      </c>
      <c r="I10" s="1025">
        <f>tertiair!H16</f>
        <v>0</v>
      </c>
      <c r="J10" s="1025">
        <f>tertiair!I16</f>
        <v>0</v>
      </c>
      <c r="K10" s="1025">
        <f>tertiair!J16</f>
        <v>0</v>
      </c>
      <c r="L10" s="1025">
        <f>tertiair!K16</f>
        <v>0</v>
      </c>
      <c r="M10" s="1025">
        <f ca="1">tertiair!L16</f>
        <v>0</v>
      </c>
      <c r="N10" s="1025">
        <f>tertiair!M16</f>
        <v>0</v>
      </c>
      <c r="O10" s="1025">
        <f ca="1">tertiair!N16</f>
        <v>4468.8015174782295</v>
      </c>
      <c r="P10" s="1025">
        <f>tertiair!O16</f>
        <v>4.6900000000000004</v>
      </c>
      <c r="Q10" s="1026">
        <f>tertiair!P16</f>
        <v>19.066666666666666</v>
      </c>
      <c r="R10" s="701">
        <f ca="1">SUM(C10:Q10)</f>
        <v>32692.258707155626</v>
      </c>
      <c r="S10" s="67"/>
    </row>
    <row r="11" spans="1:19" s="474" customFormat="1">
      <c r="A11" s="810" t="s">
        <v>225</v>
      </c>
      <c r="B11" s="815"/>
      <c r="C11" s="1025">
        <f>huishoudens!B8</f>
        <v>29405.272065080087</v>
      </c>
      <c r="D11" s="1025">
        <f>huishoudens!C8</f>
        <v>0</v>
      </c>
      <c r="E11" s="1025">
        <f>huishoudens!D8</f>
        <v>36746.835070000001</v>
      </c>
      <c r="F11" s="1025">
        <f>huishoudens!E8</f>
        <v>3438.3506691380721</v>
      </c>
      <c r="G11" s="1025">
        <f>huishoudens!F8</f>
        <v>74144.855682014371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8398.0786735310212</v>
      </c>
      <c r="P11" s="1025">
        <f>huishoudens!O8</f>
        <v>311.10333333333335</v>
      </c>
      <c r="Q11" s="1026">
        <f>huishoudens!P8</f>
        <v>781.73333333333335</v>
      </c>
      <c r="R11" s="701">
        <f>SUM(C11:Q11)</f>
        <v>153226.22882643022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2248.8760000000002</v>
      </c>
      <c r="D13" s="1025">
        <f>industrie!C18</f>
        <v>0</v>
      </c>
      <c r="E13" s="1025">
        <f>industrie!D18</f>
        <v>6932.8026680000003</v>
      </c>
      <c r="F13" s="1025">
        <f>industrie!E18</f>
        <v>226.22743317568825</v>
      </c>
      <c r="G13" s="1025">
        <f>industrie!F18</f>
        <v>2070.1072387161316</v>
      </c>
      <c r="H13" s="1025">
        <f>industrie!G18</f>
        <v>0</v>
      </c>
      <c r="I13" s="1025">
        <f>industrie!H18</f>
        <v>0</v>
      </c>
      <c r="J13" s="1025">
        <f>industrie!I18</f>
        <v>0</v>
      </c>
      <c r="K13" s="1025">
        <f>industrie!J18</f>
        <v>18.936300774584222</v>
      </c>
      <c r="L13" s="1025">
        <f>industrie!K18</f>
        <v>0</v>
      </c>
      <c r="M13" s="1025">
        <f>industrie!L18</f>
        <v>0</v>
      </c>
      <c r="N13" s="1025">
        <f>industrie!M18</f>
        <v>0</v>
      </c>
      <c r="O13" s="1025">
        <f>industrie!N18</f>
        <v>661.57991499638365</v>
      </c>
      <c r="P13" s="1025">
        <f>industrie!O18</f>
        <v>0</v>
      </c>
      <c r="Q13" s="1026">
        <f>industrie!P18</f>
        <v>0</v>
      </c>
      <c r="R13" s="701">
        <f>SUM(C13:Q13)</f>
        <v>12158.52955566279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49263.909065080094</v>
      </c>
      <c r="D16" s="733">
        <f t="shared" ref="D16:R16" ca="1" si="0">SUM(D9:D15)</f>
        <v>0</v>
      </c>
      <c r="E16" s="733">
        <f t="shared" ca="1" si="0"/>
        <v>51235.610558</v>
      </c>
      <c r="F16" s="733">
        <f t="shared" si="0"/>
        <v>3825.9074473505443</v>
      </c>
      <c r="G16" s="733">
        <f t="shared" ca="1" si="0"/>
        <v>79087.600278704442</v>
      </c>
      <c r="H16" s="733">
        <f t="shared" si="0"/>
        <v>0</v>
      </c>
      <c r="I16" s="733">
        <f t="shared" si="0"/>
        <v>0</v>
      </c>
      <c r="J16" s="733">
        <f t="shared" si="0"/>
        <v>0</v>
      </c>
      <c r="K16" s="733">
        <f t="shared" si="0"/>
        <v>18.936300774584222</v>
      </c>
      <c r="L16" s="733">
        <f t="shared" si="0"/>
        <v>0</v>
      </c>
      <c r="M16" s="733">
        <f t="shared" ca="1" si="0"/>
        <v>0</v>
      </c>
      <c r="N16" s="733">
        <f t="shared" si="0"/>
        <v>0</v>
      </c>
      <c r="O16" s="733">
        <f t="shared" ca="1" si="0"/>
        <v>13528.460106005636</v>
      </c>
      <c r="P16" s="733">
        <f t="shared" si="0"/>
        <v>315.79333333333335</v>
      </c>
      <c r="Q16" s="733">
        <f t="shared" si="0"/>
        <v>800.80000000000007</v>
      </c>
      <c r="R16" s="733">
        <f t="shared" ca="1" si="0"/>
        <v>198077.01708924863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1703.0479435649409</v>
      </c>
      <c r="I19" s="1025">
        <f>transport!H54</f>
        <v>0</v>
      </c>
      <c r="J19" s="1025">
        <f>transport!I54</f>
        <v>0</v>
      </c>
      <c r="K19" s="1025">
        <f>transport!J54</f>
        <v>0</v>
      </c>
      <c r="L19" s="1025">
        <f>transport!K54</f>
        <v>0</v>
      </c>
      <c r="M19" s="1025">
        <f>transport!L54</f>
        <v>0</v>
      </c>
      <c r="N19" s="1025">
        <f>transport!M54</f>
        <v>97.119859568563797</v>
      </c>
      <c r="O19" s="1025">
        <f>transport!N54</f>
        <v>0</v>
      </c>
      <c r="P19" s="1025">
        <f>transport!O54</f>
        <v>0</v>
      </c>
      <c r="Q19" s="1026">
        <f>transport!P54</f>
        <v>0</v>
      </c>
      <c r="R19" s="701">
        <f>SUM(C19:Q19)</f>
        <v>1800.1678031335045</v>
      </c>
      <c r="S19" s="67"/>
    </row>
    <row r="20" spans="1:19" s="474" customFormat="1">
      <c r="A20" s="810" t="s">
        <v>307</v>
      </c>
      <c r="B20" s="815"/>
      <c r="C20" s="1025">
        <f>transport!B14</f>
        <v>18.842703572837404</v>
      </c>
      <c r="D20" s="1025">
        <f>transport!C14</f>
        <v>0</v>
      </c>
      <c r="E20" s="1025">
        <f>transport!D14</f>
        <v>50.635305469814959</v>
      </c>
      <c r="F20" s="1025">
        <f>transport!E14</f>
        <v>342.71242070072014</v>
      </c>
      <c r="G20" s="1025">
        <f>transport!F14</f>
        <v>0</v>
      </c>
      <c r="H20" s="1025">
        <f>transport!G14</f>
        <v>102392.76550912252</v>
      </c>
      <c r="I20" s="1025">
        <f>transport!H14</f>
        <v>19335.502176435279</v>
      </c>
      <c r="J20" s="1025">
        <f>transport!I14</f>
        <v>0</v>
      </c>
      <c r="K20" s="1025">
        <f>transport!J14</f>
        <v>0</v>
      </c>
      <c r="L20" s="1025">
        <f>transport!K14</f>
        <v>0</v>
      </c>
      <c r="M20" s="1025">
        <f>transport!L14</f>
        <v>0</v>
      </c>
      <c r="N20" s="1025">
        <f>transport!M14</f>
        <v>6518.173949785305</v>
      </c>
      <c r="O20" s="1025">
        <f>transport!N14</f>
        <v>0</v>
      </c>
      <c r="P20" s="1025">
        <f>transport!O14</f>
        <v>0</v>
      </c>
      <c r="Q20" s="1026">
        <f>transport!P14</f>
        <v>0</v>
      </c>
      <c r="R20" s="701">
        <f>SUM(C20:Q20)</f>
        <v>128658.63206508648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18.842703572837404</v>
      </c>
      <c r="D22" s="813">
        <f t="shared" ref="D22:R22" si="1">SUM(D18:D21)</f>
        <v>0</v>
      </c>
      <c r="E22" s="813">
        <f t="shared" si="1"/>
        <v>50.635305469814959</v>
      </c>
      <c r="F22" s="813">
        <f t="shared" si="1"/>
        <v>342.71242070072014</v>
      </c>
      <c r="G22" s="813">
        <f t="shared" si="1"/>
        <v>0</v>
      </c>
      <c r="H22" s="813">
        <f t="shared" si="1"/>
        <v>104095.81345268746</v>
      </c>
      <c r="I22" s="813">
        <f t="shared" si="1"/>
        <v>19335.502176435279</v>
      </c>
      <c r="J22" s="813">
        <f t="shared" si="1"/>
        <v>0</v>
      </c>
      <c r="K22" s="813">
        <f t="shared" si="1"/>
        <v>0</v>
      </c>
      <c r="L22" s="813">
        <f t="shared" si="1"/>
        <v>0</v>
      </c>
      <c r="M22" s="813">
        <f t="shared" si="1"/>
        <v>0</v>
      </c>
      <c r="N22" s="813">
        <f t="shared" si="1"/>
        <v>6615.2938093538687</v>
      </c>
      <c r="O22" s="813">
        <f t="shared" si="1"/>
        <v>0</v>
      </c>
      <c r="P22" s="813">
        <f t="shared" si="1"/>
        <v>0</v>
      </c>
      <c r="Q22" s="813">
        <f t="shared" si="1"/>
        <v>0</v>
      </c>
      <c r="R22" s="813">
        <f t="shared" si="1"/>
        <v>130458.79986821998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2567.1579999999999</v>
      </c>
      <c r="D24" s="1025">
        <f>+landbouw!C8</f>
        <v>77.142857142857139</v>
      </c>
      <c r="E24" s="1025">
        <f>+landbouw!D8</f>
        <v>3122.3045699999998</v>
      </c>
      <c r="F24" s="1025">
        <f>+landbouw!E8</f>
        <v>23.778092620607119</v>
      </c>
      <c r="G24" s="1025">
        <f>+landbouw!F8</f>
        <v>6513.3688890971353</v>
      </c>
      <c r="H24" s="1025">
        <f>+landbouw!G8</f>
        <v>0</v>
      </c>
      <c r="I24" s="1025">
        <f>+landbouw!H8</f>
        <v>0</v>
      </c>
      <c r="J24" s="1025">
        <f>+landbouw!I8</f>
        <v>0</v>
      </c>
      <c r="K24" s="1025">
        <f>+landbouw!J8</f>
        <v>393.57397096689652</v>
      </c>
      <c r="L24" s="1025">
        <f>+landbouw!K8</f>
        <v>0</v>
      </c>
      <c r="M24" s="1025">
        <f>+landbouw!L8</f>
        <v>0</v>
      </c>
      <c r="N24" s="1025">
        <f>+landbouw!M8</f>
        <v>0</v>
      </c>
      <c r="O24" s="1025">
        <f>+landbouw!N8</f>
        <v>0</v>
      </c>
      <c r="P24" s="1025">
        <f>+landbouw!O8</f>
        <v>0</v>
      </c>
      <c r="Q24" s="1026">
        <f>+landbouw!P8</f>
        <v>0</v>
      </c>
      <c r="R24" s="701">
        <f>SUM(C24:Q24)</f>
        <v>12697.326379827495</v>
      </c>
      <c r="S24" s="67"/>
    </row>
    <row r="25" spans="1:19" s="474" customFormat="1" ht="15" thickBot="1">
      <c r="A25" s="832" t="s">
        <v>864</v>
      </c>
      <c r="B25" s="1028"/>
      <c r="C25" s="1029">
        <f>IF(Onbekend_ele_kWh="---",0,Onbekend_ele_kWh)/1000+IF(REST_rest_ele_kWh="---",0,REST_rest_ele_kWh)/1000</f>
        <v>546.21199999999999</v>
      </c>
      <c r="D25" s="1029"/>
      <c r="E25" s="1029">
        <f>IF(onbekend_gas_kWh="---",0,onbekend_gas_kWh)/1000+IF(REST_rest_gas_kWh="---",0,REST_rest_gas_kWh)/1000</f>
        <v>914.93</v>
      </c>
      <c r="F25" s="1029"/>
      <c r="G25" s="1029"/>
      <c r="H25" s="1029"/>
      <c r="I25" s="1029"/>
      <c r="J25" s="1029"/>
      <c r="K25" s="1029"/>
      <c r="L25" s="1029"/>
      <c r="M25" s="1029"/>
      <c r="N25" s="1029"/>
      <c r="O25" s="1029"/>
      <c r="P25" s="1029"/>
      <c r="Q25" s="1030"/>
      <c r="R25" s="701">
        <f>SUM(C25:Q25)</f>
        <v>1461.1419999999998</v>
      </c>
      <c r="S25" s="67"/>
    </row>
    <row r="26" spans="1:19" s="474" customFormat="1" ht="15.75" thickBot="1">
      <c r="A26" s="706" t="s">
        <v>865</v>
      </c>
      <c r="B26" s="818"/>
      <c r="C26" s="813">
        <f>SUM(C24:C25)</f>
        <v>3113.37</v>
      </c>
      <c r="D26" s="813">
        <f t="shared" ref="D26:R26" si="2">SUM(D24:D25)</f>
        <v>77.142857142857139</v>
      </c>
      <c r="E26" s="813">
        <f t="shared" si="2"/>
        <v>4037.2345699999996</v>
      </c>
      <c r="F26" s="813">
        <f t="shared" si="2"/>
        <v>23.778092620607119</v>
      </c>
      <c r="G26" s="813">
        <f t="shared" si="2"/>
        <v>6513.3688890971353</v>
      </c>
      <c r="H26" s="813">
        <f t="shared" si="2"/>
        <v>0</v>
      </c>
      <c r="I26" s="813">
        <f t="shared" si="2"/>
        <v>0</v>
      </c>
      <c r="J26" s="813">
        <f t="shared" si="2"/>
        <v>0</v>
      </c>
      <c r="K26" s="813">
        <f t="shared" si="2"/>
        <v>393.57397096689652</v>
      </c>
      <c r="L26" s="813">
        <f t="shared" si="2"/>
        <v>0</v>
      </c>
      <c r="M26" s="813">
        <f t="shared" si="2"/>
        <v>0</v>
      </c>
      <c r="N26" s="813">
        <f t="shared" si="2"/>
        <v>0</v>
      </c>
      <c r="O26" s="813">
        <f t="shared" si="2"/>
        <v>0</v>
      </c>
      <c r="P26" s="813">
        <f t="shared" si="2"/>
        <v>0</v>
      </c>
      <c r="Q26" s="813">
        <f t="shared" si="2"/>
        <v>0</v>
      </c>
      <c r="R26" s="813">
        <f t="shared" si="2"/>
        <v>14158.468379827495</v>
      </c>
      <c r="S26" s="67"/>
    </row>
    <row r="27" spans="1:19" s="474" customFormat="1" ht="17.25" thickTop="1" thickBot="1">
      <c r="A27" s="707" t="s">
        <v>116</v>
      </c>
      <c r="B27" s="806"/>
      <c r="C27" s="708">
        <f ca="1">C22+C16+C26</f>
        <v>52396.121768652934</v>
      </c>
      <c r="D27" s="708">
        <f t="shared" ref="D27:R27" ca="1" si="3">D22+D16+D26</f>
        <v>77.142857142857139</v>
      </c>
      <c r="E27" s="708">
        <f t="shared" ca="1" si="3"/>
        <v>55323.480433469813</v>
      </c>
      <c r="F27" s="708">
        <f t="shared" si="3"/>
        <v>4192.3979606718713</v>
      </c>
      <c r="G27" s="708">
        <f t="shared" ca="1" si="3"/>
        <v>85600.969167801581</v>
      </c>
      <c r="H27" s="708">
        <f t="shared" si="3"/>
        <v>104095.81345268746</v>
      </c>
      <c r="I27" s="708">
        <f t="shared" si="3"/>
        <v>19335.502176435279</v>
      </c>
      <c r="J27" s="708">
        <f t="shared" si="3"/>
        <v>0</v>
      </c>
      <c r="K27" s="708">
        <f t="shared" si="3"/>
        <v>412.51027174148072</v>
      </c>
      <c r="L27" s="708">
        <f t="shared" si="3"/>
        <v>0</v>
      </c>
      <c r="M27" s="708">
        <f t="shared" ca="1" si="3"/>
        <v>0</v>
      </c>
      <c r="N27" s="708">
        <f t="shared" si="3"/>
        <v>6615.2938093538687</v>
      </c>
      <c r="O27" s="708">
        <f t="shared" ca="1" si="3"/>
        <v>13528.460106005636</v>
      </c>
      <c r="P27" s="708">
        <f t="shared" si="3"/>
        <v>315.79333333333335</v>
      </c>
      <c r="Q27" s="708">
        <f t="shared" si="3"/>
        <v>800.80000000000007</v>
      </c>
      <c r="R27" s="708">
        <f t="shared" ca="1" si="3"/>
        <v>342694.28533729614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3323.2993092140273</v>
      </c>
      <c r="D40" s="1025">
        <f ca="1">tertiair!C20</f>
        <v>0</v>
      </c>
      <c r="E40" s="1025">
        <f ca="1">tertiair!D20</f>
        <v>1526.3065096400001</v>
      </c>
      <c r="F40" s="1025">
        <f>tertiair!E20</f>
        <v>36.621761323349929</v>
      </c>
      <c r="G40" s="1025">
        <f ca="1">tertiair!F20</f>
        <v>766.99417457904349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5653.2217547564214</v>
      </c>
    </row>
    <row r="41" spans="1:18">
      <c r="A41" s="823" t="s">
        <v>225</v>
      </c>
      <c r="B41" s="830"/>
      <c r="C41" s="1025">
        <f ca="1">huishoudens!B12</f>
        <v>5549.3382528661905</v>
      </c>
      <c r="D41" s="1025">
        <f ca="1">huishoudens!C12</f>
        <v>0</v>
      </c>
      <c r="E41" s="1025">
        <f>huishoudens!D12</f>
        <v>7422.8606841400006</v>
      </c>
      <c r="F41" s="1025">
        <f>huishoudens!E12</f>
        <v>780.50560189434236</v>
      </c>
      <c r="G41" s="1025">
        <f>huishoudens!F12</f>
        <v>19796.676467097837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33549.381005998366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424.40599036568437</v>
      </c>
      <c r="D43" s="1025">
        <f ca="1">industrie!C22</f>
        <v>0</v>
      </c>
      <c r="E43" s="1025">
        <f>industrie!D22</f>
        <v>1400.4261389360001</v>
      </c>
      <c r="F43" s="1025">
        <f>industrie!E22</f>
        <v>51.353627330881231</v>
      </c>
      <c r="G43" s="1025">
        <f>industrie!F22</f>
        <v>552.71863273720714</v>
      </c>
      <c r="H43" s="1025">
        <f>industrie!G22</f>
        <v>0</v>
      </c>
      <c r="I43" s="1025">
        <f>industrie!H22</f>
        <v>0</v>
      </c>
      <c r="J43" s="1025">
        <f>industrie!I22</f>
        <v>0</v>
      </c>
      <c r="K43" s="1025">
        <f>industrie!J22</f>
        <v>6.703450474202814</v>
      </c>
      <c r="L43" s="1025">
        <f>industrie!K22</f>
        <v>0</v>
      </c>
      <c r="M43" s="1025">
        <f>industrie!L22</f>
        <v>0</v>
      </c>
      <c r="N43" s="1025">
        <f>industrie!M22</f>
        <v>0</v>
      </c>
      <c r="O43" s="1025">
        <f>industrie!N22</f>
        <v>0</v>
      </c>
      <c r="P43" s="1025">
        <f>industrie!O22</f>
        <v>0</v>
      </c>
      <c r="Q43" s="775">
        <f>industrie!P22</f>
        <v>0</v>
      </c>
      <c r="R43" s="850">
        <f t="shared" ca="1" si="4"/>
        <v>2435.6078398439754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9297.0435524459026</v>
      </c>
      <c r="D46" s="733">
        <f t="shared" ref="D46:Q46" ca="1" si="5">SUM(D39:D45)</f>
        <v>0</v>
      </c>
      <c r="E46" s="733">
        <f t="shared" ca="1" si="5"/>
        <v>10349.593332716</v>
      </c>
      <c r="F46" s="733">
        <f t="shared" si="5"/>
        <v>868.48099054857346</v>
      </c>
      <c r="G46" s="733">
        <f t="shared" ca="1" si="5"/>
        <v>21116.389274414087</v>
      </c>
      <c r="H46" s="733">
        <f t="shared" si="5"/>
        <v>0</v>
      </c>
      <c r="I46" s="733">
        <f t="shared" si="5"/>
        <v>0</v>
      </c>
      <c r="J46" s="733">
        <f t="shared" si="5"/>
        <v>0</v>
      </c>
      <c r="K46" s="733">
        <f t="shared" si="5"/>
        <v>6.703450474202814</v>
      </c>
      <c r="L46" s="733">
        <f t="shared" si="5"/>
        <v>0</v>
      </c>
      <c r="M46" s="733">
        <f t="shared" ca="1" si="5"/>
        <v>0</v>
      </c>
      <c r="N46" s="733">
        <f t="shared" si="5"/>
        <v>0</v>
      </c>
      <c r="O46" s="733">
        <f t="shared" ca="1" si="5"/>
        <v>0</v>
      </c>
      <c r="P46" s="733">
        <f t="shared" si="5"/>
        <v>0</v>
      </c>
      <c r="Q46" s="733">
        <f t="shared" si="5"/>
        <v>0</v>
      </c>
      <c r="R46" s="733">
        <f ca="1">SUM(R39:R45)</f>
        <v>41638.210600598766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454.71380093183922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454.71380093183922</v>
      </c>
    </row>
    <row r="50" spans="1:18">
      <c r="A50" s="826" t="s">
        <v>307</v>
      </c>
      <c r="B50" s="836"/>
      <c r="C50" s="704">
        <f ca="1">transport!B18</f>
        <v>3.5559791962727503</v>
      </c>
      <c r="D50" s="704">
        <f>transport!C18</f>
        <v>0</v>
      </c>
      <c r="E50" s="704">
        <f>transport!D18</f>
        <v>10.228331704902622</v>
      </c>
      <c r="F50" s="704">
        <f>transport!E18</f>
        <v>77.79571949906348</v>
      </c>
      <c r="G50" s="704">
        <f>transport!F18</f>
        <v>0</v>
      </c>
      <c r="H50" s="704">
        <f>transport!G18</f>
        <v>27338.868390935713</v>
      </c>
      <c r="I50" s="704">
        <f>transport!H18</f>
        <v>4814.5400419323842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32244.988463268339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3.5559791962727503</v>
      </c>
      <c r="D52" s="733">
        <f t="shared" ref="D52:Q52" ca="1" si="6">SUM(D48:D51)</f>
        <v>0</v>
      </c>
      <c r="E52" s="733">
        <f t="shared" si="6"/>
        <v>10.228331704902622</v>
      </c>
      <c r="F52" s="733">
        <f t="shared" si="6"/>
        <v>77.79571949906348</v>
      </c>
      <c r="G52" s="733">
        <f t="shared" si="6"/>
        <v>0</v>
      </c>
      <c r="H52" s="733">
        <f t="shared" si="6"/>
        <v>27793.582191867554</v>
      </c>
      <c r="I52" s="733">
        <f t="shared" si="6"/>
        <v>4814.5400419323842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32699.702264200179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484.47190214809063</v>
      </c>
      <c r="D54" s="704">
        <f ca="1">+landbouw!C12</f>
        <v>0</v>
      </c>
      <c r="E54" s="704">
        <f>+landbouw!D12</f>
        <v>630.70552313999997</v>
      </c>
      <c r="F54" s="704">
        <f>+landbouw!E12</f>
        <v>5.3976270248778162</v>
      </c>
      <c r="G54" s="704">
        <f>+landbouw!F12</f>
        <v>1739.0694933889351</v>
      </c>
      <c r="H54" s="704">
        <f>+landbouw!G12</f>
        <v>0</v>
      </c>
      <c r="I54" s="704">
        <f>+landbouw!H12</f>
        <v>0</v>
      </c>
      <c r="J54" s="704">
        <f>+landbouw!I12</f>
        <v>0</v>
      </c>
      <c r="K54" s="704">
        <f>+landbouw!J12</f>
        <v>139.32518572228136</v>
      </c>
      <c r="L54" s="704">
        <f>+landbouw!K12</f>
        <v>0</v>
      </c>
      <c r="M54" s="704">
        <f>+landbouw!L12</f>
        <v>0</v>
      </c>
      <c r="N54" s="704">
        <f>+landbouw!M12</f>
        <v>0</v>
      </c>
      <c r="O54" s="704">
        <f>+landbouw!N12</f>
        <v>0</v>
      </c>
      <c r="P54" s="704">
        <f>+landbouw!O12</f>
        <v>0</v>
      </c>
      <c r="Q54" s="705">
        <f>+landbouw!P12</f>
        <v>0</v>
      </c>
      <c r="R54" s="732">
        <f ca="1">SUM(C54:Q54)</f>
        <v>2998.9697314241848</v>
      </c>
    </row>
    <row r="55" spans="1:18" ht="15" thickBot="1">
      <c r="A55" s="826" t="s">
        <v>864</v>
      </c>
      <c r="B55" s="836"/>
      <c r="C55" s="704">
        <f ca="1">C25*'EF ele_warmte'!B12</f>
        <v>103.08066999230779</v>
      </c>
      <c r="D55" s="704"/>
      <c r="E55" s="704">
        <f>E25*EF_CO2_aardgas</f>
        <v>184.81586000000001</v>
      </c>
      <c r="F55" s="704"/>
      <c r="G55" s="704"/>
      <c r="H55" s="704"/>
      <c r="I55" s="704"/>
      <c r="J55" s="704"/>
      <c r="K55" s="704"/>
      <c r="L55" s="704"/>
      <c r="M55" s="704"/>
      <c r="N55" s="704"/>
      <c r="O55" s="704"/>
      <c r="P55" s="704"/>
      <c r="Q55" s="705"/>
      <c r="R55" s="732">
        <f ca="1">SUM(C55:Q55)</f>
        <v>287.89652999230782</v>
      </c>
    </row>
    <row r="56" spans="1:18" ht="15.75" thickBot="1">
      <c r="A56" s="824" t="s">
        <v>865</v>
      </c>
      <c r="B56" s="837"/>
      <c r="C56" s="733">
        <f ca="1">SUM(C54:C55)</f>
        <v>587.55257214039841</v>
      </c>
      <c r="D56" s="733">
        <f t="shared" ref="D56:Q56" ca="1" si="7">SUM(D54:D55)</f>
        <v>0</v>
      </c>
      <c r="E56" s="733">
        <f t="shared" si="7"/>
        <v>815.52138314000001</v>
      </c>
      <c r="F56" s="733">
        <f t="shared" si="7"/>
        <v>5.3976270248778162</v>
      </c>
      <c r="G56" s="733">
        <f t="shared" si="7"/>
        <v>1739.0694933889351</v>
      </c>
      <c r="H56" s="733">
        <f t="shared" si="7"/>
        <v>0</v>
      </c>
      <c r="I56" s="733">
        <f t="shared" si="7"/>
        <v>0</v>
      </c>
      <c r="J56" s="733">
        <f t="shared" si="7"/>
        <v>0</v>
      </c>
      <c r="K56" s="733">
        <f t="shared" si="7"/>
        <v>139.32518572228136</v>
      </c>
      <c r="L56" s="733">
        <f t="shared" si="7"/>
        <v>0</v>
      </c>
      <c r="M56" s="733">
        <f t="shared" si="7"/>
        <v>0</v>
      </c>
      <c r="N56" s="733">
        <f t="shared" si="7"/>
        <v>0</v>
      </c>
      <c r="O56" s="733">
        <f t="shared" si="7"/>
        <v>0</v>
      </c>
      <c r="P56" s="733">
        <f t="shared" si="7"/>
        <v>0</v>
      </c>
      <c r="Q56" s="734">
        <f t="shared" si="7"/>
        <v>0</v>
      </c>
      <c r="R56" s="735">
        <f ca="1">SUM(R54:R55)</f>
        <v>3286.8662614164928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9888.1521037825751</v>
      </c>
      <c r="D61" s="741">
        <f t="shared" ref="D61:Q61" ca="1" si="8">D46+D52+D56</f>
        <v>0</v>
      </c>
      <c r="E61" s="741">
        <f t="shared" ca="1" si="8"/>
        <v>11175.343047560902</v>
      </c>
      <c r="F61" s="741">
        <f t="shared" si="8"/>
        <v>951.67433707251473</v>
      </c>
      <c r="G61" s="741">
        <f t="shared" ca="1" si="8"/>
        <v>22855.458767803022</v>
      </c>
      <c r="H61" s="741">
        <f t="shared" si="8"/>
        <v>27793.582191867554</v>
      </c>
      <c r="I61" s="741">
        <f t="shared" si="8"/>
        <v>4814.5400419323842</v>
      </c>
      <c r="J61" s="741">
        <f t="shared" si="8"/>
        <v>0</v>
      </c>
      <c r="K61" s="741">
        <f t="shared" si="8"/>
        <v>146.02863619648417</v>
      </c>
      <c r="L61" s="741">
        <f t="shared" si="8"/>
        <v>0</v>
      </c>
      <c r="M61" s="741">
        <f t="shared" ca="1" si="8"/>
        <v>0</v>
      </c>
      <c r="N61" s="741">
        <f t="shared" si="8"/>
        <v>0</v>
      </c>
      <c r="O61" s="741">
        <f t="shared" ca="1" si="8"/>
        <v>0</v>
      </c>
      <c r="P61" s="741">
        <f t="shared" si="8"/>
        <v>0</v>
      </c>
      <c r="Q61" s="741">
        <f t="shared" si="8"/>
        <v>0</v>
      </c>
      <c r="R61" s="741">
        <f ca="1">R46+R52+R56</f>
        <v>77624.779126215435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0.18871916031194444</v>
      </c>
      <c r="D63" s="782">
        <f t="shared" ca="1" si="9"/>
        <v>0</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7599.3520682792923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54</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63.529411764705898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7653.3520682792923</v>
      </c>
      <c r="C78" s="756">
        <f>SUM(C72:C77)</f>
        <v>0</v>
      </c>
      <c r="D78" s="757">
        <f t="shared" ref="D78:H78" si="10">SUM(D76:D77)</f>
        <v>0</v>
      </c>
      <c r="E78" s="757">
        <f t="shared" si="10"/>
        <v>0</v>
      </c>
      <c r="F78" s="757">
        <f t="shared" si="10"/>
        <v>0</v>
      </c>
      <c r="G78" s="757">
        <f t="shared" si="10"/>
        <v>0</v>
      </c>
      <c r="H78" s="757">
        <f t="shared" si="10"/>
        <v>0</v>
      </c>
      <c r="I78" s="757">
        <f>SUM(I76:I77)</f>
        <v>0</v>
      </c>
      <c r="J78" s="757">
        <f>SUM(J76:J77)</f>
        <v>63.529411764705898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77.142857142857139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90.756302521008422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77.142857142857139</v>
      </c>
      <c r="C90" s="756">
        <f>SUM(C87:C89)</f>
        <v>0</v>
      </c>
      <c r="D90" s="756">
        <f t="shared" ref="D90:H90" si="12">SUM(D87:D89)</f>
        <v>0</v>
      </c>
      <c r="E90" s="756">
        <f t="shared" si="12"/>
        <v>0</v>
      </c>
      <c r="F90" s="756">
        <f t="shared" si="12"/>
        <v>0</v>
      </c>
      <c r="G90" s="756">
        <f t="shared" si="12"/>
        <v>0</v>
      </c>
      <c r="H90" s="756">
        <f t="shared" si="12"/>
        <v>0</v>
      </c>
      <c r="I90" s="756">
        <f>SUM(I87:I89)</f>
        <v>0</v>
      </c>
      <c r="J90" s="756">
        <f>SUM(J87:J89)</f>
        <v>90.756302521008422</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7599.3520682792923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54</v>
      </c>
      <c r="C8" s="571">
        <f>B101</f>
        <v>0</v>
      </c>
      <c r="D8" s="1056"/>
      <c r="E8" s="1056">
        <f>E101</f>
        <v>0</v>
      </c>
      <c r="F8" s="1057"/>
      <c r="G8" s="572"/>
      <c r="H8" s="1056">
        <f>I101</f>
        <v>0</v>
      </c>
      <c r="I8" s="1056">
        <f>G101+F101</f>
        <v>0</v>
      </c>
      <c r="J8" s="1056">
        <f>H101+D101+C101</f>
        <v>63.529411764705898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7653.3520682792923</v>
      </c>
      <c r="C10" s="584">
        <f t="shared" ref="C10:L10" si="0">SUM(C8:C9)</f>
        <v>0</v>
      </c>
      <c r="D10" s="584">
        <f t="shared" si="0"/>
        <v>0</v>
      </c>
      <c r="E10" s="584">
        <f t="shared" si="0"/>
        <v>0</v>
      </c>
      <c r="F10" s="584">
        <f t="shared" si="0"/>
        <v>0</v>
      </c>
      <c r="G10" s="584">
        <f t="shared" si="0"/>
        <v>0</v>
      </c>
      <c r="H10" s="584">
        <f t="shared" si="0"/>
        <v>0</v>
      </c>
      <c r="I10" s="584">
        <f t="shared" si="0"/>
        <v>0</v>
      </c>
      <c r="J10" s="584">
        <f t="shared" si="0"/>
        <v>63.529411764705898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77.142857142857139</v>
      </c>
      <c r="C17" s="596">
        <f>B102</f>
        <v>0</v>
      </c>
      <c r="D17" s="597"/>
      <c r="E17" s="597">
        <f>E102</f>
        <v>0</v>
      </c>
      <c r="F17" s="1062"/>
      <c r="G17" s="598"/>
      <c r="H17" s="596">
        <f>I102</f>
        <v>0</v>
      </c>
      <c r="I17" s="597">
        <f>G102+F102</f>
        <v>0</v>
      </c>
      <c r="J17" s="597">
        <f>H102+D102+C102</f>
        <v>90.756302521008422</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77.142857142857139</v>
      </c>
      <c r="C20" s="583">
        <f>SUM(C17:C19)</f>
        <v>0</v>
      </c>
      <c r="D20" s="583">
        <f t="shared" ref="D20:L20" si="1">SUM(D17:D19)</f>
        <v>0</v>
      </c>
      <c r="E20" s="583">
        <f t="shared" si="1"/>
        <v>0</v>
      </c>
      <c r="F20" s="583">
        <f t="shared" si="1"/>
        <v>0</v>
      </c>
      <c r="G20" s="583">
        <f t="shared" si="1"/>
        <v>0</v>
      </c>
      <c r="H20" s="583">
        <f t="shared" si="1"/>
        <v>0</v>
      </c>
      <c r="I20" s="583">
        <f t="shared" si="1"/>
        <v>0</v>
      </c>
      <c r="J20" s="583">
        <f t="shared" si="1"/>
        <v>90.756302521008422</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73066</v>
      </c>
      <c r="C28" s="797">
        <v>3770</v>
      </c>
      <c r="D28" s="654" t="s">
        <v>907</v>
      </c>
      <c r="E28" s="653" t="s">
        <v>908</v>
      </c>
      <c r="F28" s="653" t="s">
        <v>909</v>
      </c>
      <c r="G28" s="653" t="s">
        <v>910</v>
      </c>
      <c r="H28" s="653" t="s">
        <v>911</v>
      </c>
      <c r="I28" s="653" t="s">
        <v>908</v>
      </c>
      <c r="J28" s="796">
        <v>40624</v>
      </c>
      <c r="K28" s="796">
        <v>41306</v>
      </c>
      <c r="L28" s="653" t="s">
        <v>912</v>
      </c>
      <c r="M28" s="653">
        <v>12</v>
      </c>
      <c r="N28" s="653">
        <v>54</v>
      </c>
      <c r="O28" s="653">
        <v>77.142857142857139</v>
      </c>
      <c r="P28" s="653">
        <v>0</v>
      </c>
      <c r="Q28" s="653">
        <v>0</v>
      </c>
      <c r="R28" s="653">
        <v>0</v>
      </c>
      <c r="S28" s="653">
        <v>0</v>
      </c>
      <c r="T28" s="653">
        <v>0</v>
      </c>
      <c r="U28" s="653">
        <v>0</v>
      </c>
      <c r="V28" s="653">
        <v>154.28571428571431</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v>
      </c>
      <c r="N58" s="611">
        <f>SUM(N28:N57)</f>
        <v>54</v>
      </c>
      <c r="O58" s="611">
        <f t="shared" ref="O58:W58" si="2">SUM(O28:O57)</f>
        <v>77.142857142857139</v>
      </c>
      <c r="P58" s="611">
        <f t="shared" si="2"/>
        <v>0</v>
      </c>
      <c r="Q58" s="611">
        <f t="shared" si="2"/>
        <v>0</v>
      </c>
      <c r="R58" s="611">
        <f t="shared" si="2"/>
        <v>0</v>
      </c>
      <c r="S58" s="611">
        <f t="shared" si="2"/>
        <v>0</v>
      </c>
      <c r="T58" s="611">
        <f t="shared" si="2"/>
        <v>0</v>
      </c>
      <c r="U58" s="611">
        <f t="shared" si="2"/>
        <v>0</v>
      </c>
      <c r="V58" s="611">
        <f t="shared" si="2"/>
        <v>154.28571428571431</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v>
      </c>
      <c r="N61" s="616">
        <f t="shared" si="4"/>
        <v>54</v>
      </c>
      <c r="O61" s="616">
        <f t="shared" si="4"/>
        <v>77.142857142857139</v>
      </c>
      <c r="P61" s="616">
        <f t="shared" si="4"/>
        <v>0</v>
      </c>
      <c r="Q61" s="616">
        <f t="shared" si="4"/>
        <v>0</v>
      </c>
      <c r="R61" s="616">
        <f t="shared" si="4"/>
        <v>0</v>
      </c>
      <c r="S61" s="616">
        <f t="shared" si="4"/>
        <v>0</v>
      </c>
      <c r="T61" s="616">
        <f t="shared" si="4"/>
        <v>0</v>
      </c>
      <c r="U61" s="616">
        <f t="shared" si="4"/>
        <v>0</v>
      </c>
      <c r="V61" s="616">
        <f t="shared" si="4"/>
        <v>154.28571428571431</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63.529411764705898</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90.756302521008422</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29405.272065080087</v>
      </c>
      <c r="C4" s="478">
        <f>huishoudens!C8</f>
        <v>0</v>
      </c>
      <c r="D4" s="478">
        <f>huishoudens!D8</f>
        <v>36746.835070000001</v>
      </c>
      <c r="E4" s="478">
        <f>huishoudens!E8</f>
        <v>3438.3506691380721</v>
      </c>
      <c r="F4" s="478">
        <f>huishoudens!F8</f>
        <v>74144.855682014371</v>
      </c>
      <c r="G4" s="478">
        <f>huishoudens!G8</f>
        <v>0</v>
      </c>
      <c r="H4" s="478">
        <f>huishoudens!H8</f>
        <v>0</v>
      </c>
      <c r="I4" s="478">
        <f>huishoudens!I8</f>
        <v>0</v>
      </c>
      <c r="J4" s="478">
        <f>huishoudens!J8</f>
        <v>0</v>
      </c>
      <c r="K4" s="478">
        <f>huishoudens!K8</f>
        <v>0</v>
      </c>
      <c r="L4" s="478">
        <f>huishoudens!L8</f>
        <v>0</v>
      </c>
      <c r="M4" s="478">
        <f>huishoudens!M8</f>
        <v>0</v>
      </c>
      <c r="N4" s="478">
        <f>huishoudens!N8</f>
        <v>8398.0786735310212</v>
      </c>
      <c r="O4" s="478">
        <f>huishoudens!O8</f>
        <v>311.10333333333335</v>
      </c>
      <c r="P4" s="479">
        <f>huishoudens!P8</f>
        <v>781.73333333333335</v>
      </c>
      <c r="Q4" s="480">
        <f>SUM(B4:P4)</f>
        <v>153226.22882643022</v>
      </c>
    </row>
    <row r="5" spans="1:17">
      <c r="A5" s="477" t="s">
        <v>156</v>
      </c>
      <c r="B5" s="478">
        <f ca="1">tertiair!B16</f>
        <v>16673.081000000002</v>
      </c>
      <c r="C5" s="478">
        <f ca="1">tertiair!C16</f>
        <v>0</v>
      </c>
      <c r="D5" s="478">
        <f ca="1">tertiair!D16</f>
        <v>7555.97282</v>
      </c>
      <c r="E5" s="478">
        <f>tertiair!E16</f>
        <v>161.32934503678382</v>
      </c>
      <c r="F5" s="478">
        <f ca="1">tertiair!F16</f>
        <v>2872.6373579739457</v>
      </c>
      <c r="G5" s="478">
        <f>tertiair!G16</f>
        <v>0</v>
      </c>
      <c r="H5" s="478">
        <f>tertiair!H16</f>
        <v>0</v>
      </c>
      <c r="I5" s="478">
        <f>tertiair!I16</f>
        <v>0</v>
      </c>
      <c r="J5" s="478">
        <f>tertiair!J16</f>
        <v>0</v>
      </c>
      <c r="K5" s="478">
        <f>tertiair!K16</f>
        <v>0</v>
      </c>
      <c r="L5" s="478">
        <f ca="1">tertiair!L16</f>
        <v>0</v>
      </c>
      <c r="M5" s="478">
        <f>tertiair!M16</f>
        <v>0</v>
      </c>
      <c r="N5" s="478">
        <f ca="1">tertiair!N16</f>
        <v>4468.8015174782295</v>
      </c>
      <c r="O5" s="478">
        <f>tertiair!O16</f>
        <v>4.6900000000000004</v>
      </c>
      <c r="P5" s="479">
        <f>tertiair!P16</f>
        <v>19.066666666666666</v>
      </c>
      <c r="Q5" s="477">
        <f t="shared" ref="Q5:Q14" ca="1" si="0">SUM(B5:P5)</f>
        <v>31755.578707155626</v>
      </c>
    </row>
    <row r="6" spans="1:17">
      <c r="A6" s="477" t="s">
        <v>194</v>
      </c>
      <c r="B6" s="478">
        <f>'openbare verlichting'!B8</f>
        <v>936.68</v>
      </c>
      <c r="C6" s="478"/>
      <c r="D6" s="478"/>
      <c r="E6" s="478"/>
      <c r="F6" s="478"/>
      <c r="G6" s="478"/>
      <c r="H6" s="478"/>
      <c r="I6" s="478"/>
      <c r="J6" s="478"/>
      <c r="K6" s="478"/>
      <c r="L6" s="478"/>
      <c r="M6" s="478"/>
      <c r="N6" s="478"/>
      <c r="O6" s="478"/>
      <c r="P6" s="479"/>
      <c r="Q6" s="477">
        <f t="shared" si="0"/>
        <v>936.68</v>
      </c>
    </row>
    <row r="7" spans="1:17">
      <c r="A7" s="477" t="s">
        <v>112</v>
      </c>
      <c r="B7" s="478">
        <f>landbouw!B8</f>
        <v>2567.1579999999999</v>
      </c>
      <c r="C7" s="478">
        <f>landbouw!C8</f>
        <v>77.142857142857139</v>
      </c>
      <c r="D7" s="478">
        <f>landbouw!D8</f>
        <v>3122.3045699999998</v>
      </c>
      <c r="E7" s="478">
        <f>landbouw!E8</f>
        <v>23.778092620607119</v>
      </c>
      <c r="F7" s="478">
        <f>landbouw!F8</f>
        <v>6513.3688890971353</v>
      </c>
      <c r="G7" s="478">
        <f>landbouw!G8</f>
        <v>0</v>
      </c>
      <c r="H7" s="478">
        <f>landbouw!H8</f>
        <v>0</v>
      </c>
      <c r="I7" s="478">
        <f>landbouw!I8</f>
        <v>0</v>
      </c>
      <c r="J7" s="478">
        <f>landbouw!J8</f>
        <v>393.57397096689652</v>
      </c>
      <c r="K7" s="478">
        <f>landbouw!K8</f>
        <v>0</v>
      </c>
      <c r="L7" s="478">
        <f>landbouw!L8</f>
        <v>0</v>
      </c>
      <c r="M7" s="478">
        <f>landbouw!M8</f>
        <v>0</v>
      </c>
      <c r="N7" s="478">
        <f>landbouw!N8</f>
        <v>0</v>
      </c>
      <c r="O7" s="478">
        <f>landbouw!O8</f>
        <v>0</v>
      </c>
      <c r="P7" s="479">
        <f>landbouw!P8</f>
        <v>0</v>
      </c>
      <c r="Q7" s="477">
        <f t="shared" si="0"/>
        <v>12697.326379827495</v>
      </c>
    </row>
    <row r="8" spans="1:17">
      <c r="A8" s="477" t="s">
        <v>650</v>
      </c>
      <c r="B8" s="478">
        <f>industrie!B18</f>
        <v>2248.8760000000002</v>
      </c>
      <c r="C8" s="478">
        <f>industrie!C18</f>
        <v>0</v>
      </c>
      <c r="D8" s="478">
        <f>industrie!D18</f>
        <v>6932.8026680000003</v>
      </c>
      <c r="E8" s="478">
        <f>industrie!E18</f>
        <v>226.22743317568825</v>
      </c>
      <c r="F8" s="478">
        <f>industrie!F18</f>
        <v>2070.1072387161316</v>
      </c>
      <c r="G8" s="478">
        <f>industrie!G18</f>
        <v>0</v>
      </c>
      <c r="H8" s="478">
        <f>industrie!H18</f>
        <v>0</v>
      </c>
      <c r="I8" s="478">
        <f>industrie!I18</f>
        <v>0</v>
      </c>
      <c r="J8" s="478">
        <f>industrie!J18</f>
        <v>18.936300774584222</v>
      </c>
      <c r="K8" s="478">
        <f>industrie!K18</f>
        <v>0</v>
      </c>
      <c r="L8" s="478">
        <f>industrie!L18</f>
        <v>0</v>
      </c>
      <c r="M8" s="478">
        <f>industrie!M18</f>
        <v>0</v>
      </c>
      <c r="N8" s="478">
        <f>industrie!N18</f>
        <v>661.57991499638365</v>
      </c>
      <c r="O8" s="478">
        <f>industrie!O18</f>
        <v>0</v>
      </c>
      <c r="P8" s="479">
        <f>industrie!P18</f>
        <v>0</v>
      </c>
      <c r="Q8" s="477">
        <f t="shared" si="0"/>
        <v>12158.52955566279</v>
      </c>
    </row>
    <row r="9" spans="1:17" s="483" customFormat="1">
      <c r="A9" s="481" t="s">
        <v>571</v>
      </c>
      <c r="B9" s="482">
        <f>transport!B14</f>
        <v>18.842703572837404</v>
      </c>
      <c r="C9" s="482">
        <f>transport!C14</f>
        <v>0</v>
      </c>
      <c r="D9" s="482">
        <f>transport!D14</f>
        <v>50.635305469814959</v>
      </c>
      <c r="E9" s="482">
        <f>transport!E14</f>
        <v>342.71242070072014</v>
      </c>
      <c r="F9" s="482">
        <f>transport!F14</f>
        <v>0</v>
      </c>
      <c r="G9" s="482">
        <f>transport!G14</f>
        <v>102392.76550912252</v>
      </c>
      <c r="H9" s="482">
        <f>transport!H14</f>
        <v>19335.502176435279</v>
      </c>
      <c r="I9" s="482">
        <f>transport!I14</f>
        <v>0</v>
      </c>
      <c r="J9" s="482">
        <f>transport!J14</f>
        <v>0</v>
      </c>
      <c r="K9" s="482">
        <f>transport!K14</f>
        <v>0</v>
      </c>
      <c r="L9" s="482">
        <f>transport!L14</f>
        <v>0</v>
      </c>
      <c r="M9" s="482">
        <f>transport!M14</f>
        <v>6518.173949785305</v>
      </c>
      <c r="N9" s="482">
        <f>transport!N14</f>
        <v>0</v>
      </c>
      <c r="O9" s="482">
        <f>transport!O14</f>
        <v>0</v>
      </c>
      <c r="P9" s="482">
        <f>transport!P14</f>
        <v>0</v>
      </c>
      <c r="Q9" s="481">
        <f>SUM(B9:P9)</f>
        <v>128658.63206508648</v>
      </c>
    </row>
    <row r="10" spans="1:17">
      <c r="A10" s="477" t="s">
        <v>561</v>
      </c>
      <c r="B10" s="478">
        <f>transport!B54</f>
        <v>0</v>
      </c>
      <c r="C10" s="478">
        <f>transport!C54</f>
        <v>0</v>
      </c>
      <c r="D10" s="478">
        <f>transport!D54</f>
        <v>0</v>
      </c>
      <c r="E10" s="478">
        <f>transport!E54</f>
        <v>0</v>
      </c>
      <c r="F10" s="478">
        <f>transport!F54</f>
        <v>0</v>
      </c>
      <c r="G10" s="478">
        <f>transport!G54</f>
        <v>1703.0479435649409</v>
      </c>
      <c r="H10" s="478">
        <f>transport!H54</f>
        <v>0</v>
      </c>
      <c r="I10" s="478">
        <f>transport!I54</f>
        <v>0</v>
      </c>
      <c r="J10" s="478">
        <f>transport!J54</f>
        <v>0</v>
      </c>
      <c r="K10" s="478">
        <f>transport!K54</f>
        <v>0</v>
      </c>
      <c r="L10" s="478">
        <f>transport!L54</f>
        <v>0</v>
      </c>
      <c r="M10" s="478">
        <f>transport!M54</f>
        <v>97.119859568563797</v>
      </c>
      <c r="N10" s="478">
        <f>transport!N54</f>
        <v>0</v>
      </c>
      <c r="O10" s="478">
        <f>transport!O54</f>
        <v>0</v>
      </c>
      <c r="P10" s="479">
        <f>transport!P54</f>
        <v>0</v>
      </c>
      <c r="Q10" s="477">
        <f t="shared" si="0"/>
        <v>1800.1678031335045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546.21199999999999</v>
      </c>
      <c r="C14" s="485"/>
      <c r="D14" s="485">
        <f>'SEAP template'!E25</f>
        <v>914.93</v>
      </c>
      <c r="E14" s="485"/>
      <c r="F14" s="485"/>
      <c r="G14" s="485"/>
      <c r="H14" s="485"/>
      <c r="I14" s="485"/>
      <c r="J14" s="485"/>
      <c r="K14" s="485"/>
      <c r="L14" s="485"/>
      <c r="M14" s="485"/>
      <c r="N14" s="485"/>
      <c r="O14" s="485"/>
      <c r="P14" s="486"/>
      <c r="Q14" s="477">
        <f t="shared" si="0"/>
        <v>1461.1419999999998</v>
      </c>
    </row>
    <row r="15" spans="1:17" s="487" customFormat="1">
      <c r="A15" s="1051" t="s">
        <v>565</v>
      </c>
      <c r="B15" s="991">
        <f ca="1">SUM(B4:B14)</f>
        <v>52396.121768652927</v>
      </c>
      <c r="C15" s="991">
        <f t="shared" ref="C15:Q15" ca="1" si="1">SUM(C4:C14)</f>
        <v>77.142857142857139</v>
      </c>
      <c r="D15" s="991">
        <f t="shared" ca="1" si="1"/>
        <v>55323.48043346982</v>
      </c>
      <c r="E15" s="991">
        <f t="shared" si="1"/>
        <v>4192.3979606718713</v>
      </c>
      <c r="F15" s="991">
        <f t="shared" ca="1" si="1"/>
        <v>85600.969167801581</v>
      </c>
      <c r="G15" s="991">
        <f t="shared" si="1"/>
        <v>104095.81345268746</v>
      </c>
      <c r="H15" s="991">
        <f t="shared" si="1"/>
        <v>19335.502176435279</v>
      </c>
      <c r="I15" s="991">
        <f t="shared" si="1"/>
        <v>0</v>
      </c>
      <c r="J15" s="991">
        <f t="shared" si="1"/>
        <v>412.51027174148072</v>
      </c>
      <c r="K15" s="991">
        <f t="shared" si="1"/>
        <v>0</v>
      </c>
      <c r="L15" s="991">
        <f t="shared" ca="1" si="1"/>
        <v>0</v>
      </c>
      <c r="M15" s="991">
        <f t="shared" si="1"/>
        <v>6615.2938093538687</v>
      </c>
      <c r="N15" s="991">
        <f t="shared" ca="1" si="1"/>
        <v>13528.460106005636</v>
      </c>
      <c r="O15" s="991">
        <f t="shared" si="1"/>
        <v>315.79333333333335</v>
      </c>
      <c r="P15" s="991">
        <f t="shared" si="1"/>
        <v>800.80000000000007</v>
      </c>
      <c r="Q15" s="991">
        <f t="shared" ca="1" si="1"/>
        <v>342694.28533729608</v>
      </c>
    </row>
    <row r="17" spans="1:17">
      <c r="A17" s="488" t="s">
        <v>566</v>
      </c>
      <c r="B17" s="787">
        <f ca="1">huishoudens!B10</f>
        <v>0.18871916031194444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5549.3382528661905</v>
      </c>
      <c r="C22" s="478">
        <f t="shared" ref="C22:C32" ca="1" si="3">C4*$C$17</f>
        <v>0</v>
      </c>
      <c r="D22" s="478">
        <f t="shared" ref="D22:D32" si="4">D4*$D$17</f>
        <v>7422.8606841400006</v>
      </c>
      <c r="E22" s="478">
        <f t="shared" ref="E22:E32" si="5">E4*$E$17</f>
        <v>780.50560189434236</v>
      </c>
      <c r="F22" s="478">
        <f t="shared" ref="F22:F32" si="6">F4*$F$17</f>
        <v>19796.676467097837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33549.381005998366</v>
      </c>
    </row>
    <row r="23" spans="1:17">
      <c r="A23" s="477" t="s">
        <v>156</v>
      </c>
      <c r="B23" s="478">
        <f t="shared" ca="1" si="2"/>
        <v>3146.5298461330353</v>
      </c>
      <c r="C23" s="478">
        <f t="shared" ca="1" si="3"/>
        <v>0</v>
      </c>
      <c r="D23" s="478">
        <f t="shared" ca="1" si="4"/>
        <v>1526.3065096400001</v>
      </c>
      <c r="E23" s="478">
        <f t="shared" si="5"/>
        <v>36.621761323349929</v>
      </c>
      <c r="F23" s="478">
        <f t="shared" ca="1" si="6"/>
        <v>766.99417457904349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5476.4522916754295</v>
      </c>
    </row>
    <row r="24" spans="1:17">
      <c r="A24" s="477" t="s">
        <v>194</v>
      </c>
      <c r="B24" s="478">
        <f t="shared" ca="1" si="2"/>
        <v>176.7694630809921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176.7694630809921</v>
      </c>
    </row>
    <row r="25" spans="1:17">
      <c r="A25" s="477" t="s">
        <v>112</v>
      </c>
      <c r="B25" s="478">
        <f t="shared" ca="1" si="2"/>
        <v>484.47190214809063</v>
      </c>
      <c r="C25" s="478">
        <f t="shared" ca="1" si="3"/>
        <v>0</v>
      </c>
      <c r="D25" s="478">
        <f t="shared" si="4"/>
        <v>630.70552313999997</v>
      </c>
      <c r="E25" s="478">
        <f t="shared" si="5"/>
        <v>5.3976270248778162</v>
      </c>
      <c r="F25" s="478">
        <f t="shared" si="6"/>
        <v>1739.0694933889351</v>
      </c>
      <c r="G25" s="478">
        <f t="shared" si="7"/>
        <v>0</v>
      </c>
      <c r="H25" s="478">
        <f t="shared" si="8"/>
        <v>0</v>
      </c>
      <c r="I25" s="478">
        <f t="shared" si="9"/>
        <v>0</v>
      </c>
      <c r="J25" s="478">
        <f t="shared" si="10"/>
        <v>139.32518572228136</v>
      </c>
      <c r="K25" s="478">
        <f t="shared" si="11"/>
        <v>0</v>
      </c>
      <c r="L25" s="478">
        <f t="shared" si="12"/>
        <v>0</v>
      </c>
      <c r="M25" s="478">
        <f t="shared" si="13"/>
        <v>0</v>
      </c>
      <c r="N25" s="478">
        <f t="shared" si="14"/>
        <v>0</v>
      </c>
      <c r="O25" s="478">
        <f t="shared" si="15"/>
        <v>0</v>
      </c>
      <c r="P25" s="479">
        <f t="shared" si="16"/>
        <v>0</v>
      </c>
      <c r="Q25" s="477">
        <f t="shared" ca="1" si="17"/>
        <v>2998.9697314241848</v>
      </c>
    </row>
    <row r="26" spans="1:17">
      <c r="A26" s="477" t="s">
        <v>650</v>
      </c>
      <c r="B26" s="478">
        <f t="shared" ca="1" si="2"/>
        <v>424.40599036568437</v>
      </c>
      <c r="C26" s="478">
        <f t="shared" ca="1" si="3"/>
        <v>0</v>
      </c>
      <c r="D26" s="478">
        <f t="shared" si="4"/>
        <v>1400.4261389360001</v>
      </c>
      <c r="E26" s="478">
        <f t="shared" si="5"/>
        <v>51.353627330881231</v>
      </c>
      <c r="F26" s="478">
        <f t="shared" si="6"/>
        <v>552.71863273720714</v>
      </c>
      <c r="G26" s="478">
        <f t="shared" si="7"/>
        <v>0</v>
      </c>
      <c r="H26" s="478">
        <f t="shared" si="8"/>
        <v>0</v>
      </c>
      <c r="I26" s="478">
        <f t="shared" si="9"/>
        <v>0</v>
      </c>
      <c r="J26" s="478">
        <f t="shared" si="10"/>
        <v>6.703450474202814</v>
      </c>
      <c r="K26" s="478">
        <f t="shared" si="11"/>
        <v>0</v>
      </c>
      <c r="L26" s="478">
        <f t="shared" si="12"/>
        <v>0</v>
      </c>
      <c r="M26" s="478">
        <f t="shared" si="13"/>
        <v>0</v>
      </c>
      <c r="N26" s="478">
        <f t="shared" si="14"/>
        <v>0</v>
      </c>
      <c r="O26" s="478">
        <f t="shared" si="15"/>
        <v>0</v>
      </c>
      <c r="P26" s="479">
        <f t="shared" si="16"/>
        <v>0</v>
      </c>
      <c r="Q26" s="477">
        <f t="shared" ca="1" si="17"/>
        <v>2435.6078398439754</v>
      </c>
    </row>
    <row r="27" spans="1:17" s="483" customFormat="1">
      <c r="A27" s="481" t="s">
        <v>571</v>
      </c>
      <c r="B27" s="781">
        <f t="shared" ca="1" si="2"/>
        <v>3.5559791962727503</v>
      </c>
      <c r="C27" s="482">
        <f t="shared" ca="1" si="3"/>
        <v>0</v>
      </c>
      <c r="D27" s="482">
        <f t="shared" si="4"/>
        <v>10.228331704902622</v>
      </c>
      <c r="E27" s="482">
        <f t="shared" si="5"/>
        <v>77.79571949906348</v>
      </c>
      <c r="F27" s="482">
        <f t="shared" si="6"/>
        <v>0</v>
      </c>
      <c r="G27" s="482">
        <f t="shared" si="7"/>
        <v>27338.868390935713</v>
      </c>
      <c r="H27" s="482">
        <f t="shared" si="8"/>
        <v>4814.5400419323842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32244.988463268339</v>
      </c>
    </row>
    <row r="28" spans="1:17">
      <c r="A28" s="477" t="s">
        <v>561</v>
      </c>
      <c r="B28" s="478">
        <f t="shared" ca="1" si="2"/>
        <v>0</v>
      </c>
      <c r="C28" s="478">
        <f t="shared" ca="1" si="3"/>
        <v>0</v>
      </c>
      <c r="D28" s="478">
        <f t="shared" si="4"/>
        <v>0</v>
      </c>
      <c r="E28" s="478">
        <f t="shared" si="5"/>
        <v>0</v>
      </c>
      <c r="F28" s="478">
        <f t="shared" si="6"/>
        <v>0</v>
      </c>
      <c r="G28" s="478">
        <f t="shared" si="7"/>
        <v>454.71380093183922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454.71380093183922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103.08066999230779</v>
      </c>
      <c r="C32" s="478">
        <f t="shared" ca="1" si="3"/>
        <v>0</v>
      </c>
      <c r="D32" s="478">
        <f t="shared" si="4"/>
        <v>184.81586000000001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287.89652999230782</v>
      </c>
    </row>
    <row r="33" spans="1:17" s="487" customFormat="1">
      <c r="A33" s="1051" t="s">
        <v>565</v>
      </c>
      <c r="B33" s="991">
        <f ca="1">SUM(B22:B32)</f>
        <v>9888.1521037825769</v>
      </c>
      <c r="C33" s="991">
        <f t="shared" ref="C33:Q33" ca="1" si="18">SUM(C22:C32)</f>
        <v>0</v>
      </c>
      <c r="D33" s="991">
        <f t="shared" ca="1" si="18"/>
        <v>11175.343047560902</v>
      </c>
      <c r="E33" s="991">
        <f t="shared" si="18"/>
        <v>951.67433707251473</v>
      </c>
      <c r="F33" s="991">
        <f t="shared" ca="1" si="18"/>
        <v>22855.458767803022</v>
      </c>
      <c r="G33" s="991">
        <f t="shared" si="18"/>
        <v>27793.582191867554</v>
      </c>
      <c r="H33" s="991">
        <f t="shared" si="18"/>
        <v>4814.5400419323842</v>
      </c>
      <c r="I33" s="991">
        <f t="shared" si="18"/>
        <v>0</v>
      </c>
      <c r="J33" s="991">
        <f t="shared" si="18"/>
        <v>146.02863619648417</v>
      </c>
      <c r="K33" s="991">
        <f t="shared" si="18"/>
        <v>0</v>
      </c>
      <c r="L33" s="991">
        <f t="shared" ca="1" si="18"/>
        <v>0</v>
      </c>
      <c r="M33" s="991">
        <f t="shared" si="18"/>
        <v>0</v>
      </c>
      <c r="N33" s="991">
        <f t="shared" ca="1" si="18"/>
        <v>0</v>
      </c>
      <c r="O33" s="991">
        <f t="shared" si="18"/>
        <v>0</v>
      </c>
      <c r="P33" s="991">
        <f t="shared" si="18"/>
        <v>0</v>
      </c>
      <c r="Q33" s="991">
        <f t="shared" ca="1" si="18"/>
        <v>77624.77912621545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7599.3520682792923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54</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63.529411764705898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7653.3520682792923</v>
      </c>
      <c r="C10" s="1072">
        <f>SUM(C4:C9)</f>
        <v>0</v>
      </c>
      <c r="D10" s="1072">
        <f t="shared" ref="D10:H10" si="0">SUM(D8:D9)</f>
        <v>0</v>
      </c>
      <c r="E10" s="1072">
        <f t="shared" si="0"/>
        <v>0</v>
      </c>
      <c r="F10" s="1072">
        <f t="shared" si="0"/>
        <v>0</v>
      </c>
      <c r="G10" s="1072">
        <f t="shared" si="0"/>
        <v>0</v>
      </c>
      <c r="H10" s="1072">
        <f t="shared" si="0"/>
        <v>0</v>
      </c>
      <c r="I10" s="1072">
        <f>SUM(I8:I9)</f>
        <v>0</v>
      </c>
      <c r="J10" s="1072">
        <f>SUM(J8:J9)</f>
        <v>63.529411764705898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0.18871916031194444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77.142857142857139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90.756302521008422</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77.142857142857139</v>
      </c>
      <c r="C20" s="1072">
        <f>SUM(C17:C19)</f>
        <v>0</v>
      </c>
      <c r="D20" s="1072">
        <f t="shared" ref="D20:H20" si="2">SUM(D17:D19)</f>
        <v>0</v>
      </c>
      <c r="E20" s="1072">
        <f t="shared" si="2"/>
        <v>0</v>
      </c>
      <c r="F20" s="1072">
        <f t="shared" si="2"/>
        <v>0</v>
      </c>
      <c r="G20" s="1072">
        <f t="shared" si="2"/>
        <v>0</v>
      </c>
      <c r="H20" s="1072">
        <f t="shared" si="2"/>
        <v>0</v>
      </c>
      <c r="I20" s="1072">
        <f>SUM(I17:I19)</f>
        <v>0</v>
      </c>
      <c r="J20" s="1072">
        <f>SUM(J17:J19)</f>
        <v>90.756302521008422</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0.18871916031194444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2019-08-12T08:10:47Z</dcterms:modified>
</cp:coreProperties>
</file>