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Q14" i="48" l="1"/>
  <c r="N78" i="14"/>
  <c r="N9" i="59"/>
  <c r="N10" s="1"/>
  <c r="L90" i="14"/>
  <c r="L18" i="59"/>
  <c r="L20" s="1"/>
  <c r="O10"/>
  <c r="C98" i="18"/>
  <c r="D101" s="1"/>
  <c r="E20" i="59"/>
  <c r="L10" i="18"/>
  <c r="D20"/>
  <c r="D14" i="48"/>
  <c r="Q22" i="14"/>
  <c r="D22"/>
  <c r="L22"/>
  <c r="E10" i="59"/>
  <c r="B8" i="18"/>
  <c r="B10" s="1"/>
  <c r="F13" i="15"/>
  <c r="H90" i="14"/>
  <c r="H18" i="59"/>
  <c r="H20" s="1"/>
  <c r="K20"/>
  <c r="P22" i="14"/>
  <c r="L78"/>
  <c r="K10" i="18"/>
  <c r="K78" i="14"/>
  <c r="B17" i="18"/>
  <c r="B20" s="1"/>
  <c r="M77" i="14"/>
  <c r="M9" i="59" s="1"/>
  <c r="H9" i="18"/>
  <c r="L10" i="59"/>
  <c r="I77" i="14"/>
  <c r="I9" i="59" s="1"/>
  <c r="B13" i="15"/>
  <c r="N13"/>
  <c r="L13"/>
  <c r="F77" i="14"/>
  <c r="F9" i="59" s="1"/>
  <c r="G101" i="18"/>
  <c r="C101"/>
  <c r="O9"/>
  <c r="I102"/>
  <c r="H17" s="1"/>
  <c r="E102"/>
  <c r="E17" s="1"/>
  <c r="C102"/>
  <c r="F102"/>
  <c r="H102"/>
  <c r="J17" s="1"/>
  <c r="D102"/>
  <c r="G102"/>
  <c r="B102"/>
  <c r="C17" s="1"/>
  <c r="C89" i="14"/>
  <c r="C19" i="59" s="1"/>
  <c r="O19" i="18"/>
  <c r="O78" i="14"/>
  <c r="N88"/>
  <c r="D10" i="18"/>
  <c r="E78" i="14"/>
  <c r="D77"/>
  <c r="D9" i="59" s="1"/>
  <c r="H77" i="14"/>
  <c r="G90"/>
  <c r="O88"/>
  <c r="G89"/>
  <c r="G19" i="59" s="1"/>
  <c r="G20" s="1"/>
  <c r="G20" i="18"/>
  <c r="B89" i="14"/>
  <c r="B19" i="59" s="1"/>
  <c r="O18" i="18"/>
  <c r="G78" i="14"/>
  <c r="Q89"/>
  <c r="P19" i="59" s="1"/>
  <c r="O25" i="48"/>
  <c r="O27"/>
  <c r="Q11"/>
  <c r="O29"/>
  <c r="P31"/>
  <c r="O28"/>
  <c r="Q12"/>
  <c r="O24"/>
  <c r="O30"/>
  <c r="P24"/>
  <c r="P30"/>
  <c r="E90" i="14"/>
  <c r="R9"/>
  <c r="R25"/>
  <c r="K90"/>
  <c r="O90" l="1"/>
  <c r="O18" i="59"/>
  <c r="O20" s="1"/>
  <c r="H101" i="18"/>
  <c r="J8" s="1"/>
  <c r="O8" s="1"/>
  <c r="O10" s="1"/>
  <c r="H78" i="14"/>
  <c r="H9" i="59"/>
  <c r="H10" s="1"/>
  <c r="N90" i="14"/>
  <c r="N18" i="59"/>
  <c r="N20" s="1"/>
  <c r="I8" i="18"/>
  <c r="I76" i="14" s="1"/>
  <c r="I8" i="59" s="1"/>
  <c r="I10" s="1"/>
  <c r="B101" i="18"/>
  <c r="C8" s="1"/>
  <c r="D76" i="14" s="1"/>
  <c r="D8" i="59" s="1"/>
  <c r="D10" s="1"/>
  <c r="I101" i="18"/>
  <c r="H8" s="1"/>
  <c r="E101"/>
  <c r="E8" s="1"/>
  <c r="E10" s="1"/>
  <c r="Q77" i="14"/>
  <c r="P9" i="59" s="1"/>
  <c r="F101" i="18"/>
  <c r="C77" i="14"/>
  <c r="C9" i="59" s="1"/>
  <c r="J87" i="14"/>
  <c r="J20" i="18"/>
  <c r="H20"/>
  <c r="M87" i="14"/>
  <c r="C20" i="18"/>
  <c r="D87" i="14"/>
  <c r="D17" i="59" s="1"/>
  <c r="D20" s="1"/>
  <c r="H10" i="18"/>
  <c r="M76" i="14"/>
  <c r="B88"/>
  <c r="B18" i="59" s="1"/>
  <c r="I17" i="18"/>
  <c r="O17" s="1"/>
  <c r="O20" s="1"/>
  <c r="C88" i="14"/>
  <c r="C18" i="59" s="1"/>
  <c r="B77" i="14"/>
  <c r="B9" i="59" s="1"/>
  <c r="E20" i="18"/>
  <c r="F87" i="14"/>
  <c r="Q88"/>
  <c r="P18" i="59" s="1"/>
  <c r="H14" i="15"/>
  <c r="H16" s="1"/>
  <c r="G14"/>
  <c r="G16" s="1"/>
  <c r="M78" i="14" l="1"/>
  <c r="M8" i="59"/>
  <c r="M10" s="1"/>
  <c r="I10" i="14"/>
  <c r="I16" s="1"/>
  <c r="H5" i="48"/>
  <c r="H10" i="14"/>
  <c r="H16" s="1"/>
  <c r="G5" i="48"/>
  <c r="F76" i="14"/>
  <c r="C10" i="18"/>
  <c r="J90" i="14"/>
  <c r="J17" i="59"/>
  <c r="J20" s="1"/>
  <c r="M90" i="14"/>
  <c r="M17" i="59"/>
  <c r="M20" s="1"/>
  <c r="F90" i="14"/>
  <c r="F17" i="59"/>
  <c r="F20" s="1"/>
  <c r="I10" i="18"/>
  <c r="Q76" i="14"/>
  <c r="D78"/>
  <c r="I78"/>
  <c r="B76"/>
  <c r="J10" i="18"/>
  <c r="J76" i="14"/>
  <c r="I87"/>
  <c r="I17" i="59" s="1"/>
  <c r="I20" s="1"/>
  <c r="I20" i="18"/>
  <c r="Q87" i="14"/>
  <c r="D90"/>
  <c r="C87"/>
  <c r="A31" i="23"/>
  <c r="A32"/>
  <c r="A33"/>
  <c r="Q90" i="14" l="1"/>
  <c r="B17" i="6" s="1"/>
  <c r="P17" i="59"/>
  <c r="P20" s="1"/>
  <c r="J78" i="14"/>
  <c r="J8" i="59"/>
  <c r="J10" s="1"/>
  <c r="F78" i="14"/>
  <c r="F8" i="59"/>
  <c r="F10" s="1"/>
  <c r="Q78" i="14"/>
  <c r="B9" i="6" s="1"/>
  <c r="P8" i="59"/>
  <c r="P10" s="1"/>
  <c r="C90" i="14"/>
  <c r="C17" i="59"/>
  <c r="C20" s="1"/>
  <c r="B78" i="14"/>
  <c r="B8" i="59"/>
  <c r="B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4"/>
  <c r="D31"/>
  <c r="D29"/>
  <c r="D32"/>
  <c r="C24" i="14"/>
  <c r="C26" s="1"/>
  <c r="B7" i="48"/>
  <c r="J32"/>
  <c r="J30"/>
  <c r="J24"/>
  <c r="J27"/>
  <c r="J31"/>
  <c r="J29"/>
  <c r="J28"/>
  <c r="I32"/>
  <c r="I28"/>
  <c r="I26"/>
  <c r="I22"/>
  <c r="I27"/>
  <c r="I24"/>
  <c r="I29"/>
  <c r="I30"/>
  <c r="I25"/>
  <c r="I31"/>
  <c r="D4"/>
  <c r="D22" s="1"/>
  <c r="E11" i="14"/>
  <c r="H32" i="48"/>
  <c r="H29"/>
  <c r="H26"/>
  <c r="H28"/>
  <c r="H25"/>
  <c r="H22"/>
  <c r="H30"/>
  <c r="H24"/>
  <c r="H23"/>
  <c r="D11" i="14"/>
  <c r="C4" i="48"/>
  <c r="G25"/>
  <c r="G22"/>
  <c r="G30"/>
  <c r="G26"/>
  <c r="G24"/>
  <c r="G29"/>
  <c r="G32"/>
  <c r="G23"/>
  <c r="N46" i="14"/>
  <c r="L28" i="48"/>
  <c r="L32"/>
  <c r="L27"/>
  <c r="L24"/>
  <c r="L31"/>
  <c r="L22"/>
  <c r="L30"/>
  <c r="L29"/>
  <c r="Q10" i="14"/>
  <c r="P5" i="48"/>
  <c r="P23" s="1"/>
  <c r="K28"/>
  <c r="K32"/>
  <c r="K31"/>
  <c r="K26"/>
  <c r="K27"/>
  <c r="K30"/>
  <c r="K24"/>
  <c r="K25"/>
  <c r="K29"/>
  <c r="K22"/>
  <c r="Q11" i="14"/>
  <c r="P4" i="48"/>
  <c r="P11" i="14"/>
  <c r="O4" i="48"/>
  <c r="B4"/>
  <c r="C11" i="14"/>
  <c r="F32" i="48"/>
  <c r="F29"/>
  <c r="F31"/>
  <c r="F24"/>
  <c r="F30"/>
  <c r="F27"/>
  <c r="F28"/>
  <c r="N30"/>
  <c r="N31"/>
  <c r="N24"/>
  <c r="N32"/>
  <c r="N29"/>
  <c r="N27"/>
  <c r="N28"/>
  <c r="B10"/>
  <c r="C19" i="14"/>
  <c r="E32" i="48"/>
  <c r="E31"/>
  <c r="E28"/>
  <c r="E29"/>
  <c r="E30"/>
  <c r="E24"/>
  <c r="M22"/>
  <c r="M26"/>
  <c r="M25"/>
  <c r="M32"/>
  <c r="M30"/>
  <c r="M29"/>
  <c r="M24"/>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J10" i="14"/>
  <c r="J16" s="1"/>
  <c r="J27" s="1"/>
  <c r="I5" i="48"/>
  <c r="O22"/>
  <c r="F20" i="14"/>
  <c r="F22" s="1"/>
  <c r="E9" i="48"/>
  <c r="E27" s="1"/>
  <c r="K33"/>
  <c r="J46" i="14"/>
  <c r="J61" s="1"/>
  <c r="J63" s="1"/>
  <c r="F4" i="48"/>
  <c r="F22" s="1"/>
  <c r="G11" i="14"/>
  <c r="G13" i="48"/>
  <c r="H18" i="14"/>
  <c r="I18"/>
  <c r="H13" i="48"/>
  <c r="H31" s="1"/>
  <c r="P22" i="16"/>
  <c r="Q43" i="14" s="1"/>
  <c r="Q13"/>
  <c r="Q16" s="1"/>
  <c r="Q27" s="1"/>
  <c r="Q63" s="1"/>
  <c r="P8" i="48"/>
  <c r="P26" s="1"/>
  <c r="P22"/>
  <c r="E20" i="14"/>
  <c r="E22" s="1"/>
  <c r="D9" i="48"/>
  <c r="D27" s="1"/>
  <c r="O5"/>
  <c r="O23" s="1"/>
  <c r="P10" i="14"/>
  <c r="J7" i="48"/>
  <c r="J25" s="1"/>
  <c r="K24" i="14"/>
  <c r="K26" s="1"/>
  <c r="C22"/>
  <c r="C20"/>
  <c r="B9" i="48"/>
  <c r="D10" i="14"/>
  <c r="J12" i="17"/>
  <c r="K54" i="14" s="1"/>
  <c r="K56" s="1"/>
  <c r="L46"/>
  <c r="L61" s="1"/>
  <c r="L63"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G10"/>
  <c r="H19" i="14"/>
  <c r="R18"/>
  <c r="P46"/>
  <c r="P61" s="1"/>
  <c r="E7" i="48"/>
  <c r="E25" s="1"/>
  <c r="F24" i="14"/>
  <c r="F26" s="1"/>
  <c r="M9" i="48"/>
  <c r="N20" i="14"/>
  <c r="G9" i="48"/>
  <c r="H20" i="14"/>
  <c r="H22" s="1"/>
  <c r="H27" s="1"/>
  <c r="M10" i="48"/>
  <c r="M28" s="1"/>
  <c r="N19" i="14"/>
  <c r="N22" s="1"/>
  <c r="N27" s="1"/>
  <c r="O22" i="16"/>
  <c r="P43" i="14" s="1"/>
  <c r="O8" i="48"/>
  <c r="P13" i="14"/>
  <c r="Q13" i="48"/>
  <c r="G31"/>
  <c r="O11" i="14"/>
  <c r="N4" i="48"/>
  <c r="N22" s="1"/>
  <c r="K11" i="14"/>
  <c r="J4" i="48"/>
  <c r="I23"/>
  <c r="I33" s="1"/>
  <c r="I15"/>
  <c r="P15"/>
  <c r="P33"/>
  <c r="P16" i="14"/>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G27" i="48" l="1"/>
  <c r="G33" s="1"/>
  <c r="G15"/>
  <c r="E5"/>
  <c r="E23" s="1"/>
  <c r="F10" i="14"/>
  <c r="J22" i="48"/>
  <c r="G28"/>
  <c r="Q10"/>
  <c r="O26"/>
  <c r="O33" s="1"/>
  <c r="O15"/>
  <c r="R19" i="14"/>
  <c r="J5" i="48"/>
  <c r="J23" s="1"/>
  <c r="K10" i="14"/>
  <c r="H9" i="48"/>
  <c r="I20" i="14"/>
  <c r="I22" s="1"/>
  <c r="I27" s="1"/>
  <c r="E22" i="48"/>
  <c r="Q4"/>
  <c r="M27"/>
  <c r="M33" s="1"/>
  <c r="M15"/>
  <c r="Q9"/>
  <c r="R11" i="14"/>
  <c r="P63"/>
  <c r="R20"/>
  <c r="R22" s="1"/>
  <c r="L25" i="48"/>
  <c r="Q7"/>
  <c r="M26" i="14"/>
  <c r="R24"/>
  <c r="R26" s="1"/>
  <c r="E20" i="15"/>
  <c r="F40" i="14" s="1"/>
  <c r="F18" i="16"/>
  <c r="F22" s="1"/>
  <c r="G43" i="14" s="1"/>
  <c r="J18" i="16"/>
  <c r="E18"/>
  <c r="J20" i="15"/>
  <c r="K40" i="14" s="1"/>
  <c r="N18" i="16"/>
  <c r="N22" s="1"/>
  <c r="O43" i="14" s="1"/>
  <c r="G18" i="22"/>
  <c r="H50" i="14" s="1"/>
  <c r="H52" s="1"/>
  <c r="H61" s="1"/>
  <c r="H63" s="1"/>
  <c r="H18" i="22"/>
  <c r="I50" i="14" s="1"/>
  <c r="I52" s="1"/>
  <c r="I61" s="1"/>
  <c r="J22" i="16" l="1"/>
  <c r="K43" i="14" s="1"/>
  <c r="K46" s="1"/>
  <c r="K61" s="1"/>
  <c r="K63" s="1"/>
  <c r="K13"/>
  <c r="J8" i="48"/>
  <c r="J26" s="1"/>
  <c r="J33" s="1"/>
  <c r="F13" i="14"/>
  <c r="E8" i="48"/>
  <c r="K16" i="14"/>
  <c r="K27" s="1"/>
  <c r="J15" i="48"/>
  <c r="H27"/>
  <c r="H33" s="1"/>
  <c r="H15"/>
  <c r="F16" i="14"/>
  <c r="F27" s="1"/>
  <c r="E22" i="16"/>
  <c r="F43" i="14" s="1"/>
  <c r="F46" s="1"/>
  <c r="F61" s="1"/>
  <c r="F63" s="1"/>
  <c r="I63"/>
  <c r="O13"/>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<sst xmlns="http://schemas.openxmlformats.org/spreadsheetml/2006/main" count="2419" uniqueCount="907">
  <si>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</si>
  <si>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</si>
  <si>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</si>
  <si>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</si>
  <si>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</si>
  <si>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</si>
  <si>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</si>
  <si>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</si>
  <si>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</si>
  <si>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</si>
  <si>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</si>
  <si>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</si>
  <si>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</si>
  <si>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</si>
  <si>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</si>
  <si>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</si>
  <si>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</si>
  <si>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</si>
  <si>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</si>
  <si>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</si>
  <si>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</si>
  <si>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</si>
  <si>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</si>
  <si>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</si>
  <si>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</si>
  <si>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</si>
  <si>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</si>
  <si>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</si>
  <si>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</si>
  <si>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</si>
  <si>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</si>
  <si>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</si>
  <si>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</si>
  <si>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</si>
  <si>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</si>
  <si>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</si>
  <si>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</si>
  <si>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</si>
  <si>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</si>
  <si>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</si>
  <si>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</si>
  <si>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</si>
  <si>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</si>
  <si>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</si>
  <si>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</si>
  <si>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</si>
  <si>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</si>
  <si>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</si>
  <si>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</si>
  <si>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</si>
  <si>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</si>
  <si>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</si>
  <si>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</si>
  <si>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</si>
  <si>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</si>
  <si>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</si>
  <si>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</si>
  <si>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</si>
  <si>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</si>
  <si>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</si>
  <si>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</si>
  <si>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</si>
  <si>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</si>
  <si>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</si>
  <si>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</si>
  <si>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</si>
  <si>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</si>
  <si>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</si>
  <si>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</si>
  <si>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</si>
  <si>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</si>
  <si>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</si>
  <si>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</si>
  <si>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</si>
  <si>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</si>
  <si>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</si>
  <si>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</si>
  <si>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</si>
  <si>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</si>
  <si>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</si>
  <si>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</si>
  <si>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</si>
  <si>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</si>
  <si>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</si>
  <si>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</si>
  <si>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</si>
  <si>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</si>
  <si>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</si>
  <si>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</si>
  <si>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</si>
  <si>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</si>
  <si>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</si>
  <si>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</si>
  <si>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</si>
  <si>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</si>
  <si>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</si>
  <si>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</si>
  <si>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</si>
  <si>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</si>
  <si>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</si>
  <si>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</si>
  <si>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</si>
  <si>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</si>
  <si>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</si>
  <si>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</si>
  <si>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</si>
  <si>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</si>
  <si>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</si>
  <si>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</si>
  <si>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</si>
  <si>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</si>
  <si>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</si>
  <si>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</si>
  <si>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</si>
  <si>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</si>
  <si>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</si>
  <si>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</si>
  <si>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</si>
  <si>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</si>
  <si>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</si>
  <si>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</si>
  <si>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</si>
  <si>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</si>
  <si>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</si>
  <si>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</si>
  <si>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</si>
  <si>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</si>
  <si>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</si>
  <si>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</si>
  <si>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</si>
  <si>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</si>
  <si>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</si>
  <si>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</si>
  <si>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</si>
  <si>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</si>
  <si>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</si>
  <si>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</si>
  <si>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</si>
  <si>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</si>
  <si>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</si>
  <si>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</si>
  <si>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</si>
  <si>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</si>
  <si>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</si>
  <si>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</si>
  <si>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</si>
  <si>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</si>
  <si>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</si>
  <si>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</si>
  <si>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</si>
  <si>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</si>
  <si>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</si>
  <si>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</si>
  <si>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</si>
  <si>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</si>
  <si>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</si>
  <si>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</si>
  <si>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</si>
  <si>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</si>
  <si>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</si>
  <si>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</si>
  <si>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</si>
  <si>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</si>
  <si>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</si>
  <si>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</si>
  <si>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</si>
  <si>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</si>
  <si>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</si>
  <si>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</si>
  <si>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</si>
  <si>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</si>
  <si>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</si>
  <si>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</si>
  <si>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</si>
  <si>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</si>
  <si>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</si>
  <si>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</si>
  <si>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</si>
  <si>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</si>
  <si>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</si>
  <si>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</si>
  <si>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</si>
  <si>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</si>
  <si>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</si>
  <si>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</si>
  <si>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</si>
  <si>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</si>
  <si>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</si>
  <si>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</si>
  <si>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</si>
  <si>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</si>
  <si>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</si>
  <si>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</si>
  <si>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</si>
  <si>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</si>
  <si>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</si>
  <si>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</si>
  <si>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</si>
  <si>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</si>
  <si>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</si>
  <si>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</si>
  <si>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</si>
  <si>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</si>
  <si>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</si>
  <si>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</si>
  <si>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</si>
  <si>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</si>
  <si>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</si>
  <si>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</si>
  <si>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</si>
  <si>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</si>
  <si>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</si>
  <si>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</si>
  <si>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</si>
  <si>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</si>
  <si>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</si>
  <si>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</si>
  <si>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</si>
  <si>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</si>
  <si>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</si>
  <si>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</si>
  <si>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</si>
  <si>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</si>
  <si>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</si>
  <si>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</si>
  <si>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</si>
  <si>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</si>
  <si>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</si>
  <si>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</si>
  <si>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</si>
  <si>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</si>
  <si>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</si>
  <si>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</si>
  <si>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</si>
  <si>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</si>
  <si>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</si>
  <si>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</si>
  <si>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</si>
  <si>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</si>
  <si>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</si>
  <si>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</si>
  <si>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</si>
  <si>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</si>
  <si>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</si>
  <si>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</si>
  <si>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</si>
  <si>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</si>
  <si>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</si>
  <si>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</si>
  <si>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</si>
  <si>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</si>
  <si>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</si>
  <si>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</si>
  <si>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</si>
  <si>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</si>
  <si>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</si>
  <si>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</si>
  <si>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</si>
  <si>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</si>
  <si>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</si>
  <si>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</si>
  <si>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</si>
  <si>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</si>
  <si>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</si>
  <si>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</si>
  <si>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</si>
  <si>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</si>
  <si>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</si>
  <si>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</si>
  <si>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</si>
  <si>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</si>
  <si>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</si>
  <si>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</si>
  <si>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</si>
  <si>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</si>
  <si>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</si>
  <si>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</si>
  <si>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</si>
  <si>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</si>
  <si>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</si>
  <si>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</si>
  <si>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</si>
  <si>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</si>
  <si>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</si>
  <si>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</si>
  <si>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</si>
  <si>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</si>
  <si>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</si>
  <si>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</si>
  <si>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</si>
  <si>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</si>
  <si>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</si>
  <si>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</si>
  <si>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</si>
  <si>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</si>
  <si>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</si>
  <si>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</si>
  <si>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</si>
  <si>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</si>
  <si>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</si>
  <si>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</si>
  <si>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</si>
  <si>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</si>
  <si>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</si>
  <si>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</si>
  <si>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</si>
  <si>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</si>
  <si>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</si>
  <si>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</si>
  <si>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</si>
  <si>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</si>
  <si>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</si>
  <si>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</si>
  <si>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</si>
  <si>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</si>
  <si>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</si>
  <si>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</si>
  <si>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</si>
  <si>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</si>
  <si>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</si>
  <si>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</si>
  <si>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</si>
  <si>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</si>
  <si>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</si>
  <si>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</si>
  <si>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</si>
  <si>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</si>
  <si>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</si>
  <si>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</si>
  <si>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</si>
  <si>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</si>
  <si>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</si>
  <si>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</si>
  <si>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</si>
  <si>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</si>
  <si>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</si>
  <si>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</si>
  <si>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</si>
  <si>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</si>
  <si>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</si>
  <si>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</si>
  <si>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</si>
  <si>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</si>
  <si>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</si>
  <si>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</si>
  <si>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</si>
  <si>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</si>
  <si>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</si>
  <si>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</si>
  <si>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</si>
  <si>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</si>
  <si>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</si>
  <si>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</si>
  <si>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</si>
  <si>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</si>
  <si>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</si>
  <si>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</si>
  <si>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</si>
  <si>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</si>
  <si>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</si>
  <si>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</si>
  <si>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</si>
  <si>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</si>
  <si>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</si>
  <si>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</si>
  <si>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</si>
  <si>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</si>
  <si>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</si>
  <si>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</si>
  <si>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</si>
  <si>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</si>
  <si>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</si>
  <si>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</si>
  <si>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</si>
  <si>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</si>
  <si>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</si>
  <si>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</si>
  <si>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</si>
  <si>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</si>
  <si>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</si>
  <si>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</si>
  <si>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</si>
  <si>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</si>
  <si>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</si>
  <si>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</si>
  <si>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</si>
  <si>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</si>
  <si>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</si>
  <si>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</si>
  <si>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</si>
  <si>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</si>
  <si>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</si>
  <si>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</si>
  <si>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</si>
  <si>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</si>
  <si>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</si>
  <si>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</si>
  <si>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</si>
  <si>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</si>
  <si>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</si>
  <si>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</si>
  <si>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</si>
  <si>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</si>
  <si>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</si>
  <si>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</si>
  <si>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</si>
  <si>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</si>
  <si>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</si>
  <si>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</si>
  <si>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</si>
  <si>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</si>
  <si>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</si>
  <si>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</si>
  <si>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</si>
  <si>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</si>
  <si>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</si>
  <si>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</si>
  <si>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</si>
  <si>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</si>
  <si>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</si>
  <si>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</si>
  <si>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</si>
  <si>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</si>
  <si>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</si>
  <si>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</si>
  <si>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</si>
  <si>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</si>
  <si>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</si>
  <si>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</si>
  <si>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</si>
  <si>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</si>
  <si>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</si>
  <si>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</si>
  <si>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</si>
  <si>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</si>
  <si>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</si>
  <si>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</si>
  <si>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</si>
  <si>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</si>
  <si>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</si>
  <si>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</si>
  <si>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</si>
  <si>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</si>
  <si>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</si>
  <si>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</si>
  <si>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</si>
  <si>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</si>
  <si>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</si>
  <si>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</si>
  <si>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</si>
  <si>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</si>
  <si>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</si>
  <si>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</si>
  <si>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</si>
  <si>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</si>
  <si>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</si>
  <si>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</si>
  <si>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</si>
  <si>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</si>
  <si>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</si>
  <si>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</si>
  <si>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</si>
  <si>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</si>
  <si>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</si>
  <si>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</si>
  <si>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</si>
  <si>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</si>
  <si>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</si>
  <si>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</si>
  <si>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</si>
  <si>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</si>
  <si>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</si>
  <si>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</si>
  <si>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</si>
  <si>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</si>
  <si>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</si>
  <si>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</si>
  <si>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</si>
  <si>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</si>
  <si>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</si>
  <si>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</si>
  <si>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</si>
  <si>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</si>
  <si>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</si>
  <si>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</si>
  <si>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</si>
  <si>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</si>
  <si>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</si>
  <si>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</si>
  <si>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</si>
  <si>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</si>
  <si>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</si>
  <si>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</si>
  <si>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</si>
  <si>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</si>
  <si>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</si>
  <si>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</si>
  <si>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</si>
  <si>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</si>
  <si>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</si>
  <si>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</si>
  <si>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</si>
  <si>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</si>
  <si>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</si>
  <si>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</si>
  <si>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</si>
  <si>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</si>
  <si>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</si>
  <si>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</si>
  <si>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</si>
  <si>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</si>
  <si>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</si>
  <si>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</si>
  <si>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</si>
  <si>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</si>
  <si>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</si>
  <si>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</si>
  <si>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</si>
  <si>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</si>
  <si>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</si>
  <si>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</si>
  <si>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</si>
  <si>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</si>
  <si>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</si>
  <si>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</si>
  <si>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</si>
  <si>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</si>
  <si>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</si>
  <si>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</si>
  <si>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</si>
  <si>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</si>
  <si>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</si>
  <si>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</si>
  <si>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</si>
  <si>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</si>
  <si>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</si>
  <si>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</si>
  <si>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</si>
  <si>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</si>
  <si>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</si>
  <si>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</si>
  <si>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</si>
  <si>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</si>
  <si>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</si>
  <si>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</si>
  <si>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</si>
  <si>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</si>
  <si>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</si>
  <si>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</si>
  <si>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</si>
  <si>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</si>
  <si>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</si>
  <si>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</si>
  <si>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</si>
  <si>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</si>
  <si>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</si>
  <si>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</si>
  <si>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</si>
  <si>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</si>
  <si>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</si>
  <si>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</si>
  <si>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</si>
  <si>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</si>
  <si>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</si>
  <si>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</si>
  <si>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</si>
  <si>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</si>
  <si>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</si>
  <si>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</si>
  <si>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</si>
  <si>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</si>
  <si>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</si>
  <si>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</si>
  <si>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</si>
  <si>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</si>
  <si>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</si>
  <si>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</si>
  <si>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</si>
  <si>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</si>
  <si>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</si>
  <si>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</si>
  <si>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</si>
  <si>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</si>
  <si>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</si>
  <si>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</si>
  <si>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</si>
  <si>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</si>
  <si>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</si>
  <si>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</si>
  <si>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</si>
  <si>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</si>
  <si>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</si>
  <si>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</si>
  <si>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</si>
  <si>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</si>
  <si>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</si>
  <si>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</si>
  <si>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</si>
  <si>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</si>
  <si>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</si>
  <si>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</si>
  <si>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</si>
  <si>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</si>
  <si>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</si>
  <si>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</si>
  <si>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</si>
  <si>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</si>
  <si>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</si>
  <si>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</si>
  <si>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</si>
  <si>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</si>
  <si>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</si>
  <si>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</si>
  <si>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</si>
  <si>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</si>
  <si>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</si>
  <si>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</si>
  <si>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</si>
  <si>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</si>
  <si>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</si>
  <si>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</si>
  <si>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</si>
  <si>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</si>
  <si>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</si>
  <si>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</si>
  <si>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</si>
  <si>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</si>
  <si>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</si>
  <si>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</si>
  <si>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</si>
  <si>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</si>
  <si>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</si>
  <si>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</si>
  <si>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</si>
  <si>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</si>
  <si>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</si>
  <si>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</si>
  <si>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</si>
  <si>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</si>
  <si>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</si>
  <si>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</si>
  <si>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</si>
  <si>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</si>
  <si>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</si>
  <si>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</si>
  <si>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</si>
  <si>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</si>
  <si>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</si>
  <si>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</si>
  <si>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</si>
  <si>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</si>
  <si>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</si>
  <si>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</si>
  <si>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</si>
  <si>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</si>
  <si>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</si>
  <si>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</si>
  <si>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</si>
  <si>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</si>
  <si>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</si>
  <si>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</si>
  <si>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</si>
  <si>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</si>
  <si>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</si>
  <si>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</si>
  <si>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</si>
  <si>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</si>
  <si>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</si>
  <si>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</si>
  <si>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</si>
  <si>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</si>
  <si>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</si>
  <si>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</si>
  <si>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</si>
  <si>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</si>
  <si>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</si>
  <si>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</si>
  <si>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</si>
  <si>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</si>
  <si>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</si>
  <si>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</si>
  <si>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</si>
  <si>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</si>
  <si>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</si>
  <si>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</si>
  <si>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</si>
  <si>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</si>
  <si>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</si>
  <si>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</si>
  <si>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</si>
  <si>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</si>
  <si>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</si>
  <si>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</si>
  <si>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</si>
  <si>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</si>
  <si>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</si>
  <si>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</si>
  <si>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</si>
  <si>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</si>
  <si>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</si>
  <si>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</si>
  <si>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</si>
  <si>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</si>
  <si>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</si>
  <si>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</si>
  <si>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</si>
  <si>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</si>
  <si>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</si>
  <si>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</si>
  <si>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</si>
  <si>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</si>
  <si>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</si>
  <si>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</si>
  <si>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</si>
  <si>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</si>
  <si>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</si>
  <si>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</si>
  <si>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</si>
  <si>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</si>
  <si>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</si>
  <si>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</si>
  <si>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</si>
  <si>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</si>
  <si>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</si>
  <si>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</si>
  <si>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</si>
  <si>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</si>
  <si>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</si>
  <si>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</si>
  <si>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</si>
  <si>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</si>
  <si>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</si>
  <si>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</si>
  <si>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</si>
  <si>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</si>
  <si>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</si>
  <si>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</si>
  <si>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</si>
  <si>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</si>
  <si>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</si>
  <si>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</si>
  <si>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</si>
  <si>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</si>
  <si>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</si>
  <si>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</si>
  <si>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</si>
  <si>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</si>
  <si>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</si>
  <si>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</si>
  <si>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</si>
  <si>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</si>
  <si>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</si>
  <si>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</si>
  <si>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</si>
  <si>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</si>
  <si>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</si>
  <si>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</si>
  <si>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</si>
  <si>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</si>
  <si>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</si>
  <si>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</si>
  <si>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</si>
  <si>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</si>
  <si>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</si>
  <si>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</si>
  <si>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</si>
  <si>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</si>
  <si>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</si>
  <si>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</si>
  <si>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</si>
  <si>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</si>
  <si>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</si>
  <si>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</si>
  <si>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</si>
  <si>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</si>
  <si>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</si>
  <si>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</si>
  <si>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</si>
  <si>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</si>
  <si>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</si>
  <si>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</si>
  <si>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</si>
  <si>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</si>
  <si>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</si>
  <si>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</si>
  <si>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</si>
  <si>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</si>
  <si>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</si>
  <si>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</si>
  <si>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</si>
  <si>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</si>
  <si>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</si>
  <si>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</si>
  <si>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</si>
  <si>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</si>
  <si>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</si>
  <si>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</si>
  <si>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</si>
  <si>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</si>
  <si>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</si>
  <si>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</si>
  <si>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</si>
  <si>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</si>
  <si>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</si>
  <si>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</si>
  <si>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</si>
  <si>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</si>
  <si>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</si>
  <si>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</si>
  <si>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</si>
  <si>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</si>
  <si>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</si>
  <si>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</si>
  <si>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</si>
  <si>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</si>
  <si>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</si>
  <si>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</si>
  <si>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</si>
  <si>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</si>
  <si>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</si>
  <si>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</si>
  <si>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</si>
  <si>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</si>
  <si>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</si>
  <si>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</si>
  <si>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</si>
  <si>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</si>
  <si>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</si>
  <si>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</si>
  <si>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</si>
  <si>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</si>
  <si>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</si>
  <si>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</si>
  <si>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</si>
  <si>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</si>
  <si>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</si>
  <si>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</si>
  <si>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</si>
  <si>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</si>
  <si>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</si>
  <si>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</si>
  <si>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</si>
  <si>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</si>
  <si>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</si>
  <si>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</si>
  <si>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</si>
  <si>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</si>
  <si>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</si>
  <si>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</si>
  <si>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</si>
  <si>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</si>
  <si>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</si>
  <si>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</si>
  <si>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</si>
  <si>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</si>
  <si>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</si>
  <si>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</si>
  <si>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</si>
  <si>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</si>
  <si>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</si>
  <si>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</si>
  <si>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</si>
  <si>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</si>
  <si>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</si>
  <si>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</si>
  <si>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</si>
  <si>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</si>
  <si>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</si>
  <si>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</si>
  <si>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</si>
  <si>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</si>
  <si>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</si>
  <si>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</si>
  <si>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</si>
  <si>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</si>
  <si>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</si>
  <si>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</si>
  <si>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</si>
  <si>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</si>
  <si>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</si>
  <si>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</si>
  <si>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</si>
  <si>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</si>
  <si>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</si>
  <si>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</si>
  <si>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</si>
  <si>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</si>
  <si>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</si>
  <si>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</si>
  <si>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</si>
  <si>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</si>
  <si>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</si>
  <si>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</si>
  <si>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</si>
  <si>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</si>
  <si>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</si>
  <si>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</si>
  <si>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</si>
  <si>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</si>
  <si>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73028</t>
  </si>
  <si>
    <t>HERSTAPPE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</si>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</sst>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828.17083846293883</c:v>
                </c:pt>
                <c:pt idx="1">
                  <c:v>157.08529020218714</c:v>
                </c:pt>
                <c:pt idx="2">
                  <c:v>10.807</c:v>
                </c:pt>
                <c:pt idx="3">
                  <c:v>192.71824671917651</c:v>
                </c:pt>
                <c:pt idx="4">
                  <c:v>25.655262423468429</c:v>
                </c:pt>
                <c:pt idx="5">
                  <c:v>2770.0890611644595</c:v>
                </c:pt>
                <c:pt idx="6">
                  <c:v>16.180511088600536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828.17083846293883</c:v>
                </c:pt>
                <c:pt idx="1">
                  <c:v>157.08529020218714</c:v>
                </c:pt>
                <c:pt idx="2">
                  <c:v>10.807</c:v>
                </c:pt>
                <c:pt idx="3">
                  <c:v>192.71824671917651</c:v>
                </c:pt>
                <c:pt idx="4">
                  <c:v>25.655262423468429</c:v>
                </c:pt>
                <c:pt idx="5">
                  <c:v>2770.0890611644595</c:v>
                </c:pt>
                <c:pt idx="6">
                  <c:v>16.180511088600536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201.65904747604395</c:v>
                </c:pt>
                <c:pt idx="2">
                  <c:v>31.315374755528364</c:v>
                </c:pt>
                <c:pt idx="3">
                  <c:v>2.1297139449835707</c:v>
                </c:pt>
                <c:pt idx="4">
                  <c:v>46.326236379350718</c:v>
                </c:pt>
                <c:pt idx="5">
                  <c:v>4.7260964429841055</c:v>
                </c:pt>
                <c:pt idx="6">
                  <c:v>693.4469902487042</c:v>
                </c:pt>
                <c:pt idx="7">
                  <c:v>4.0871199258815274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201.65904747604395</c:v>
                </c:pt>
                <c:pt idx="2">
                  <c:v>31.315374755528364</c:v>
                </c:pt>
                <c:pt idx="3">
                  <c:v>2.1297139449835707</c:v>
                </c:pt>
                <c:pt idx="4">
                  <c:v>46.326236379350718</c:v>
                </c:pt>
                <c:pt idx="5">
                  <c:v>4.7260964429841055</c:v>
                </c:pt>
                <c:pt idx="6">
                  <c:v>693.4469902487042</c:v>
                </c:pt>
                <c:pt idx="7">
                  <c:v>4.0871199258815274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73028</v>
      </c>
      <c r="B6" s="416"/>
      <c r="C6" s="417"/>
    </row>
    <row r="7" spans="1:7" s="414" customFormat="1" ht="15.75" customHeight="1">
      <c r="A7" s="418" t="str">
        <f>txtMunicipality</f>
        <v>HERSTAPPE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0.19706800638323038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0.19706800638323038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v>
      </c>
      <c r="C9" s="342">
        <v>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122</v>
      </c>
    </row>
    <row r="15" spans="1:6">
      <c r="A15" s="348" t="s">
        <v>184</v>
      </c>
      <c r="B15" s="334">
        <v>0</v>
      </c>
    </row>
    <row r="16" spans="1:6">
      <c r="A16" s="348" t="s">
        <v>6</v>
      </c>
      <c r="B16" s="334">
        <v>0</v>
      </c>
    </row>
    <row r="17" spans="1:6">
      <c r="A17" s="348" t="s">
        <v>7</v>
      </c>
      <c r="B17" s="334">
        <v>2</v>
      </c>
    </row>
    <row r="18" spans="1:6">
      <c r="A18" s="348" t="s">
        <v>8</v>
      </c>
      <c r="B18" s="334">
        <v>2</v>
      </c>
    </row>
    <row r="19" spans="1:6">
      <c r="A19" s="348" t="s">
        <v>9</v>
      </c>
      <c r="B19" s="334">
        <v>5</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7</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v>
      </c>
      <c r="D39" s="334">
        <v>256108</v>
      </c>
      <c r="E39" s="334">
        <v>30</v>
      </c>
      <c r="F39" s="334">
        <v>126103</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v>
      </c>
      <c r="F48" s="334">
        <v>17442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v>
      </c>
      <c r="F51" s="334">
        <v>40307</v>
      </c>
    </row>
    <row r="52" spans="1:6">
      <c r="A52" s="348" t="s">
        <v>42</v>
      </c>
      <c r="B52" s="348" t="s">
        <v>29</v>
      </c>
      <c r="C52" s="334">
        <v>2</v>
      </c>
      <c r="D52" s="334">
        <v>48328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10807</v>
      </c>
    </row>
    <row r="55" spans="1:6">
      <c r="A55" s="348" t="s">
        <v>46</v>
      </c>
      <c r="B55" s="348" t="s">
        <v>29</v>
      </c>
      <c r="C55" s="334">
        <v>0</v>
      </c>
      <c r="D55" s="334">
        <v>0</v>
      </c>
      <c r="E55" s="334">
        <v>0</v>
      </c>
      <c r="F55" s="334">
        <v>0</v>
      </c>
    </row>
    <row r="56" spans="1:6">
      <c r="A56" s="348" t="s">
        <v>48</v>
      </c>
      <c r="B56" s="348" t="s">
        <v>29</v>
      </c>
      <c r="C56" s="334">
        <v>1</v>
      </c>
      <c r="D56" s="334">
        <v>10333</v>
      </c>
      <c r="E56" s="334">
        <v>0</v>
      </c>
      <c r="F56" s="334">
        <v>0</v>
      </c>
    </row>
    <row r="57" spans="1:6">
      <c r="A57" s="348" t="s">
        <v>49</v>
      </c>
      <c r="B57" s="348" t="s">
        <v>50</v>
      </c>
      <c r="C57" s="334">
        <v>0</v>
      </c>
      <c r="D57" s="334">
        <v>0</v>
      </c>
      <c r="E57" s="334">
        <v>0</v>
      </c>
      <c r="F57" s="334">
        <v>0</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0</v>
      </c>
      <c r="F61" s="334">
        <v>0</v>
      </c>
    </row>
    <row r="62" spans="1:6">
      <c r="A62" s="348" t="s">
        <v>49</v>
      </c>
      <c r="B62" s="348" t="s">
        <v>55</v>
      </c>
      <c r="C62" s="334">
        <v>0</v>
      </c>
      <c r="D62" s="334">
        <v>0</v>
      </c>
      <c r="E62" s="334">
        <v>0</v>
      </c>
      <c r="F62" s="334">
        <v>0</v>
      </c>
    </row>
    <row r="63" spans="1:6">
      <c r="A63" s="348" t="s">
        <v>49</v>
      </c>
      <c r="B63" s="348" t="s">
        <v>29</v>
      </c>
      <c r="C63" s="334">
        <v>4</v>
      </c>
      <c r="D63" s="334">
        <v>127806</v>
      </c>
      <c r="E63" s="334">
        <v>4</v>
      </c>
      <c r="F63" s="334">
        <v>33666</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3020672</v>
      </c>
      <c r="E73" s="476">
        <v>3131831.7077630996</v>
      </c>
    </row>
    <row r="74" spans="1:6">
      <c r="A74" s="348" t="s">
        <v>64</v>
      </c>
      <c r="B74" s="348" t="s">
        <v>714</v>
      </c>
      <c r="C74" s="1311" t="s">
        <v>716</v>
      </c>
      <c r="D74" s="476">
        <v>170600.09056737248</v>
      </c>
      <c r="E74" s="476">
        <v>178508.64880544622</v>
      </c>
    </row>
    <row r="75" spans="1:6">
      <c r="A75" s="348" t="s">
        <v>65</v>
      </c>
      <c r="B75" s="348" t="s">
        <v>713</v>
      </c>
      <c r="C75" s="1311" t="s">
        <v>717</v>
      </c>
      <c r="D75" s="476">
        <v>581457</v>
      </c>
      <c r="E75" s="476">
        <v>602854.802153436</v>
      </c>
    </row>
    <row r="76" spans="1:6">
      <c r="A76" s="348" t="s">
        <v>65</v>
      </c>
      <c r="B76" s="348" t="s">
        <v>714</v>
      </c>
      <c r="C76" s="1311" t="s">
        <v>718</v>
      </c>
      <c r="D76" s="476">
        <v>5502.0905673724792</v>
      </c>
      <c r="E76" s="476">
        <v>5847.0225592570805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4323.8188652550416</v>
      </c>
      <c r="C83" s="476">
        <v>4250.1111920787007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27.78780481147389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v>
      </c>
    </row>
    <row r="98" spans="1:6">
      <c r="A98" s="348" t="s">
        <v>72</v>
      </c>
      <c r="B98" s="334">
        <v>1</v>
      </c>
    </row>
    <row r="99" spans="1:6">
      <c r="A99" s="348" t="s">
        <v>73</v>
      </c>
      <c r="B99" s="334">
        <v>0</v>
      </c>
    </row>
    <row r="100" spans="1:6">
      <c r="A100" s="348" t="s">
        <v>74</v>
      </c>
      <c r="B100" s="334">
        <v>3</v>
      </c>
    </row>
    <row r="101" spans="1:6">
      <c r="A101" s="348" t="s">
        <v>75</v>
      </c>
      <c r="B101" s="334">
        <v>0</v>
      </c>
    </row>
    <row r="102" spans="1:6">
      <c r="A102" s="348" t="s">
        <v>76</v>
      </c>
      <c r="B102" s="334">
        <v>1</v>
      </c>
    </row>
    <row r="103" spans="1:6">
      <c r="A103" s="348" t="s">
        <v>77</v>
      </c>
      <c r="B103" s="334">
        <v>3</v>
      </c>
    </row>
    <row r="104" spans="1:6">
      <c r="A104" s="348" t="s">
        <v>78</v>
      </c>
      <c r="B104" s="334">
        <v>22</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256.6064892743637</v>
      </c>
      <c r="C3" s="43" t="s">
        <v>170</v>
      </c>
      <c r="D3" s="43"/>
      <c r="E3" s="154"/>
      <c r="F3" s="43"/>
      <c r="G3" s="43"/>
      <c r="H3" s="43"/>
      <c r="I3" s="43"/>
      <c r="J3" s="43"/>
      <c r="K3" s="96"/>
    </row>
    <row r="4" spans="1:11">
      <c r="A4" s="384" t="s">
        <v>171</v>
      </c>
      <c r="B4" s="49">
        <f>IF(ISERROR('SEAP template'!B78+'SEAP template'!C78),0,'SEAP template'!B78+'SEAP template'!C78)</f>
        <v>27.78780481147389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0.19706800638323038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0.19706800638323038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2.1297139449835707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126.10299999999999</v>
      </c>
      <c r="C5" s="17">
        <f>IF(ISERROR('Eigen informatie GS &amp; warmtenet'!B57),0,'Eigen informatie GS &amp; warmtenet'!B57)</f>
        <v>0</v>
      </c>
      <c r="D5" s="30">
        <f>(SUM(HH_hh_gas_kWh,HH_rest_gas_kWh)/1000)*0.902</f>
        <v>231.00941600000002</v>
      </c>
      <c r="E5" s="17">
        <f>B46*B57</f>
        <v>0</v>
      </c>
      <c r="F5" s="17">
        <f>B51*B62</f>
        <v>364.32399206301886</v>
      </c>
      <c r="G5" s="18"/>
      <c r="H5" s="17"/>
      <c r="I5" s="17"/>
      <c r="J5" s="17">
        <f>B50*B61+C50*C61</f>
        <v>77.383292255112735</v>
      </c>
      <c r="K5" s="17"/>
      <c r="L5" s="17"/>
      <c r="M5" s="17"/>
      <c r="N5" s="17">
        <f>B48*B59+C48*C59</f>
        <v>0</v>
      </c>
      <c r="O5" s="17">
        <f>B69*B70*B71</f>
        <v>1.5633333333333335</v>
      </c>
      <c r="P5" s="17">
        <f>B77*B78*B79/1000-B77*B78*B79/1000/B80</f>
        <v>0</v>
      </c>
    </row>
    <row r="6" spans="1:16">
      <c r="A6" s="16" t="s">
        <v>631</v>
      </c>
      <c r="B6" s="789">
        <f>kWh_PV_kleiner_dan_10kW</f>
        <v>27.78780481147389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153.89080481147388</v>
      </c>
      <c r="C8" s="21">
        <f>C5</f>
        <v>0</v>
      </c>
      <c r="D8" s="21">
        <f>D5</f>
        <v>231.00941600000002</v>
      </c>
      <c r="E8" s="21">
        <f>E5</f>
        <v>0</v>
      </c>
      <c r="F8" s="21">
        <f>F5</f>
        <v>364.32399206301886</v>
      </c>
      <c r="G8" s="21"/>
      <c r="H8" s="21"/>
      <c r="I8" s="21"/>
      <c r="J8" s="21">
        <f>J5</f>
        <v>77.383292255112735</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0.19706800638323038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30.326954104907998</v>
      </c>
      <c r="C12" s="23">
        <f ca="1">C10*C8</f>
        <v>0</v>
      </c>
      <c r="D12" s="23">
        <f>D8*D10</f>
        <v>46.663902032000003</v>
      </c>
      <c r="E12" s="23">
        <f>E10*E8</f>
        <v>0</v>
      </c>
      <c r="F12" s="23">
        <f>F10*F8</f>
        <v>97.274505880826041</v>
      </c>
      <c r="G12" s="23"/>
      <c r="H12" s="23"/>
      <c r="I12" s="23"/>
      <c r="J12" s="23">
        <f>J10*J8</f>
        <v>27.393685458309907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v>
      </c>
      <c r="C18" s="166" t="s">
        <v>111</v>
      </c>
      <c r="D18" s="228"/>
      <c r="E18" s="15"/>
    </row>
    <row r="19" spans="1:7">
      <c r="A19" s="171" t="s">
        <v>72</v>
      </c>
      <c r="B19" s="37">
        <f>aantalw2001_ander</f>
        <v>1</v>
      </c>
      <c r="C19" s="166" t="s">
        <v>111</v>
      </c>
      <c r="D19" s="229"/>
      <c r="E19" s="15"/>
    </row>
    <row r="20" spans="1:7">
      <c r="A20" s="171" t="s">
        <v>73</v>
      </c>
      <c r="B20" s="37">
        <f>aantalw2001_propaan</f>
        <v>0</v>
      </c>
      <c r="C20" s="167">
        <f>IF(ISERROR(B20/SUM($B$20,$B$21,$B$22)*100),0,B20/SUM($B$20,$B$21,$B$22)*100)</f>
        <v>0</v>
      </c>
      <c r="D20" s="229"/>
      <c r="E20" s="15"/>
    </row>
    <row r="21" spans="1:7">
      <c r="A21" s="171" t="s">
        <v>74</v>
      </c>
      <c r="B21" s="37">
        <f>aantalw2001_elektriciteit</f>
        <v>3</v>
      </c>
      <c r="C21" s="167">
        <f>IF(ISERROR(B21/SUM($B$20,$B$21,$B$22)*100),0,B21/SUM($B$20,$B$21,$B$22)*100)</f>
        <v>100</v>
      </c>
      <c r="D21" s="229"/>
      <c r="E21" s="15"/>
    </row>
    <row r="22" spans="1:7">
      <c r="A22" s="171" t="s">
        <v>75</v>
      </c>
      <c r="B22" s="37">
        <f>aantalw2001_hout</f>
        <v>0</v>
      </c>
      <c r="C22" s="167">
        <f>IF(ISERROR(B22/SUM($B$20,$B$21,$B$22)*100),0,B22/SUM($B$20,$B$21,$B$22)*100)</f>
        <v>0</v>
      </c>
      <c r="D22" s="229"/>
      <c r="E22" s="15"/>
    </row>
    <row r="23" spans="1:7">
      <c r="A23" s="171" t="s">
        <v>76</v>
      </c>
      <c r="B23" s="37">
        <f>aantalw2001_niet_gespec</f>
        <v>1</v>
      </c>
      <c r="C23" s="166" t="s">
        <v>111</v>
      </c>
      <c r="D23" s="228"/>
      <c r="E23" s="15"/>
    </row>
    <row r="24" spans="1:7">
      <c r="A24" s="171" t="s">
        <v>77</v>
      </c>
      <c r="B24" s="37">
        <f>aantalw2001_steenkool</f>
        <v>3</v>
      </c>
      <c r="C24" s="166" t="s">
        <v>111</v>
      </c>
      <c r="D24" s="229"/>
      <c r="E24" s="15"/>
    </row>
    <row r="25" spans="1:7">
      <c r="A25" s="171" t="s">
        <v>78</v>
      </c>
      <c r="B25" s="37">
        <f>aantalw2001_stookolie</f>
        <v>22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33</v>
      </c>
      <c r="C28" s="36"/>
      <c r="D28" s="228"/>
    </row>
    <row r="29" spans="1:7" s="15" customFormat="1">
      <c r="A29" s="230" t="s">
        <v>741</v>
      </c>
      <c r="B29" s="37">
        <f>SUM(HH_hh_gas_aantal,HH_rest_gas_aantal)</f>
        <v>12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v>
      </c>
      <c r="C32" s="167">
        <f>IF(ISERROR(B32/SUM($B$32,$B$34,$B$35,$B$36,$B$38,$B$39)*100),0,B32/SUM($B$32,$B$34,$B$35,$B$36,$B$38,$B$39)*100)</f>
        <v>36.363636363636367</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3.9999999999999987</v>
      </c>
      <c r="C35" s="167">
        <f>IF(ISERROR(B35/SUM($B$32,$B$34,$B$35,$B$36,$B$38,$B$39)*100),0,B35/SUM($B$32,$B$34,$B$35,$B$36,$B$38,$B$39)*100)</f>
        <v>12.121212121212118</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2.2000000000000002</v>
      </c>
      <c r="C38" s="167">
        <f>IF(ISERROR(B38/SUM($B$32,$B$34,$B$35,$B$36,$B$38,$B$39)*100),0,B38/SUM($B$32,$B$34,$B$35,$B$36,$B$38,$B$39)*100)</f>
        <v>6.666666666666667</v>
      </c>
      <c r="D38" s="234"/>
      <c r="G38" s="15"/>
    </row>
    <row r="39" spans="1:7">
      <c r="A39" s="171" t="s">
        <v>78</v>
      </c>
      <c r="B39" s="33">
        <f>IF((B25-(B29-B18))&lt;0,0,B25-(B29-B18)*0.9)</f>
        <v>14.8</v>
      </c>
      <c r="C39" s="167">
        <f>IF(ISERROR(B39/SUM($B$32,$B$34,$B$35,$B$36,$B$38,$B$39)*100),0,B39/SUM($B$32,$B$34,$B$35,$B$36,$B$38,$B$39)*100)</f>
        <v>44.848484848484851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3.9999999999999987</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2.2000000000000002</v>
      </c>
      <c r="C50" s="33">
        <f>B50*2</f>
        <v>4.4000000000000004</v>
      </c>
      <c r="D50" s="234"/>
    </row>
    <row r="51" spans="1:6">
      <c r="A51" s="171" t="s">
        <v>78</v>
      </c>
      <c r="B51" s="33">
        <f t="shared" si="0"/>
        <v>14.8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33.665999999999997</v>
      </c>
      <c r="C5" s="17">
        <f>IF(ISERROR('Eigen informatie GS &amp; warmtenet'!B58),0,'Eigen informatie GS &amp; warmtenet'!B58)</f>
        <v>0</v>
      </c>
      <c r="D5" s="30">
        <f>SUM(D6:D12)</f>
        <v>115.281012</v>
      </c>
      <c r="E5" s="17">
        <f>SUM(E6:E12)</f>
        <v>0.30437936732624948</v>
      </c>
      <c r="F5" s="17">
        <f>SUM(F6:F12)</f>
        <v>4.9626393717133714</v>
      </c>
      <c r="G5" s="18"/>
      <c r="H5" s="17"/>
      <c r="I5" s="17"/>
      <c r="J5" s="17">
        <f>SUM(J6:J12)</f>
        <v>0</v>
      </c>
      <c r="K5" s="17"/>
      <c r="L5" s="17"/>
      <c r="M5" s="17"/>
      <c r="N5" s="17">
        <f>SUM(N6:N12)</f>
        <v>2.8712594631475232</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33.665999999999997</v>
      </c>
      <c r="C12" s="33"/>
      <c r="D12" s="37">
        <f>IF(ISERROR(TER_rest_gas_kWh/1000),0,TER_rest_gas_kWh/1000)*0.902</f>
        <v>115.281012</v>
      </c>
      <c r="E12" s="33">
        <f>$C$32*'E Balans VL '!I8/100/3.6*1000000</f>
        <v>0.30437936732624948</v>
      </c>
      <c r="F12" s="33">
        <f>$C$32*('E Balans VL '!L8+'E Balans VL '!N8)/100/3.6*1000000</f>
        <v>4.9626393717133714</v>
      </c>
      <c r="G12" s="34"/>
      <c r="H12" s="33"/>
      <c r="I12" s="33"/>
      <c r="J12" s="33">
        <f>$C$32*('E Balans VL '!D8+'E Balans VL '!E8)/100/3.6*1000000</f>
        <v>0</v>
      </c>
      <c r="K12" s="33"/>
      <c r="L12" s="33"/>
      <c r="M12" s="33"/>
      <c r="N12" s="33">
        <f>$C$32*'E Balans VL '!Y8/100/3.6*1000000</f>
        <v>2.8712594631475232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33.665999999999997</v>
      </c>
      <c r="C16" s="21">
        <f t="shared" ca="1" si="1"/>
        <v>0</v>
      </c>
      <c r="D16" s="21">
        <f t="shared" ca="1" si="1"/>
        <v>115.281012</v>
      </c>
      <c r="E16" s="21">
        <f t="shared" si="1"/>
        <v>0.30437936732624948</v>
      </c>
      <c r="F16" s="21">
        <f t="shared" ca="1" si="1"/>
        <v>4.9626393717133714</v>
      </c>
      <c r="G16" s="21">
        <f t="shared" si="1"/>
        <v>0</v>
      </c>
      <c r="H16" s="21">
        <f t="shared" si="1"/>
        <v>0</v>
      </c>
      <c r="I16" s="21">
        <f t="shared" si="1"/>
        <v>0</v>
      </c>
      <c r="J16" s="21">
        <f t="shared" si="1"/>
        <v>0</v>
      </c>
      <c r="K16" s="21">
        <f t="shared" si="1"/>
        <v>0</v>
      </c>
      <c r="L16" s="21">
        <f t="shared" ca="1" si="1"/>
        <v>0</v>
      </c>
      <c r="M16" s="21">
        <f t="shared" si="1"/>
        <v>0</v>
      </c>
      <c r="N16" s="21">
        <f t="shared" ca="1" si="1"/>
        <v>2.8712594631475232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0.19706800638323038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6.6344915028978333</v>
      </c>
      <c r="C20" s="23">
        <f t="shared" ref="C20:P20" ca="1" si="2">C16*C18</f>
        <v>0</v>
      </c>
      <c r="D20" s="23">
        <f t="shared" ca="1" si="2"/>
        <v>23.286764424000001</v>
      </c>
      <c r="E20" s="23">
        <f t="shared" si="2"/>
        <v>6.9094116383058637E-2</v>
      </c>
      <c r="F20" s="23">
        <f t="shared" ca="1" si="2"/>
        <v>1.3250247122474703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0</v>
      </c>
      <c r="C26" s="39">
        <f>IF(ISERROR(B26*3.6/1000000/'E Balans VL '!Z12*100),0,B26*3.6/1000000/'E Balans VL '!Z12*100)</f>
        <v>0</v>
      </c>
      <c r="D26" s="237" t="s">
        <v>692</v>
      </c>
      <c r="F26" s="6"/>
    </row>
    <row r="27" spans="1:18">
      <c r="A27" s="231" t="s">
        <v>53</v>
      </c>
      <c r="B27" s="33">
        <f>IF(ISERROR(TER_horeca_ele_kWh/1000),0,TER_horeca_ele_kWh/1000)</f>
        <v>0</v>
      </c>
      <c r="C27" s="39">
        <f>IF(ISERROR(B27*3.6/1000000/'E Balans VL '!Z9*100),0,B27*3.6/1000000/'E Balans VL '!Z9*100)</f>
        <v>0</v>
      </c>
      <c r="D27" s="237" t="s">
        <v>692</v>
      </c>
      <c r="F27" s="6"/>
    </row>
    <row r="28" spans="1:18">
      <c r="A28" s="171" t="s">
        <v>52</v>
      </c>
      <c r="B28" s="33">
        <f>IF(ISERROR(TER_handel_ele_kWh/1000),0,TER_handel_ele_kWh/1000)</f>
        <v>0</v>
      </c>
      <c r="C28" s="39">
        <f>IF(ISERROR(B28*3.6/1000000/'E Balans VL '!Z13*100),0,B28*3.6/1000000/'E Balans VL '!Z13*100)</f>
        <v>0</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0</v>
      </c>
      <c r="C30" s="39">
        <f>IF(ISERROR(B30*3.6/1000000/'E Balans VL '!Z14*100),0,B30*3.6/1000000/'E Balans VL '!Z14*100)</f>
        <v>0</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33.665999999999997</v>
      </c>
      <c r="C32" s="39">
        <f>IF(ISERROR(B32*3.6/1000000/'E Balans VL '!Z8*100),0,B32*3.6/1000000/'E Balans VL '!Z8*100)</f>
        <v>2.8361624496289051E-4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17.442</v>
      </c>
      <c r="C5" s="17">
        <f>IF(ISERROR('Eigen informatie GS &amp; warmtenet'!B59),0,'Eigen informatie GS &amp; warmtenet'!B59)</f>
        <v>0</v>
      </c>
      <c r="D5" s="30">
        <f>SUM(D6:D15)</f>
        <v>0</v>
      </c>
      <c r="E5" s="17">
        <f>SUM(E6:E15)</f>
        <v>0.88732879069983628</v>
      </c>
      <c r="F5" s="17">
        <f>SUM(F6:F15)</f>
        <v>3.975688041559486</v>
      </c>
      <c r="G5" s="18"/>
      <c r="H5" s="17"/>
      <c r="I5" s="17"/>
      <c r="J5" s="17">
        <f>SUM(J6:J15)</f>
        <v>7.3174952154110226E-2</v>
      </c>
      <c r="K5" s="17"/>
      <c r="L5" s="17"/>
      <c r="M5" s="17"/>
      <c r="N5" s="17">
        <f>SUM(N6:N15)</f>
        <v>3.2770706390549957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17.442</v>
      </c>
      <c r="C15" s="33"/>
      <c r="D15" s="37">
        <f>IF( ISERROR(IND_rest_gas_kWh/1000),0,IND_rest_gas_kWh/1000)*0.902</f>
        <v>0</v>
      </c>
      <c r="E15" s="33">
        <f>C37*'E Balans VL '!I15/100/3.6*1000000</f>
        <v>0.88732879069983628</v>
      </c>
      <c r="F15" s="33">
        <f>C37*'E Balans VL '!L15/100/3.6*1000000+C37*'E Balans VL '!N15/100/3.6*1000000</f>
        <v>3.975688041559486</v>
      </c>
      <c r="G15" s="34"/>
      <c r="H15" s="33"/>
      <c r="I15" s="33"/>
      <c r="J15" s="40">
        <f>C37*'E Balans VL '!D15/100/3.6*1000000+C37*'E Balans VL '!E15/100/3.6*1000000</f>
        <v>7.3174952154110226E-2</v>
      </c>
      <c r="K15" s="33"/>
      <c r="L15" s="33"/>
      <c r="M15" s="33"/>
      <c r="N15" s="33">
        <f>C37*'E Balans VL '!Y15/100/3.6*1000000</f>
        <v>3.2770706390549957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17.442</v>
      </c>
      <c r="C18" s="21">
        <f>C5+C16</f>
        <v>0</v>
      </c>
      <c r="D18" s="21">
        <f>MAX((D5+D16),0)</f>
        <v>0</v>
      </c>
      <c r="E18" s="21">
        <f>MAX((E5+E16),0)</f>
        <v>0.88732879069983628</v>
      </c>
      <c r="F18" s="21">
        <f>MAX((F5+F16),0)</f>
        <v>3.975688041559486</v>
      </c>
      <c r="G18" s="21"/>
      <c r="H18" s="21"/>
      <c r="I18" s="21"/>
      <c r="J18" s="21">
        <f>MAX((J5+J16),0)</f>
        <v>7.3174952154110226E-2</v>
      </c>
      <c r="K18" s="21"/>
      <c r="L18" s="21">
        <f>MAX((L5+L16),0)</f>
        <v>0</v>
      </c>
      <c r="M18" s="21"/>
      <c r="N18" s="21">
        <f>MAX((N5+N16),0)</f>
        <v>3.2770706390549957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0.19706800638323038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3.4372601673363046</v>
      </c>
      <c r="C22" s="23">
        <f ca="1">C18*C20</f>
        <v>0</v>
      </c>
      <c r="D22" s="23">
        <f>D18*D20</f>
        <v>0</v>
      </c>
      <c r="E22" s="23">
        <f>E18*E20</f>
        <v>0.20142363548886283</v>
      </c>
      <c r="F22" s="23">
        <f>F18*F20</f>
        <v>1.0615087070963829</v>
      </c>
      <c r="G22" s="23"/>
      <c r="H22" s="23"/>
      <c r="I22" s="23"/>
      <c r="J22" s="23">
        <f>J18*J20</f>
        <v>2.5903933062555017E-2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0</v>
      </c>
      <c r="C31" s="39">
        <f>IF(ISERROR(B31*3.6/1000000/'E Balans VL '!Z19*100),0,B31*3.6/1000000/'E Balans VL '!Z19*100)</f>
        <v>0</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17.442</v>
      </c>
      <c r="C37" s="39">
        <f>IF(ISERROR(B37*3.6/1000000/'E Balans VL '!Z15*100),0,B37*3.6/1000000/'E Balans VL '!Z15*100)</f>
        <v>1.2932944380323477E-4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40.307000000000002</v>
      </c>
      <c r="C5" s="17">
        <f>'Eigen informatie GS &amp; warmtenet'!B60</f>
        <v>0</v>
      </c>
      <c r="D5" s="30">
        <f>IF(ISERROR(SUM(LB_lb_gas_kWh,LB_rest_gas_kWh)/1000),0,SUM(LB_lb_gas_kWh,LB_rest_gas_kWh)/1000)*0.902</f>
        <v>43.591856000000007</v>
      </c>
      <c r="E5" s="17">
        <f>B17*'E Balans VL '!I25/3.6*1000000/100</f>
        <v>0.37334031612343721</v>
      </c>
      <c r="F5" s="17">
        <f>B17*('E Balans VL '!L25/3.6*1000000+'E Balans VL '!N25/3.6*1000000)/100</f>
        <v>102.26653747562021</v>
      </c>
      <c r="G5" s="18"/>
      <c r="H5" s="17"/>
      <c r="I5" s="17"/>
      <c r="J5" s="17">
        <f>('E Balans VL '!D25+'E Balans VL '!E25)/3.6*1000000*landbouw!B17/100</f>
        <v>6.1795129274328646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40.307000000000002</v>
      </c>
      <c r="C8" s="21">
        <f>C5+C6</f>
        <v>0</v>
      </c>
      <c r="D8" s="21">
        <f>MAX((D5+D6),0)</f>
        <v>43.591856000000007</v>
      </c>
      <c r="E8" s="21">
        <f>MAX((E5+E6),0)</f>
        <v>0.37334031612343721</v>
      </c>
      <c r="F8" s="21">
        <f>MAX((F5+F6),0)</f>
        <v>102.26653747562021</v>
      </c>
      <c r="G8" s="21"/>
      <c r="H8" s="21"/>
      <c r="I8" s="21"/>
      <c r="J8" s="21">
        <f>MAX((J5+J6),0)</f>
        <v>6.1795129274328646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0.19706800638323038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7.9432201332888672</v>
      </c>
      <c r="C12" s="23">
        <f ca="1">C8*C10</f>
        <v>0</v>
      </c>
      <c r="D12" s="23">
        <f>D8*D10</f>
        <v>8.8055549120000016</v>
      </c>
      <c r="E12" s="23">
        <f>E8*E10</f>
        <v>8.4748251760020252E-2</v>
      </c>
      <c r="F12" s="23">
        <f>F8*F10</f>
        <v>27.305165505990598</v>
      </c>
      <c r="G12" s="23"/>
      <c r="H12" s="23"/>
      <c r="I12" s="23"/>
      <c r="J12" s="23">
        <f>J8*J10</f>
        <v>2.1875475763112338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5.7308007438734839E-3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0.70438033850250958</v>
      </c>
      <c r="C26" s="247">
        <f>B26*'GWP N2O_CH4'!B5</f>
        <v>14.791987108552702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7.3508540732965713E-2</v>
      </c>
      <c r="C27" s="247">
        <f>B27*'GWP N2O_CH4'!B5</f>
        <v>1.5436793553922801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1.0616472866275694E-2</v>
      </c>
      <c r="C28" s="247">
        <f>B28*'GWP N2O_CH4'!B4</f>
        <v>3.2911065885454649</v>
      </c>
      <c r="D28" s="50"/>
    </row>
    <row r="29" spans="1:4">
      <c r="A29" s="41" t="s">
        <v>277</v>
      </c>
      <c r="B29" s="247">
        <f>B34*'ha_N2O bodem landbouw'!B4</f>
        <v>0.80761403200590409</v>
      </c>
      <c r="C29" s="247">
        <f>B29*'GWP N2O_CH4'!B4</f>
        <v>250.36034992183028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1.8113359939186621E-4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1.7772640664034388E-6</v>
      </c>
      <c r="C5" s="464" t="s">
        <v>211</v>
      </c>
      <c r="D5" s="449">
        <f>SUM(D6:D11)</f>
        <v>4.6211221894110105E-6</v>
      </c>
      <c r="E5" s="449">
        <f>SUM(E6:E11)</f>
        <v>2.9500687631751682E-5</v>
      </c>
      <c r="F5" s="462" t="s">
        <v>211</v>
      </c>
      <c r="G5" s="449">
        <f>SUM(G6:G11)</f>
        <v>7.6900027582763623E-3</v>
      </c>
      <c r="H5" s="449">
        <f>SUM(H6:H11)</f>
        <v>1.7477833886525903E-3</v>
      </c>
      <c r="I5" s="464" t="s">
        <v>211</v>
      </c>
      <c r="J5" s="464" t="s">
        <v>211</v>
      </c>
      <c r="K5" s="464" t="s">
        <v>211</v>
      </c>
      <c r="L5" s="464" t="s">
        <v>211</v>
      </c>
      <c r="M5" s="449">
        <f>SUM(M6:M11)</f>
        <v>4.9863539937553632E-4</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1.4903774412273987E-6</v>
      </c>
      <c r="C6" s="450"/>
      <c r="D6" s="893">
        <f>vkm_2011_GW_PW*SUMIFS(TableVerdeelsleutelVkm[CNG],TableVerdeelsleutelVkm[Voertuigtype],"Lichte voertuigen")*SUMIFS(TableECFTransport[EnergieConsumptieFactor (PJ per km)],TableECFTransport[Index],CONCATENATE($A6,"_CNG_CNG"))</f>
        <v>3.4474071053181329E-6</v>
      </c>
      <c r="E6" s="893">
        <f>vkm_2011_GW_PW*SUMIFS(TableVerdeelsleutelVkm[LPG],TableVerdeelsleutelVkm[Voertuigtype],"Lichte voertuigen")*SUMIFS(TableECFTransport[EnergieConsumptieFactor (PJ per km)],TableECFTransport[Index],CONCATENATE($A6,"_LPG_LPG"))</f>
        <v>2.2447433238994295E-5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4.6632881832311384E-3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1.3144845691232835E-3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3.1021541748091027E-4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1.5915017114334611E-3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5.4426468229279528E-7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9.2077395047513046E-5</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2.8688662517604016E-7</v>
      </c>
      <c r="C8" s="450"/>
      <c r="D8" s="452">
        <f>vkm_2011_NGW_PW*SUMIFS(TableVerdeelsleutelVkm[CNG],TableVerdeelsleutelVkm[Voertuigtype],"Lichte voertuigen")*SUMIFS(TableECFTransport[EnergieConsumptieFactor (PJ per km)],TableECFTransport[Index],CONCATENATE($A8,"_CNG_CNG"))</f>
        <v>1.1737150840928778E-6</v>
      </c>
      <c r="E8" s="452">
        <f>vkm_2011_NGW_PW*SUMIFS(TableVerdeelsleutelVkm[LPG],TableVerdeelsleutelVkm[Voertuigtype],"Lichte voertuigen")*SUMIFS(TableECFTransport[EnergieConsumptieFactor (PJ per km)],TableECFTransport[Index],CONCATENATE($A8,"_LPG_LPG"))</f>
        <v>7.0532543927573851E-6</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1.369731641387677E-3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4.3273336588627221E-4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9.2554164055769493E-5</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6.5481222224085154E-5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2.1188960741600889E-8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3.7884227913434983E-6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0.49368446288984413</v>
      </c>
      <c r="C14" s="21"/>
      <c r="D14" s="21">
        <f t="shared" ref="D14:M14" si="0">((D5)*10^9/3600)+D12</f>
        <v>1.2836450526141696</v>
      </c>
      <c r="E14" s="21">
        <f t="shared" si="0"/>
        <v>8.1946354532643557</v>
      </c>
      <c r="F14" s="21"/>
      <c r="G14" s="21">
        <f t="shared" si="0"/>
        <v>2136.1118772989894</v>
      </c>
      <c r="H14" s="21">
        <f t="shared" si="0"/>
        <v>485.49538573683066</v>
      </c>
      <c r="I14" s="21"/>
      <c r="J14" s="21"/>
      <c r="K14" s="21"/>
      <c r="L14" s="21"/>
      <c r="M14" s="21">
        <f t="shared" si="0"/>
        <v>138.50983315987119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0.19706800638323038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9.728941288407747E-2</v>
      </c>
      <c r="C18" s="23"/>
      <c r="D18" s="23">
        <f t="shared" ref="D18:M18" si="1">D14*D16</f>
        <v>0.2592963006280623</v>
      </c>
      <c r="E18" s="23">
        <f t="shared" si="1"/>
        <v>1.8601822478910088</v>
      </c>
      <c r="F18" s="23"/>
      <c r="G18" s="23">
        <f t="shared" si="1"/>
        <v>570.34187123883021</v>
      </c>
      <c r="H18" s="23">
        <f t="shared" si="1"/>
        <v>120.88835104847084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5.510723495570598E-5</v>
      </c>
      <c r="H50" s="321">
        <f t="shared" si="2"/>
        <v>0</v>
      </c>
      <c r="I50" s="321">
        <f t="shared" si="2"/>
        <v>0</v>
      </c>
      <c r="J50" s="321">
        <f t="shared" si="2"/>
        <v>0</v>
      </c>
      <c r="K50" s="321">
        <f t="shared" si="2"/>
        <v>0</v>
      </c>
      <c r="L50" s="321">
        <f t="shared" si="2"/>
        <v>0</v>
      </c>
      <c r="M50" s="321">
        <f t="shared" si="2"/>
        <v>3.1426049632559455E-6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5.510723495570598E-5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3.1426049632559455E-6</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15.307565265473883</v>
      </c>
      <c r="H54" s="21">
        <f t="shared" si="3"/>
        <v>0</v>
      </c>
      <c r="I54" s="21">
        <f t="shared" si="3"/>
        <v>0</v>
      </c>
      <c r="J54" s="21">
        <f t="shared" si="3"/>
        <v>0</v>
      </c>
      <c r="K54" s="21">
        <f t="shared" si="3"/>
        <v>0</v>
      </c>
      <c r="L54" s="21">
        <f t="shared" si="3"/>
        <v>0</v>
      </c>
      <c r="M54" s="21">
        <f t="shared" si="3"/>
        <v>0.87294582312665159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0.19706800638323038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4.0871199258815274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44.472999999999999</v>
      </c>
      <c r="D10" s="1025">
        <f ca="1">tertiair!C16</f>
        <v>0</v>
      </c>
      <c r="E10" s="1025">
        <f ca="1">tertiair!D16</f>
        <v>115.281012</v>
      </c>
      <c r="F10" s="1025">
        <f>tertiair!E16</f>
        <v>0.30437936732624948</v>
      </c>
      <c r="G10" s="1025">
        <f ca="1">tertiair!F16</f>
        <v>4.9626393717133714</v>
      </c>
      <c r="H10" s="1025">
        <f>tertiair!G16</f>
        <v>0</v>
      </c>
      <c r="I10" s="1025">
        <f>tertiair!H16</f>
        <v>0</v>
      </c>
      <c r="J10" s="1025">
        <f>tertiair!I16</f>
        <v>0</v>
      </c>
      <c r="K10" s="1025">
        <f>tertiair!J16</f>
        <v>0</v>
      </c>
      <c r="L10" s="1025">
        <f>tertiair!K16</f>
        <v>0</v>
      </c>
      <c r="M10" s="1025">
        <f ca="1">tertiair!L16</f>
        <v>0</v>
      </c>
      <c r="N10" s="1025">
        <f>tertiair!M16</f>
        <v>0</v>
      </c>
      <c r="O10" s="1025">
        <f ca="1">tertiair!N16</f>
        <v>2.8712594631475232</v>
      </c>
      <c r="P10" s="1025">
        <f>tertiair!O16</f>
        <v>0</v>
      </c>
      <c r="Q10" s="1026">
        <f>tertiair!P16</f>
        <v>0</v>
      </c>
      <c r="R10" s="701">
        <f ca="1">SUM(C10:Q10)</f>
        <v>167.89229020218713</v>
      </c>
      <c r="S10" s="67"/>
    </row>
    <row r="11" spans="1:19" s="474" customFormat="1">
      <c r="A11" s="810" t="s">
        <v>225</v>
      </c>
      <c r="B11" s="815"/>
      <c r="C11" s="1025">
        <f>huishoudens!B8</f>
        <v>153.89080481147388</v>
      </c>
      <c r="D11" s="1025">
        <f>huishoudens!C8</f>
        <v>0</v>
      </c>
      <c r="E11" s="1025">
        <f>huishoudens!D8</f>
        <v>231.00941600000002</v>
      </c>
      <c r="F11" s="1025">
        <f>huishoudens!E8</f>
        <v>0</v>
      </c>
      <c r="G11" s="1025">
        <f>huishoudens!F8</f>
        <v>364.32399206301886</v>
      </c>
      <c r="H11" s="1025">
        <f>huishoudens!G8</f>
        <v>0</v>
      </c>
      <c r="I11" s="1025">
        <f>huishoudens!H8</f>
        <v>0</v>
      </c>
      <c r="J11" s="1025">
        <f>huishoudens!I8</f>
        <v>0</v>
      </c>
      <c r="K11" s="1025">
        <f>huishoudens!J8</f>
        <v>77.383292255112735</v>
      </c>
      <c r="L11" s="1025">
        <f>huishoudens!K8</f>
        <v>0</v>
      </c>
      <c r="M11" s="1025">
        <f>huishoudens!L8</f>
        <v>0</v>
      </c>
      <c r="N11" s="1025">
        <f>huishoudens!M8</f>
        <v>0</v>
      </c>
      <c r="O11" s="1025">
        <f>huishoudens!N8</f>
        <v>0</v>
      </c>
      <c r="P11" s="1025">
        <f>huishoudens!O8</f>
        <v>1.5633333333333335</v>
      </c>
      <c r="Q11" s="1026">
        <f>huishoudens!P8</f>
        <v>0</v>
      </c>
      <c r="R11" s="701">
        <f>SUM(C11:Q11)</f>
        <v>828.17083846293883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17.442</v>
      </c>
      <c r="D13" s="1025">
        <f>industrie!C18</f>
        <v>0</v>
      </c>
      <c r="E13" s="1025">
        <f>industrie!D18</f>
        <v>0</v>
      </c>
      <c r="F13" s="1025">
        <f>industrie!E18</f>
        <v>0.88732879069983628</v>
      </c>
      <c r="G13" s="1025">
        <f>industrie!F18</f>
        <v>3.975688041559486</v>
      </c>
      <c r="H13" s="1025">
        <f>industrie!G18</f>
        <v>0</v>
      </c>
      <c r="I13" s="1025">
        <f>industrie!H18</f>
        <v>0</v>
      </c>
      <c r="J13" s="1025">
        <f>industrie!I18</f>
        <v>0</v>
      </c>
      <c r="K13" s="1025">
        <f>industrie!J18</f>
        <v>7.3174952154110226E-2</v>
      </c>
      <c r="L13" s="1025">
        <f>industrie!K18</f>
        <v>0</v>
      </c>
      <c r="M13" s="1025">
        <f>industrie!L18</f>
        <v>0</v>
      </c>
      <c r="N13" s="1025">
        <f>industrie!M18</f>
        <v>0</v>
      </c>
      <c r="O13" s="1025">
        <f>industrie!N18</f>
        <v>3.2770706390549957</v>
      </c>
      <c r="P13" s="1025">
        <f>industrie!O18</f>
        <v>0</v>
      </c>
      <c r="Q13" s="1026">
        <f>industrie!P18</f>
        <v>0</v>
      </c>
      <c r="R13" s="701">
        <f>SUM(C13:Q13)</f>
        <v>25.655262423468429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215.80580481147388</v>
      </c>
      <c r="D16" s="733">
        <f t="shared" ref="D16:R16" ca="1" si="0">SUM(D9:D15)</f>
        <v>0</v>
      </c>
      <c r="E16" s="733">
        <f t="shared" ca="1" si="0"/>
        <v>346.29042800000002</v>
      </c>
      <c r="F16" s="733">
        <f t="shared" si="0"/>
        <v>1.1917081580260858</v>
      </c>
      <c r="G16" s="733">
        <f t="shared" ca="1" si="0"/>
        <v>373.26231947629168</v>
      </c>
      <c r="H16" s="733">
        <f t="shared" si="0"/>
        <v>0</v>
      </c>
      <c r="I16" s="733">
        <f t="shared" si="0"/>
        <v>0</v>
      </c>
      <c r="J16" s="733">
        <f t="shared" si="0"/>
        <v>0</v>
      </c>
      <c r="K16" s="733">
        <f t="shared" si="0"/>
        <v>77.45646720726684</v>
      </c>
      <c r="L16" s="733">
        <f t="shared" si="0"/>
        <v>0</v>
      </c>
      <c r="M16" s="733">
        <f t="shared" ca="1" si="0"/>
        <v>0</v>
      </c>
      <c r="N16" s="733">
        <f t="shared" si="0"/>
        <v>0</v>
      </c>
      <c r="O16" s="733">
        <f t="shared" ca="1" si="0"/>
        <v>6.148330102202519</v>
      </c>
      <c r="P16" s="733">
        <f t="shared" si="0"/>
        <v>1.5633333333333335</v>
      </c>
      <c r="Q16" s="733">
        <f t="shared" si="0"/>
        <v>0</v>
      </c>
      <c r="R16" s="733">
        <f t="shared" ca="1" si="0"/>
        <v>1021.7183910885944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15.307565265473883</v>
      </c>
      <c r="I19" s="1025">
        <f>transport!H54</f>
        <v>0</v>
      </c>
      <c r="J19" s="1025">
        <f>transport!I54</f>
        <v>0</v>
      </c>
      <c r="K19" s="1025">
        <f>transport!J54</f>
        <v>0</v>
      </c>
      <c r="L19" s="1025">
        <f>transport!K54</f>
        <v>0</v>
      </c>
      <c r="M19" s="1025">
        <f>transport!L54</f>
        <v>0</v>
      </c>
      <c r="N19" s="1025">
        <f>transport!M54</f>
        <v>0.87294582312665159</v>
      </c>
      <c r="O19" s="1025">
        <f>transport!N54</f>
        <v>0</v>
      </c>
      <c r="P19" s="1025">
        <f>transport!O54</f>
        <v>0</v>
      </c>
      <c r="Q19" s="1026">
        <f>transport!P54</f>
        <v>0</v>
      </c>
      <c r="R19" s="701">
        <f>SUM(C19:Q19)</f>
        <v>16.180511088600536</v>
      </c>
      <c r="S19" s="67"/>
    </row>
    <row r="20" spans="1:19" s="474" customFormat="1">
      <c r="A20" s="810" t="s">
        <v>307</v>
      </c>
      <c r="B20" s="815"/>
      <c r="C20" s="1025">
        <f>transport!B14</f>
        <v>0.49368446288984413</v>
      </c>
      <c r="D20" s="1025">
        <f>transport!C14</f>
        <v>0</v>
      </c>
      <c r="E20" s="1025">
        <f>transport!D14</f>
        <v>1.2836450526141696</v>
      </c>
      <c r="F20" s="1025">
        <f>transport!E14</f>
        <v>8.1946354532643557</v>
      </c>
      <c r="G20" s="1025">
        <f>transport!F14</f>
        <v>0</v>
      </c>
      <c r="H20" s="1025">
        <f>transport!G14</f>
        <v>2136.1118772989894</v>
      </c>
      <c r="I20" s="1025">
        <f>transport!H14</f>
        <v>485.49538573683066</v>
      </c>
      <c r="J20" s="1025">
        <f>transport!I14</f>
        <v>0</v>
      </c>
      <c r="K20" s="1025">
        <f>transport!J14</f>
        <v>0</v>
      </c>
      <c r="L20" s="1025">
        <f>transport!K14</f>
        <v>0</v>
      </c>
      <c r="M20" s="1025">
        <f>transport!L14</f>
        <v>0</v>
      </c>
      <c r="N20" s="1025">
        <f>transport!M14</f>
        <v>138.50983315987119</v>
      </c>
      <c r="O20" s="1025">
        <f>transport!N14</f>
        <v>0</v>
      </c>
      <c r="P20" s="1025">
        <f>transport!O14</f>
        <v>0</v>
      </c>
      <c r="Q20" s="1026">
        <f>transport!P14</f>
        <v>0</v>
      </c>
      <c r="R20" s="701">
        <f>SUM(C20:Q20)</f>
        <v>2770.0890611644595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0.49368446288984413</v>
      </c>
      <c r="D22" s="813">
        <f t="shared" ref="D22:R22" si="1">SUM(D18:D21)</f>
        <v>0</v>
      </c>
      <c r="E22" s="813">
        <f t="shared" si="1"/>
        <v>1.2836450526141696</v>
      </c>
      <c r="F22" s="813">
        <f t="shared" si="1"/>
        <v>8.1946354532643557</v>
      </c>
      <c r="G22" s="813">
        <f t="shared" si="1"/>
        <v>0</v>
      </c>
      <c r="H22" s="813">
        <f t="shared" si="1"/>
        <v>2151.4194425644632</v>
      </c>
      <c r="I22" s="813">
        <f t="shared" si="1"/>
        <v>485.49538573683066</v>
      </c>
      <c r="J22" s="813">
        <f t="shared" si="1"/>
        <v>0</v>
      </c>
      <c r="K22" s="813">
        <f t="shared" si="1"/>
        <v>0</v>
      </c>
      <c r="L22" s="813">
        <f t="shared" si="1"/>
        <v>0</v>
      </c>
      <c r="M22" s="813">
        <f t="shared" si="1"/>
        <v>0</v>
      </c>
      <c r="N22" s="813">
        <f t="shared" si="1"/>
        <v>139.38277898299785</v>
      </c>
      <c r="O22" s="813">
        <f t="shared" si="1"/>
        <v>0</v>
      </c>
      <c r="P22" s="813">
        <f t="shared" si="1"/>
        <v>0</v>
      </c>
      <c r="Q22" s="813">
        <f t="shared" si="1"/>
        <v>0</v>
      </c>
      <c r="R22" s="813">
        <f t="shared" si="1"/>
        <v>2786.2695722530602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40.307000000000002</v>
      </c>
      <c r="D24" s="1025">
        <f>+landbouw!C8</f>
        <v>0</v>
      </c>
      <c r="E24" s="1025">
        <f>+landbouw!D8</f>
        <v>43.591856000000007</v>
      </c>
      <c r="F24" s="1025">
        <f>+landbouw!E8</f>
        <v>0.37334031612343721</v>
      </c>
      <c r="G24" s="1025">
        <f>+landbouw!F8</f>
        <v>102.26653747562021</v>
      </c>
      <c r="H24" s="1025">
        <f>+landbouw!G8</f>
        <v>0</v>
      </c>
      <c r="I24" s="1025">
        <f>+landbouw!H8</f>
        <v>0</v>
      </c>
      <c r="J24" s="1025">
        <f>+landbouw!I8</f>
        <v>0</v>
      </c>
      <c r="K24" s="1025">
        <f>+landbouw!J8</f>
        <v>6.1795129274328646</v>
      </c>
      <c r="L24" s="1025">
        <f>+landbouw!K8</f>
        <v>0</v>
      </c>
      <c r="M24" s="1025">
        <f>+landbouw!L8</f>
        <v>0</v>
      </c>
      <c r="N24" s="1025">
        <f>+landbouw!M8</f>
        <v>0</v>
      </c>
      <c r="O24" s="1025">
        <f>+landbouw!N8</f>
        <v>0</v>
      </c>
      <c r="P24" s="1025">
        <f>+landbouw!O8</f>
        <v>0</v>
      </c>
      <c r="Q24" s="1026">
        <f>+landbouw!P8</f>
        <v>0</v>
      </c>
      <c r="R24" s="701">
        <f>SUM(C24:Q24)</f>
        <v>192.71824671917651</v>
      </c>
      <c r="S24" s="67"/>
    </row>
    <row r="25" spans="1:19" s="474" customFormat="1" ht="15" thickBot="1">
      <c r="A25" s="832" t="s">
        <v>864</v>
      </c>
      <c r="B25" s="1028"/>
      <c r="C25" s="1029">
        <f>IF(Onbekend_ele_kWh="---",0,Onbekend_ele_kWh)/1000+IF(REST_rest_ele_kWh="---",0,REST_rest_ele_kWh)/1000</f>
        <v>0</v>
      </c>
      <c r="D25" s="1029"/>
      <c r="E25" s="1029">
        <f>IF(onbekend_gas_kWh="---",0,onbekend_gas_kWh)/1000+IF(REST_rest_gas_kWh="---",0,REST_rest_gas_kWh)/1000</f>
        <v>10.333</v>
      </c>
      <c r="F25" s="1029"/>
      <c r="G25" s="1029"/>
      <c r="H25" s="1029"/>
      <c r="I25" s="1029"/>
      <c r="J25" s="1029"/>
      <c r="K25" s="1029"/>
      <c r="L25" s="1029"/>
      <c r="M25" s="1029"/>
      <c r="N25" s="1029"/>
      <c r="O25" s="1029"/>
      <c r="P25" s="1029"/>
      <c r="Q25" s="1030"/>
      <c r="R25" s="701">
        <f>SUM(C25:Q25)</f>
        <v>10.333</v>
      </c>
      <c r="S25" s="67"/>
    </row>
    <row r="26" spans="1:19" s="474" customFormat="1" ht="15.75" thickBot="1">
      <c r="A26" s="706" t="s">
        <v>865</v>
      </c>
      <c r="B26" s="818"/>
      <c r="C26" s="813">
        <f>SUM(C24:C25)</f>
        <v>40.307000000000002</v>
      </c>
      <c r="D26" s="813">
        <f t="shared" ref="D26:R26" si="2">SUM(D24:D25)</f>
        <v>0</v>
      </c>
      <c r="E26" s="813">
        <f t="shared" si="2"/>
        <v>53.924856000000005</v>
      </c>
      <c r="F26" s="813">
        <f t="shared" si="2"/>
        <v>0.37334031612343721</v>
      </c>
      <c r="G26" s="813">
        <f t="shared" si="2"/>
        <v>102.26653747562021</v>
      </c>
      <c r="H26" s="813">
        <f t="shared" si="2"/>
        <v>0</v>
      </c>
      <c r="I26" s="813">
        <f t="shared" si="2"/>
        <v>0</v>
      </c>
      <c r="J26" s="813">
        <f t="shared" si="2"/>
        <v>0</v>
      </c>
      <c r="K26" s="813">
        <f t="shared" si="2"/>
        <v>6.1795129274328646</v>
      </c>
      <c r="L26" s="813">
        <f t="shared" si="2"/>
        <v>0</v>
      </c>
      <c r="M26" s="813">
        <f t="shared" si="2"/>
        <v>0</v>
      </c>
      <c r="N26" s="813">
        <f t="shared" si="2"/>
        <v>0</v>
      </c>
      <c r="O26" s="813">
        <f t="shared" si="2"/>
        <v>0</v>
      </c>
      <c r="P26" s="813">
        <f t="shared" si="2"/>
        <v>0</v>
      </c>
      <c r="Q26" s="813">
        <f t="shared" si="2"/>
        <v>0</v>
      </c>
      <c r="R26" s="813">
        <f t="shared" si="2"/>
        <v>203.0512467191765</v>
      </c>
      <c r="S26" s="67"/>
    </row>
    <row r="27" spans="1:19" s="474" customFormat="1" ht="17.25" thickTop="1" thickBot="1">
      <c r="A27" s="707" t="s">
        <v>116</v>
      </c>
      <c r="B27" s="806"/>
      <c r="C27" s="708">
        <f ca="1">C22+C16+C26</f>
        <v>256.6064892743637</v>
      </c>
      <c r="D27" s="708">
        <f t="shared" ref="D27:R27" ca="1" si="3">D22+D16+D26</f>
        <v>0</v>
      </c>
      <c r="E27" s="708">
        <f t="shared" ca="1" si="3"/>
        <v>401.49892905261424</v>
      </c>
      <c r="F27" s="708">
        <f t="shared" si="3"/>
        <v>9.7596839274138798</v>
      </c>
      <c r="G27" s="708">
        <f t="shared" ca="1" si="3"/>
        <v>475.52885695191191</v>
      </c>
      <c r="H27" s="708">
        <f t="shared" si="3"/>
        <v>2151.4194425644632</v>
      </c>
      <c r="I27" s="708">
        <f t="shared" si="3"/>
        <v>485.49538573683066</v>
      </c>
      <c r="J27" s="708">
        <f t="shared" si="3"/>
        <v>0</v>
      </c>
      <c r="K27" s="708">
        <f t="shared" si="3"/>
        <v>83.635980134699707</v>
      </c>
      <c r="L27" s="708">
        <f t="shared" si="3"/>
        <v>0</v>
      </c>
      <c r="M27" s="708">
        <f t="shared" ca="1" si="3"/>
        <v>0</v>
      </c>
      <c r="N27" s="708">
        <f t="shared" si="3"/>
        <v>139.38277898299785</v>
      </c>
      <c r="O27" s="708">
        <f t="shared" ca="1" si="3"/>
        <v>6.148330102202519</v>
      </c>
      <c r="P27" s="708">
        <f t="shared" si="3"/>
        <v>1.5633333333333335</v>
      </c>
      <c r="Q27" s="708">
        <f t="shared" si="3"/>
        <v>0</v>
      </c>
      <c r="R27" s="708">
        <f t="shared" ca="1" si="3"/>
        <v>4011.0392100608315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8.7642054478814035</v>
      </c>
      <c r="D40" s="1025">
        <f ca="1">tertiair!C20</f>
        <v>0</v>
      </c>
      <c r="E40" s="1025">
        <f ca="1">tertiair!D20</f>
        <v>23.286764424000001</v>
      </c>
      <c r="F40" s="1025">
        <f>tertiair!E20</f>
        <v>6.9094116383058637E-2</v>
      </c>
      <c r="G40" s="1025">
        <f ca="1">tertiair!F20</f>
        <v>1.3250247122474703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33.445088700511931</v>
      </c>
    </row>
    <row r="41" spans="1:18">
      <c r="A41" s="823" t="s">
        <v>225</v>
      </c>
      <c r="B41" s="830"/>
      <c r="C41" s="1025">
        <f ca="1">huishoudens!B12</f>
        <v>30.326954104907998</v>
      </c>
      <c r="D41" s="1025">
        <f ca="1">huishoudens!C12</f>
        <v>0</v>
      </c>
      <c r="E41" s="1025">
        <f>huishoudens!D12</f>
        <v>46.663902032000003</v>
      </c>
      <c r="F41" s="1025">
        <f>huishoudens!E12</f>
        <v>0</v>
      </c>
      <c r="G41" s="1025">
        <f>huishoudens!F12</f>
        <v>97.274505880826041</v>
      </c>
      <c r="H41" s="1025">
        <f>huishoudens!G12</f>
        <v>0</v>
      </c>
      <c r="I41" s="1025">
        <f>huishoudens!H12</f>
        <v>0</v>
      </c>
      <c r="J41" s="1025">
        <f>huishoudens!I12</f>
        <v>0</v>
      </c>
      <c r="K41" s="1025">
        <f>huishoudens!J12</f>
        <v>27.393685458309907</v>
      </c>
      <c r="L41" s="1025">
        <f>huishoudens!K12</f>
        <v>0</v>
      </c>
      <c r="M41" s="1025">
        <f>huishoudens!L12</f>
        <v>0</v>
      </c>
      <c r="N41" s="1025">
        <f>huishoudens!M12</f>
        <v>0</v>
      </c>
      <c r="O41" s="1025">
        <f>huishoudens!N12</f>
        <v>0</v>
      </c>
      <c r="P41" s="1025">
        <f>huishoudens!O12</f>
        <v>0</v>
      </c>
      <c r="Q41" s="775">
        <f>huishoudens!P12</f>
        <v>0</v>
      </c>
      <c r="R41" s="851">
        <f t="shared" ca="1" si="4"/>
        <v>201.65904747604395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3.4372601673363046</v>
      </c>
      <c r="D43" s="1025">
        <f ca="1">industrie!C22</f>
        <v>0</v>
      </c>
      <c r="E43" s="1025">
        <f>industrie!D22</f>
        <v>0</v>
      </c>
      <c r="F43" s="1025">
        <f>industrie!E22</f>
        <v>0.20142363548886283</v>
      </c>
      <c r="G43" s="1025">
        <f>industrie!F22</f>
        <v>1.0615087070963829</v>
      </c>
      <c r="H43" s="1025">
        <f>industrie!G22</f>
        <v>0</v>
      </c>
      <c r="I43" s="1025">
        <f>industrie!H22</f>
        <v>0</v>
      </c>
      <c r="J43" s="1025">
        <f>industrie!I22</f>
        <v>0</v>
      </c>
      <c r="K43" s="1025">
        <f>industrie!J22</f>
        <v>2.5903933062555017E-2</v>
      </c>
      <c r="L43" s="1025">
        <f>industrie!K22</f>
        <v>0</v>
      </c>
      <c r="M43" s="1025">
        <f>industrie!L22</f>
        <v>0</v>
      </c>
      <c r="N43" s="1025">
        <f>industrie!M22</f>
        <v>0</v>
      </c>
      <c r="O43" s="1025">
        <f>industrie!N22</f>
        <v>0</v>
      </c>
      <c r="P43" s="1025">
        <f>industrie!O22</f>
        <v>0</v>
      </c>
      <c r="Q43" s="775">
        <f>industrie!P22</f>
        <v>0</v>
      </c>
      <c r="R43" s="850">
        <f t="shared" ca="1" si="4"/>
        <v>4.7260964429841055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42.528419720125704</v>
      </c>
      <c r="D46" s="733">
        <f t="shared" ref="D46:Q46" ca="1" si="5">SUM(D39:D45)</f>
        <v>0</v>
      </c>
      <c r="E46" s="733">
        <f t="shared" ca="1" si="5"/>
        <v>69.950666456000008</v>
      </c>
      <c r="F46" s="733">
        <f t="shared" si="5"/>
        <v>0.27051775187192145</v>
      </c>
      <c r="G46" s="733">
        <f t="shared" ca="1" si="5"/>
        <v>99.66103930016989</v>
      </c>
      <c r="H46" s="733">
        <f t="shared" si="5"/>
        <v>0</v>
      </c>
      <c r="I46" s="733">
        <f t="shared" si="5"/>
        <v>0</v>
      </c>
      <c r="J46" s="733">
        <f t="shared" si="5"/>
        <v>0</v>
      </c>
      <c r="K46" s="733">
        <f t="shared" si="5"/>
        <v>27.419589391372462</v>
      </c>
      <c r="L46" s="733">
        <f t="shared" si="5"/>
        <v>0</v>
      </c>
      <c r="M46" s="733">
        <f t="shared" ca="1" si="5"/>
        <v>0</v>
      </c>
      <c r="N46" s="733">
        <f t="shared" si="5"/>
        <v>0</v>
      </c>
      <c r="O46" s="733">
        <f t="shared" ca="1" si="5"/>
        <v>0</v>
      </c>
      <c r="P46" s="733">
        <f t="shared" si="5"/>
        <v>0</v>
      </c>
      <c r="Q46" s="733">
        <f t="shared" si="5"/>
        <v>0</v>
      </c>
      <c r="R46" s="733">
        <f ca="1">SUM(R39:R45)</f>
        <v>239.83023261953997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4.0871199258815274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4.0871199258815274</v>
      </c>
    </row>
    <row r="50" spans="1:18">
      <c r="A50" s="826" t="s">
        <v>307</v>
      </c>
      <c r="B50" s="836"/>
      <c r="C50" s="704">
        <f ca="1">transport!B18</f>
        <v>9.728941288407747E-2</v>
      </c>
      <c r="D50" s="704">
        <f>transport!C18</f>
        <v>0</v>
      </c>
      <c r="E50" s="704">
        <f>transport!D18</f>
        <v>0.2592963006280623</v>
      </c>
      <c r="F50" s="704">
        <f>transport!E18</f>
        <v>1.8601822478910088</v>
      </c>
      <c r="G50" s="704">
        <f>transport!F18</f>
        <v>0</v>
      </c>
      <c r="H50" s="704">
        <f>transport!G18</f>
        <v>570.34187123883021</v>
      </c>
      <c r="I50" s="704">
        <f>transport!H18</f>
        <v>120.88835104847084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693.4469902487042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9.728941288407747E-2</v>
      </c>
      <c r="D52" s="733">
        <f t="shared" ref="D52:Q52" ca="1" si="6">SUM(D48:D51)</f>
        <v>0</v>
      </c>
      <c r="E52" s="733">
        <f t="shared" si="6"/>
        <v>0.2592963006280623</v>
      </c>
      <c r="F52" s="733">
        <f t="shared" si="6"/>
        <v>1.8601822478910088</v>
      </c>
      <c r="G52" s="733">
        <f t="shared" si="6"/>
        <v>0</v>
      </c>
      <c r="H52" s="733">
        <f t="shared" si="6"/>
        <v>574.42899116471176</v>
      </c>
      <c r="I52" s="733">
        <f t="shared" si="6"/>
        <v>120.88835104847084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697.53411017458575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7.9432201332888672</v>
      </c>
      <c r="D54" s="704">
        <f ca="1">+landbouw!C12</f>
        <v>0</v>
      </c>
      <c r="E54" s="704">
        <f>+landbouw!D12</f>
        <v>8.8055549120000016</v>
      </c>
      <c r="F54" s="704">
        <f>+landbouw!E12</f>
        <v>8.4748251760020252E-2</v>
      </c>
      <c r="G54" s="704">
        <f>+landbouw!F12</f>
        <v>27.305165505990598</v>
      </c>
      <c r="H54" s="704">
        <f>+landbouw!G12</f>
        <v>0</v>
      </c>
      <c r="I54" s="704">
        <f>+landbouw!H12</f>
        <v>0</v>
      </c>
      <c r="J54" s="704">
        <f>+landbouw!I12</f>
        <v>0</v>
      </c>
      <c r="K54" s="704">
        <f>+landbouw!J12</f>
        <v>2.1875475763112338</v>
      </c>
      <c r="L54" s="704">
        <f>+landbouw!K12</f>
        <v>0</v>
      </c>
      <c r="M54" s="704">
        <f>+landbouw!L12</f>
        <v>0</v>
      </c>
      <c r="N54" s="704">
        <f>+landbouw!M12</f>
        <v>0</v>
      </c>
      <c r="O54" s="704">
        <f>+landbouw!N12</f>
        <v>0</v>
      </c>
      <c r="P54" s="704">
        <f>+landbouw!O12</f>
        <v>0</v>
      </c>
      <c r="Q54" s="705">
        <f>+landbouw!P12</f>
        <v>0</v>
      </c>
      <c r="R54" s="732">
        <f ca="1">SUM(C54:Q54)</f>
        <v>46.326236379350718</v>
      </c>
    </row>
    <row r="55" spans="1:18" ht="15" thickBot="1">
      <c r="A55" s="826" t="s">
        <v>864</v>
      </c>
      <c r="B55" s="836"/>
      <c r="C55" s="704">
        <f ca="1">C25*'EF ele_warmte'!B12</f>
        <v>0</v>
      </c>
      <c r="D55" s="704"/>
      <c r="E55" s="704">
        <f>E25*EF_CO2_aardgas</f>
        <v>2.0872660000000001</v>
      </c>
      <c r="F55" s="704"/>
      <c r="G55" s="704"/>
      <c r="H55" s="704"/>
      <c r="I55" s="704"/>
      <c r="J55" s="704"/>
      <c r="K55" s="704"/>
      <c r="L55" s="704"/>
      <c r="M55" s="704"/>
      <c r="N55" s="704"/>
      <c r="O55" s="704"/>
      <c r="P55" s="704"/>
      <c r="Q55" s="705"/>
      <c r="R55" s="732">
        <f ca="1">SUM(C55:Q55)</f>
        <v>2.0872660000000001</v>
      </c>
    </row>
    <row r="56" spans="1:18" ht="15.75" thickBot="1">
      <c r="A56" s="824" t="s">
        <v>865</v>
      </c>
      <c r="B56" s="837"/>
      <c r="C56" s="733">
        <f ca="1">SUM(C54:C55)</f>
        <v>7.9432201332888672</v>
      </c>
      <c r="D56" s="733">
        <f t="shared" ref="D56:Q56" ca="1" si="7">SUM(D54:D55)</f>
        <v>0</v>
      </c>
      <c r="E56" s="733">
        <f t="shared" si="7"/>
        <v>10.892820912000001</v>
      </c>
      <c r="F56" s="733">
        <f t="shared" si="7"/>
        <v>8.4748251760020252E-2</v>
      </c>
      <c r="G56" s="733">
        <f t="shared" si="7"/>
        <v>27.305165505990598</v>
      </c>
      <c r="H56" s="733">
        <f t="shared" si="7"/>
        <v>0</v>
      </c>
      <c r="I56" s="733">
        <f t="shared" si="7"/>
        <v>0</v>
      </c>
      <c r="J56" s="733">
        <f t="shared" si="7"/>
        <v>0</v>
      </c>
      <c r="K56" s="733">
        <f t="shared" si="7"/>
        <v>2.1875475763112338</v>
      </c>
      <c r="L56" s="733">
        <f t="shared" si="7"/>
        <v>0</v>
      </c>
      <c r="M56" s="733">
        <f t="shared" si="7"/>
        <v>0</v>
      </c>
      <c r="N56" s="733">
        <f t="shared" si="7"/>
        <v>0</v>
      </c>
      <c r="O56" s="733">
        <f t="shared" si="7"/>
        <v>0</v>
      </c>
      <c r="P56" s="733">
        <f t="shared" si="7"/>
        <v>0</v>
      </c>
      <c r="Q56" s="734">
        <f t="shared" si="7"/>
        <v>0</v>
      </c>
      <c r="R56" s="735">
        <f ca="1">SUM(R54:R55)</f>
        <v>48.413502379350717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50.568929266298653</v>
      </c>
      <c r="D61" s="741">
        <f t="shared" ref="D61:Q61" ca="1" si="8">D46+D52+D56</f>
        <v>0</v>
      </c>
      <c r="E61" s="741">
        <f t="shared" ca="1" si="8"/>
        <v>81.102783668628078</v>
      </c>
      <c r="F61" s="741">
        <f t="shared" si="8"/>
        <v>2.2154482515229503</v>
      </c>
      <c r="G61" s="741">
        <f t="shared" ca="1" si="8"/>
        <v>126.96620480616049</v>
      </c>
      <c r="H61" s="741">
        <f t="shared" si="8"/>
        <v>574.42899116471176</v>
      </c>
      <c r="I61" s="741">
        <f t="shared" si="8"/>
        <v>120.88835104847084</v>
      </c>
      <c r="J61" s="741">
        <f t="shared" si="8"/>
        <v>0</v>
      </c>
      <c r="K61" s="741">
        <f t="shared" si="8"/>
        <v>29.607136967683694</v>
      </c>
      <c r="L61" s="741">
        <f t="shared" si="8"/>
        <v>0</v>
      </c>
      <c r="M61" s="741">
        <f t="shared" ca="1" si="8"/>
        <v>0</v>
      </c>
      <c r="N61" s="741">
        <f t="shared" si="8"/>
        <v>0</v>
      </c>
      <c r="O61" s="741">
        <f t="shared" ca="1" si="8"/>
        <v>0</v>
      </c>
      <c r="P61" s="741">
        <f t="shared" si="8"/>
        <v>0</v>
      </c>
      <c r="Q61" s="741">
        <f t="shared" si="8"/>
        <v>0</v>
      </c>
      <c r="R61" s="741">
        <f ca="1">R46+R52+R56</f>
        <v>985.77784517347641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0.19706800638323041</v>
      </c>
      <c r="D63" s="782">
        <f t="shared" ca="1" si="9"/>
        <v>0</v>
      </c>
      <c r="E63" s="1036">
        <f t="shared" ca="1" si="9"/>
        <v>0.20200000000000001</v>
      </c>
      <c r="F63" s="782">
        <f t="shared" si="9"/>
        <v>0.22699999999999995</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27.78780481147389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27.78780481147389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27.78780481147389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27.78780481147389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153.89080481147388</v>
      </c>
      <c r="C4" s="478">
        <f>huishoudens!C8</f>
        <v>0</v>
      </c>
      <c r="D4" s="478">
        <f>huishoudens!D8</f>
        <v>231.00941600000002</v>
      </c>
      <c r="E4" s="478">
        <f>huishoudens!E8</f>
        <v>0</v>
      </c>
      <c r="F4" s="478">
        <f>huishoudens!F8</f>
        <v>364.32399206301886</v>
      </c>
      <c r="G4" s="478">
        <f>huishoudens!G8</f>
        <v>0</v>
      </c>
      <c r="H4" s="478">
        <f>huishoudens!H8</f>
        <v>0</v>
      </c>
      <c r="I4" s="478">
        <f>huishoudens!I8</f>
        <v>0</v>
      </c>
      <c r="J4" s="478">
        <f>huishoudens!J8</f>
        <v>77.383292255112735</v>
      </c>
      <c r="K4" s="478">
        <f>huishoudens!K8</f>
        <v>0</v>
      </c>
      <c r="L4" s="478">
        <f>huishoudens!L8</f>
        <v>0</v>
      </c>
      <c r="M4" s="478">
        <f>huishoudens!M8</f>
        <v>0</v>
      </c>
      <c r="N4" s="478">
        <f>huishoudens!N8</f>
        <v>0</v>
      </c>
      <c r="O4" s="478">
        <f>huishoudens!O8</f>
        <v>1.5633333333333335</v>
      </c>
      <c r="P4" s="479">
        <f>huishoudens!P8</f>
        <v>0</v>
      </c>
      <c r="Q4" s="480">
        <f>SUM(B4:P4)</f>
        <v>828.17083846293883</v>
      </c>
    </row>
    <row r="5" spans="1:17">
      <c r="A5" s="477" t="s">
        <v>156</v>
      </c>
      <c r="B5" s="478">
        <f ca="1">tertiair!B16</f>
        <v>33.665999999999997</v>
      </c>
      <c r="C5" s="478">
        <f ca="1">tertiair!C16</f>
        <v>0</v>
      </c>
      <c r="D5" s="478">
        <f ca="1">tertiair!D16</f>
        <v>115.281012</v>
      </c>
      <c r="E5" s="478">
        <f>tertiair!E16</f>
        <v>0.30437936732624948</v>
      </c>
      <c r="F5" s="478">
        <f ca="1">tertiair!F16</f>
        <v>4.9626393717133714</v>
      </c>
      <c r="G5" s="478">
        <f>tertiair!G16</f>
        <v>0</v>
      </c>
      <c r="H5" s="478">
        <f>tertiair!H16</f>
        <v>0</v>
      </c>
      <c r="I5" s="478">
        <f>tertiair!I16</f>
        <v>0</v>
      </c>
      <c r="J5" s="478">
        <f>tertiair!J16</f>
        <v>0</v>
      </c>
      <c r="K5" s="478">
        <f>tertiair!K16</f>
        <v>0</v>
      </c>
      <c r="L5" s="478">
        <f ca="1">tertiair!L16</f>
        <v>0</v>
      </c>
      <c r="M5" s="478">
        <f>tertiair!M16</f>
        <v>0</v>
      </c>
      <c r="N5" s="478">
        <f ca="1">tertiair!N16</f>
        <v>2.8712594631475232</v>
      </c>
      <c r="O5" s="478">
        <f>tertiair!O16</f>
        <v>0</v>
      </c>
      <c r="P5" s="479">
        <f>tertiair!P16</f>
        <v>0</v>
      </c>
      <c r="Q5" s="477">
        <f t="shared" ref="Q5:Q14" ca="1" si="0">SUM(B5:P5)</f>
        <v>157.08529020218714</v>
      </c>
    </row>
    <row r="6" spans="1:17">
      <c r="A6" s="477" t="s">
        <v>194</v>
      </c>
      <c r="B6" s="478">
        <f>'openbare verlichting'!B8</f>
        <v>10.807</v>
      </c>
      <c r="C6" s="478"/>
      <c r="D6" s="478"/>
      <c r="E6" s="478"/>
      <c r="F6" s="478"/>
      <c r="G6" s="478"/>
      <c r="H6" s="478"/>
      <c r="I6" s="478"/>
      <c r="J6" s="478"/>
      <c r="K6" s="478"/>
      <c r="L6" s="478"/>
      <c r="M6" s="478"/>
      <c r="N6" s="478"/>
      <c r="O6" s="478"/>
      <c r="P6" s="479"/>
      <c r="Q6" s="477">
        <f t="shared" si="0"/>
        <v>10.807</v>
      </c>
    </row>
    <row r="7" spans="1:17">
      <c r="A7" s="477" t="s">
        <v>112</v>
      </c>
      <c r="B7" s="478">
        <f>landbouw!B8</f>
        <v>40.307000000000002</v>
      </c>
      <c r="C7" s="478">
        <f>landbouw!C8</f>
        <v>0</v>
      </c>
      <c r="D7" s="478">
        <f>landbouw!D8</f>
        <v>43.591856000000007</v>
      </c>
      <c r="E7" s="478">
        <f>landbouw!E8</f>
        <v>0.37334031612343721</v>
      </c>
      <c r="F7" s="478">
        <f>landbouw!F8</f>
        <v>102.26653747562021</v>
      </c>
      <c r="G7" s="478">
        <f>landbouw!G8</f>
        <v>0</v>
      </c>
      <c r="H7" s="478">
        <f>landbouw!H8</f>
        <v>0</v>
      </c>
      <c r="I7" s="478">
        <f>landbouw!I8</f>
        <v>0</v>
      </c>
      <c r="J7" s="478">
        <f>landbouw!J8</f>
        <v>6.1795129274328646</v>
      </c>
      <c r="K7" s="478">
        <f>landbouw!K8</f>
        <v>0</v>
      </c>
      <c r="L7" s="478">
        <f>landbouw!L8</f>
        <v>0</v>
      </c>
      <c r="M7" s="478">
        <f>landbouw!M8</f>
        <v>0</v>
      </c>
      <c r="N7" s="478">
        <f>landbouw!N8</f>
        <v>0</v>
      </c>
      <c r="O7" s="478">
        <f>landbouw!O8</f>
        <v>0</v>
      </c>
      <c r="P7" s="479">
        <f>landbouw!P8</f>
        <v>0</v>
      </c>
      <c r="Q7" s="477">
        <f t="shared" si="0"/>
        <v>192.71824671917651</v>
      </c>
    </row>
    <row r="8" spans="1:17">
      <c r="A8" s="477" t="s">
        <v>650</v>
      </c>
      <c r="B8" s="478">
        <f>industrie!B18</f>
        <v>17.442</v>
      </c>
      <c r="C8" s="478">
        <f>industrie!C18</f>
        <v>0</v>
      </c>
      <c r="D8" s="478">
        <f>industrie!D18</f>
        <v>0</v>
      </c>
      <c r="E8" s="478">
        <f>industrie!E18</f>
        <v>0.88732879069983628</v>
      </c>
      <c r="F8" s="478">
        <f>industrie!F18</f>
        <v>3.975688041559486</v>
      </c>
      <c r="G8" s="478">
        <f>industrie!G18</f>
        <v>0</v>
      </c>
      <c r="H8" s="478">
        <f>industrie!H18</f>
        <v>0</v>
      </c>
      <c r="I8" s="478">
        <f>industrie!I18</f>
        <v>0</v>
      </c>
      <c r="J8" s="478">
        <f>industrie!J18</f>
        <v>7.3174952154110226E-2</v>
      </c>
      <c r="K8" s="478">
        <f>industrie!K18</f>
        <v>0</v>
      </c>
      <c r="L8" s="478">
        <f>industrie!L18</f>
        <v>0</v>
      </c>
      <c r="M8" s="478">
        <f>industrie!M18</f>
        <v>0</v>
      </c>
      <c r="N8" s="478">
        <f>industrie!N18</f>
        <v>3.2770706390549957</v>
      </c>
      <c r="O8" s="478">
        <f>industrie!O18</f>
        <v>0</v>
      </c>
      <c r="P8" s="479">
        <f>industrie!P18</f>
        <v>0</v>
      </c>
      <c r="Q8" s="477">
        <f t="shared" si="0"/>
        <v>25.655262423468429</v>
      </c>
    </row>
    <row r="9" spans="1:17" s="483" customFormat="1">
      <c r="A9" s="481" t="s">
        <v>571</v>
      </c>
      <c r="B9" s="482">
        <f>transport!B14</f>
        <v>0.49368446288984413</v>
      </c>
      <c r="C9" s="482">
        <f>transport!C14</f>
        <v>0</v>
      </c>
      <c r="D9" s="482">
        <f>transport!D14</f>
        <v>1.2836450526141696</v>
      </c>
      <c r="E9" s="482">
        <f>transport!E14</f>
        <v>8.1946354532643557</v>
      </c>
      <c r="F9" s="482">
        <f>transport!F14</f>
        <v>0</v>
      </c>
      <c r="G9" s="482">
        <f>transport!G14</f>
        <v>2136.1118772989894</v>
      </c>
      <c r="H9" s="482">
        <f>transport!H14</f>
        <v>485.49538573683066</v>
      </c>
      <c r="I9" s="482">
        <f>transport!I14</f>
        <v>0</v>
      </c>
      <c r="J9" s="482">
        <f>transport!J14</f>
        <v>0</v>
      </c>
      <c r="K9" s="482">
        <f>transport!K14</f>
        <v>0</v>
      </c>
      <c r="L9" s="482">
        <f>transport!L14</f>
        <v>0</v>
      </c>
      <c r="M9" s="482">
        <f>transport!M14</f>
        <v>138.50983315987119</v>
      </c>
      <c r="N9" s="482">
        <f>transport!N14</f>
        <v>0</v>
      </c>
      <c r="O9" s="482">
        <f>transport!O14</f>
        <v>0</v>
      </c>
      <c r="P9" s="482">
        <f>transport!P14</f>
        <v>0</v>
      </c>
      <c r="Q9" s="481">
        <f>SUM(B9:P9)</f>
        <v>2770.0890611644595</v>
      </c>
    </row>
    <row r="10" spans="1:17">
      <c r="A10" s="477" t="s">
        <v>561</v>
      </c>
      <c r="B10" s="478">
        <f>transport!B54</f>
        <v>0</v>
      </c>
      <c r="C10" s="478">
        <f>transport!C54</f>
        <v>0</v>
      </c>
      <c r="D10" s="478">
        <f>transport!D54</f>
        <v>0</v>
      </c>
      <c r="E10" s="478">
        <f>transport!E54</f>
        <v>0</v>
      </c>
      <c r="F10" s="478">
        <f>transport!F54</f>
        <v>0</v>
      </c>
      <c r="G10" s="478">
        <f>transport!G54</f>
        <v>15.307565265473883</v>
      </c>
      <c r="H10" s="478">
        <f>transport!H54</f>
        <v>0</v>
      </c>
      <c r="I10" s="478">
        <f>transport!I54</f>
        <v>0</v>
      </c>
      <c r="J10" s="478">
        <f>transport!J54</f>
        <v>0</v>
      </c>
      <c r="K10" s="478">
        <f>transport!K54</f>
        <v>0</v>
      </c>
      <c r="L10" s="478">
        <f>transport!L54</f>
        <v>0</v>
      </c>
      <c r="M10" s="478">
        <f>transport!M54</f>
        <v>0.87294582312665159</v>
      </c>
      <c r="N10" s="478">
        <f>transport!N54</f>
        <v>0</v>
      </c>
      <c r="O10" s="478">
        <f>transport!O54</f>
        <v>0</v>
      </c>
      <c r="P10" s="479">
        <f>transport!P54</f>
        <v>0</v>
      </c>
      <c r="Q10" s="477">
        <f t="shared" si="0"/>
        <v>16.180511088600536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0</v>
      </c>
      <c r="C14" s="485"/>
      <c r="D14" s="485">
        <f>'SEAP template'!E25</f>
        <v>10.333</v>
      </c>
      <c r="E14" s="485"/>
      <c r="F14" s="485"/>
      <c r="G14" s="485"/>
      <c r="H14" s="485"/>
      <c r="I14" s="485"/>
      <c r="J14" s="485"/>
      <c r="K14" s="485"/>
      <c r="L14" s="485"/>
      <c r="M14" s="485"/>
      <c r="N14" s="485"/>
      <c r="O14" s="485"/>
      <c r="P14" s="486"/>
      <c r="Q14" s="477">
        <f t="shared" si="0"/>
        <v>10.333</v>
      </c>
    </row>
    <row r="15" spans="1:17" s="487" customFormat="1">
      <c r="A15" s="1051" t="s">
        <v>565</v>
      </c>
      <c r="B15" s="991">
        <f ca="1">SUM(B4:B14)</f>
        <v>256.60648927436375</v>
      </c>
      <c r="C15" s="991">
        <f t="shared" ref="C15:Q15" ca="1" si="1">SUM(C4:C14)</f>
        <v>0</v>
      </c>
      <c r="D15" s="991">
        <f t="shared" ca="1" si="1"/>
        <v>401.49892905261424</v>
      </c>
      <c r="E15" s="991">
        <f t="shared" si="1"/>
        <v>9.759683927413878</v>
      </c>
      <c r="F15" s="991">
        <f t="shared" ca="1" si="1"/>
        <v>475.52885695191191</v>
      </c>
      <c r="G15" s="991">
        <f t="shared" si="1"/>
        <v>2151.4194425644632</v>
      </c>
      <c r="H15" s="991">
        <f t="shared" si="1"/>
        <v>485.49538573683066</v>
      </c>
      <c r="I15" s="991">
        <f t="shared" si="1"/>
        <v>0</v>
      </c>
      <c r="J15" s="991">
        <f t="shared" si="1"/>
        <v>83.635980134699707</v>
      </c>
      <c r="K15" s="991">
        <f t="shared" si="1"/>
        <v>0</v>
      </c>
      <c r="L15" s="991">
        <f t="shared" ca="1" si="1"/>
        <v>0</v>
      </c>
      <c r="M15" s="991">
        <f t="shared" si="1"/>
        <v>139.38277898299785</v>
      </c>
      <c r="N15" s="991">
        <f t="shared" ca="1" si="1"/>
        <v>6.148330102202519</v>
      </c>
      <c r="O15" s="991">
        <f t="shared" si="1"/>
        <v>1.5633333333333335</v>
      </c>
      <c r="P15" s="991">
        <f t="shared" si="1"/>
        <v>0</v>
      </c>
      <c r="Q15" s="991">
        <f t="shared" ca="1" si="1"/>
        <v>4011.039210060831</v>
      </c>
    </row>
    <row r="17" spans="1:17">
      <c r="A17" s="488" t="s">
        <v>566</v>
      </c>
      <c r="B17" s="787">
        <f ca="1">huishoudens!B10</f>
        <v>0.19706800638323038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30.326954104907998</v>
      </c>
      <c r="C22" s="478">
        <f t="shared" ref="C22:C32" ca="1" si="3">C4*$C$17</f>
        <v>0</v>
      </c>
      <c r="D22" s="478">
        <f t="shared" ref="D22:D32" si="4">D4*$D$17</f>
        <v>46.663902032000003</v>
      </c>
      <c r="E22" s="478">
        <f t="shared" ref="E22:E32" si="5">E4*$E$17</f>
        <v>0</v>
      </c>
      <c r="F22" s="478">
        <f t="shared" ref="F22:F32" si="6">F4*$F$17</f>
        <v>97.274505880826041</v>
      </c>
      <c r="G22" s="478">
        <f t="shared" ref="G22:G32" si="7">G4*$G$17</f>
        <v>0</v>
      </c>
      <c r="H22" s="478">
        <f t="shared" ref="H22:H32" si="8">H4*$H$17</f>
        <v>0</v>
      </c>
      <c r="I22" s="478">
        <f t="shared" ref="I22:I32" si="9">I4*$I$17</f>
        <v>0</v>
      </c>
      <c r="J22" s="478">
        <f t="shared" ref="J22:J32" si="10">J4*$J$17</f>
        <v>27.393685458309907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201.65904747604395</v>
      </c>
    </row>
    <row r="23" spans="1:17">
      <c r="A23" s="477" t="s">
        <v>156</v>
      </c>
      <c r="B23" s="478">
        <f t="shared" ca="1" si="2"/>
        <v>6.6344915028978333</v>
      </c>
      <c r="C23" s="478">
        <f t="shared" ca="1" si="3"/>
        <v>0</v>
      </c>
      <c r="D23" s="478">
        <f t="shared" ca="1" si="4"/>
        <v>23.286764424000001</v>
      </c>
      <c r="E23" s="478">
        <f t="shared" si="5"/>
        <v>6.9094116383058637E-2</v>
      </c>
      <c r="F23" s="478">
        <f t="shared" ca="1" si="6"/>
        <v>1.3250247122474703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31.315374755528364</v>
      </c>
    </row>
    <row r="24" spans="1:17">
      <c r="A24" s="477" t="s">
        <v>194</v>
      </c>
      <c r="B24" s="478">
        <f t="shared" ca="1" si="2"/>
        <v>2.1297139449835707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2.1297139449835707</v>
      </c>
    </row>
    <row r="25" spans="1:17">
      <c r="A25" s="477" t="s">
        <v>112</v>
      </c>
      <c r="B25" s="478">
        <f t="shared" ca="1" si="2"/>
        <v>7.9432201332888672</v>
      </c>
      <c r="C25" s="478">
        <f t="shared" ca="1" si="3"/>
        <v>0</v>
      </c>
      <c r="D25" s="478">
        <f t="shared" si="4"/>
        <v>8.8055549120000016</v>
      </c>
      <c r="E25" s="478">
        <f t="shared" si="5"/>
        <v>8.4748251760020252E-2</v>
      </c>
      <c r="F25" s="478">
        <f t="shared" si="6"/>
        <v>27.305165505990598</v>
      </c>
      <c r="G25" s="478">
        <f t="shared" si="7"/>
        <v>0</v>
      </c>
      <c r="H25" s="478">
        <f t="shared" si="8"/>
        <v>0</v>
      </c>
      <c r="I25" s="478">
        <f t="shared" si="9"/>
        <v>0</v>
      </c>
      <c r="J25" s="478">
        <f t="shared" si="10"/>
        <v>2.1875475763112338</v>
      </c>
      <c r="K25" s="478">
        <f t="shared" si="11"/>
        <v>0</v>
      </c>
      <c r="L25" s="478">
        <f t="shared" si="12"/>
        <v>0</v>
      </c>
      <c r="M25" s="478">
        <f t="shared" si="13"/>
        <v>0</v>
      </c>
      <c r="N25" s="478">
        <f t="shared" si="14"/>
        <v>0</v>
      </c>
      <c r="O25" s="478">
        <f t="shared" si="15"/>
        <v>0</v>
      </c>
      <c r="P25" s="479">
        <f t="shared" si="16"/>
        <v>0</v>
      </c>
      <c r="Q25" s="477">
        <f t="shared" ca="1" si="17"/>
        <v>46.326236379350718</v>
      </c>
    </row>
    <row r="26" spans="1:17">
      <c r="A26" s="477" t="s">
        <v>650</v>
      </c>
      <c r="B26" s="478">
        <f t="shared" ca="1" si="2"/>
        <v>3.4372601673363046</v>
      </c>
      <c r="C26" s="478">
        <f t="shared" ca="1" si="3"/>
        <v>0</v>
      </c>
      <c r="D26" s="478">
        <f t="shared" si="4"/>
        <v>0</v>
      </c>
      <c r="E26" s="478">
        <f t="shared" si="5"/>
        <v>0.20142363548886283</v>
      </c>
      <c r="F26" s="478">
        <f t="shared" si="6"/>
        <v>1.0615087070963829</v>
      </c>
      <c r="G26" s="478">
        <f t="shared" si="7"/>
        <v>0</v>
      </c>
      <c r="H26" s="478">
        <f t="shared" si="8"/>
        <v>0</v>
      </c>
      <c r="I26" s="478">
        <f t="shared" si="9"/>
        <v>0</v>
      </c>
      <c r="J26" s="478">
        <f t="shared" si="10"/>
        <v>2.5903933062555017E-2</v>
      </c>
      <c r="K26" s="478">
        <f t="shared" si="11"/>
        <v>0</v>
      </c>
      <c r="L26" s="478">
        <f t="shared" si="12"/>
        <v>0</v>
      </c>
      <c r="M26" s="478">
        <f t="shared" si="13"/>
        <v>0</v>
      </c>
      <c r="N26" s="478">
        <f t="shared" si="14"/>
        <v>0</v>
      </c>
      <c r="O26" s="478">
        <f t="shared" si="15"/>
        <v>0</v>
      </c>
      <c r="P26" s="479">
        <f t="shared" si="16"/>
        <v>0</v>
      </c>
      <c r="Q26" s="477">
        <f t="shared" ca="1" si="17"/>
        <v>4.7260964429841055</v>
      </c>
    </row>
    <row r="27" spans="1:17" s="483" customFormat="1">
      <c r="A27" s="481" t="s">
        <v>571</v>
      </c>
      <c r="B27" s="781">
        <f t="shared" ca="1" si="2"/>
        <v>9.728941288407747E-2</v>
      </c>
      <c r="C27" s="482">
        <f t="shared" ca="1" si="3"/>
        <v>0</v>
      </c>
      <c r="D27" s="482">
        <f t="shared" si="4"/>
        <v>0.2592963006280623</v>
      </c>
      <c r="E27" s="482">
        <f t="shared" si="5"/>
        <v>1.8601822478910088</v>
      </c>
      <c r="F27" s="482">
        <f t="shared" si="6"/>
        <v>0</v>
      </c>
      <c r="G27" s="482">
        <f t="shared" si="7"/>
        <v>570.34187123883021</v>
      </c>
      <c r="H27" s="482">
        <f t="shared" si="8"/>
        <v>120.88835104847084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693.4469902487042</v>
      </c>
    </row>
    <row r="28" spans="1:17">
      <c r="A28" s="477" t="s">
        <v>561</v>
      </c>
      <c r="B28" s="478">
        <f t="shared" ca="1" si="2"/>
        <v>0</v>
      </c>
      <c r="C28" s="478">
        <f t="shared" ca="1" si="3"/>
        <v>0</v>
      </c>
      <c r="D28" s="478">
        <f t="shared" si="4"/>
        <v>0</v>
      </c>
      <c r="E28" s="478">
        <f t="shared" si="5"/>
        <v>0</v>
      </c>
      <c r="F28" s="478">
        <f t="shared" si="6"/>
        <v>0</v>
      </c>
      <c r="G28" s="478">
        <f t="shared" si="7"/>
        <v>4.0871199258815274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4.0871199258815274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0</v>
      </c>
      <c r="C32" s="478">
        <f t="shared" ca="1" si="3"/>
        <v>0</v>
      </c>
      <c r="D32" s="478">
        <f t="shared" si="4"/>
        <v>2.0872660000000001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2.0872660000000001</v>
      </c>
    </row>
    <row r="33" spans="1:17" s="487" customFormat="1">
      <c r="A33" s="1051" t="s">
        <v>565</v>
      </c>
      <c r="B33" s="991">
        <f ca="1">SUM(B22:B32)</f>
        <v>50.568929266298653</v>
      </c>
      <c r="C33" s="991">
        <f t="shared" ref="C33:Q33" ca="1" si="18">SUM(C22:C32)</f>
        <v>0</v>
      </c>
      <c r="D33" s="991">
        <f t="shared" ca="1" si="18"/>
        <v>81.102783668628078</v>
      </c>
      <c r="E33" s="991">
        <f t="shared" si="18"/>
        <v>2.2154482515229503</v>
      </c>
      <c r="F33" s="991">
        <f t="shared" ca="1" si="18"/>
        <v>126.96620480616049</v>
      </c>
      <c r="G33" s="991">
        <f t="shared" si="18"/>
        <v>574.42899116471176</v>
      </c>
      <c r="H33" s="991">
        <f t="shared" si="18"/>
        <v>120.88835104847084</v>
      </c>
      <c r="I33" s="991">
        <f t="shared" si="18"/>
        <v>0</v>
      </c>
      <c r="J33" s="991">
        <f t="shared" si="18"/>
        <v>29.607136967683697</v>
      </c>
      <c r="K33" s="991">
        <f t="shared" si="18"/>
        <v>0</v>
      </c>
      <c r="L33" s="991">
        <f t="shared" ca="1" si="18"/>
        <v>0</v>
      </c>
      <c r="M33" s="991">
        <f t="shared" si="18"/>
        <v>0</v>
      </c>
      <c r="N33" s="991">
        <f t="shared" ca="1" si="18"/>
        <v>0</v>
      </c>
      <c r="O33" s="991">
        <f t="shared" si="18"/>
        <v>0</v>
      </c>
      <c r="P33" s="991">
        <f t="shared" si="18"/>
        <v>0</v>
      </c>
      <c r="Q33" s="991">
        <f t="shared" ca="1" si="18"/>
        <v>985.77784517347641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27.78780481147389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27.78780481147389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0.19706800638323038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0.19706800638323038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2019-08-12T08:10:43Z</dcterms:modified>
</cp:coreProperties>
</file>