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<sst xmlns="http://schemas.openxmlformats.org/spreadsheetml/2006/main" count="2419" uniqueCount="907">
  <si>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</si>
  <si>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</si>
  <si>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</si>
  <si>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</si>
  <si>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</si>
  <si>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</si>
  <si>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</si>
  <si>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</si>
  <si>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</si>
  <si>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</si>
  <si>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</si>
  <si>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</si>
  <si>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</si>
  <si>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</si>
  <si>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</si>
  <si>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</si>
  <si>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</si>
  <si>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</si>
  <si>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</si>
  <si>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</si>
  <si>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</si>
  <si>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</si>
  <si>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</si>
  <si>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</si>
  <si>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</si>
  <si>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</si>
  <si>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</si>
  <si>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</si>
  <si>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</si>
  <si>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</si>
  <si>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</si>
  <si>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</si>
  <si>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</si>
  <si>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</si>
  <si>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</si>
  <si>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</si>
  <si>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</si>
  <si>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</si>
  <si>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</si>
  <si>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</si>
  <si>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</si>
  <si>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</si>
  <si>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</si>
  <si>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</si>
  <si>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</si>
  <si>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</si>
  <si>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</si>
  <si>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</si>
  <si>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</si>
  <si>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</si>
  <si>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</si>
  <si>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</si>
  <si>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</si>
  <si>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</si>
  <si>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</si>
  <si>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</si>
  <si>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</si>
  <si>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</si>
  <si>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</si>
  <si>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</si>
  <si>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</si>
  <si>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</si>
  <si>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</si>
  <si>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</si>
  <si>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</si>
  <si>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</si>
  <si>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</si>
  <si>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</si>
  <si>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</si>
  <si>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</si>
  <si>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</si>
  <si>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</si>
  <si>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</si>
  <si>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</si>
  <si>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</si>
  <si>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</si>
  <si>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</si>
  <si>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</si>
  <si>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</si>
  <si>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</si>
  <si>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</si>
  <si>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</si>
  <si>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</si>
  <si>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</si>
  <si>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</si>
  <si>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</si>
  <si>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</si>
  <si>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</si>
  <si>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</si>
  <si>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</si>
  <si>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</si>
  <si>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</si>
  <si>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</si>
  <si>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</si>
  <si>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</si>
  <si>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</si>
  <si>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</si>
  <si>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</si>
  <si>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</si>
  <si>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</si>
  <si>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</si>
  <si>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</si>
  <si>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</si>
  <si>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</si>
  <si>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</si>
  <si>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</si>
  <si>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</si>
  <si>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</si>
  <si>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</si>
  <si>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</si>
  <si>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</si>
  <si>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</si>
  <si>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</si>
  <si>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</si>
  <si>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</si>
  <si>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</si>
  <si>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</si>
  <si>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</si>
  <si>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</si>
  <si>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</si>
  <si>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</si>
  <si>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</si>
  <si>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</si>
  <si>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</si>
  <si>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</si>
  <si>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</si>
  <si>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</si>
  <si>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</si>
  <si>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</si>
  <si>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</si>
  <si>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</si>
  <si>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</si>
  <si>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</si>
  <si>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</si>
  <si>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</si>
  <si>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</si>
  <si>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</si>
  <si>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</si>
  <si>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</si>
  <si>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</si>
  <si>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</si>
  <si>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</si>
  <si>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</si>
  <si>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</si>
  <si>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</si>
  <si>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</si>
  <si>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</si>
  <si>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</si>
  <si>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</si>
  <si>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</si>
  <si>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</si>
  <si>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</si>
  <si>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</si>
  <si>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</si>
  <si>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</si>
  <si>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</si>
  <si>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</si>
  <si>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</si>
  <si>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</si>
  <si>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</si>
  <si>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</si>
  <si>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</si>
  <si>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</si>
  <si>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</si>
  <si>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</si>
  <si>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</si>
  <si>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</si>
  <si>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</si>
  <si>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</si>
  <si>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</si>
  <si>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</si>
  <si>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</si>
  <si>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</si>
  <si>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</si>
  <si>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</si>
  <si>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</si>
  <si>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</si>
  <si>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</si>
  <si>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</si>
  <si>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</si>
  <si>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</si>
  <si>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</si>
  <si>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</si>
  <si>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</si>
  <si>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</si>
  <si>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</si>
  <si>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</si>
  <si>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</si>
  <si>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</si>
  <si>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</si>
  <si>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</si>
  <si>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</si>
  <si>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</si>
  <si>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</si>
  <si>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</si>
  <si>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</si>
  <si>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</si>
  <si>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</si>
  <si>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</si>
  <si>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</si>
  <si>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</si>
  <si>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</si>
  <si>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</si>
  <si>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</si>
  <si>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</si>
  <si>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</si>
  <si>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</si>
  <si>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</si>
  <si>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</si>
  <si>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</si>
  <si>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</si>
  <si>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</si>
  <si>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</si>
  <si>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</si>
  <si>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</si>
  <si>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</si>
  <si>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</si>
  <si>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</si>
  <si>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</si>
  <si>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</si>
  <si>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</si>
  <si>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</si>
  <si>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</si>
  <si>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</si>
  <si>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</si>
  <si>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</si>
  <si>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</si>
  <si>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</si>
  <si>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</si>
  <si>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</si>
  <si>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</si>
  <si>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</si>
  <si>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</si>
  <si>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</si>
  <si>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</si>
  <si>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</si>
  <si>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</si>
  <si>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</si>
  <si>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</si>
  <si>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</si>
  <si>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</si>
  <si>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</si>
  <si>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</si>
  <si>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</si>
  <si>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</si>
  <si>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</si>
  <si>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</si>
  <si>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</si>
  <si>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</si>
  <si>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</si>
  <si>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</si>
  <si>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</si>
  <si>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</si>
  <si>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</si>
  <si>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</si>
  <si>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</si>
  <si>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</si>
  <si>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</si>
  <si>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</si>
  <si>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</si>
  <si>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</si>
  <si>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</si>
  <si>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</si>
  <si>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</si>
  <si>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</si>
  <si>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</si>
  <si>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</si>
  <si>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</si>
  <si>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</si>
  <si>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</si>
  <si>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</si>
  <si>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</si>
  <si>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</si>
  <si>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</si>
  <si>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</si>
  <si>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</si>
  <si>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</si>
  <si>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</si>
  <si>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</si>
  <si>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</si>
  <si>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</si>
  <si>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</si>
  <si>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</si>
  <si>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</si>
  <si>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</si>
  <si>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</si>
  <si>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</si>
  <si>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</si>
  <si>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</si>
  <si>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</si>
  <si>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</si>
  <si>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</si>
  <si>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</si>
  <si>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</si>
  <si>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</si>
  <si>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</si>
  <si>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</si>
  <si>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</si>
  <si>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</si>
  <si>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</si>
  <si>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</si>
  <si>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</si>
  <si>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</si>
  <si>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</si>
  <si>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</si>
  <si>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</si>
  <si>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</si>
  <si>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</si>
  <si>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</si>
  <si>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</si>
  <si>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</si>
  <si>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</si>
  <si>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</si>
  <si>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</si>
  <si>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</si>
  <si>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</si>
  <si>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</si>
  <si>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</si>
  <si>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</si>
  <si>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</si>
  <si>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</si>
  <si>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</si>
  <si>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</si>
  <si>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</si>
  <si>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</si>
  <si>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</si>
  <si>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</si>
  <si>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</si>
  <si>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</si>
  <si>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</si>
  <si>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</si>
  <si>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</si>
  <si>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</si>
  <si>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</si>
  <si>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</si>
  <si>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</si>
  <si>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</si>
  <si>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</si>
  <si>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</si>
  <si>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</si>
  <si>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</si>
  <si>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</si>
  <si>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</si>
  <si>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</si>
  <si>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</si>
  <si>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</si>
  <si>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</si>
  <si>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</si>
  <si>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</si>
  <si>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</si>
  <si>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</si>
  <si>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</si>
  <si>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</si>
  <si>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</si>
  <si>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</si>
  <si>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</si>
  <si>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</si>
  <si>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</si>
  <si>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</si>
  <si>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</si>
  <si>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</si>
  <si>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</si>
  <si>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</si>
  <si>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</si>
  <si>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</si>
  <si>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</si>
  <si>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</si>
  <si>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</si>
  <si>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</si>
  <si>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</si>
  <si>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</si>
  <si>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</si>
  <si>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</si>
  <si>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</si>
  <si>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</si>
  <si>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</si>
  <si>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</si>
  <si>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</si>
  <si>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</si>
  <si>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</si>
  <si>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</si>
  <si>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</si>
  <si>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</si>
  <si>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</si>
  <si>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</si>
  <si>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</si>
  <si>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</si>
  <si>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</si>
  <si>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</si>
  <si>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</si>
  <si>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</si>
  <si>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</si>
  <si>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</si>
  <si>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</si>
  <si>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</si>
  <si>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</si>
  <si>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</si>
  <si>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</si>
  <si>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</si>
  <si>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</si>
  <si>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</si>
  <si>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</si>
  <si>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</si>
  <si>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</si>
  <si>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</si>
  <si>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</si>
  <si>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</si>
  <si>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</si>
  <si>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</si>
  <si>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</si>
  <si>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</si>
  <si>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</si>
  <si>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</si>
  <si>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</si>
  <si>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</si>
  <si>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</si>
  <si>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</si>
  <si>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</si>
  <si>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</si>
  <si>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</si>
  <si>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</si>
  <si>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</si>
  <si>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</si>
  <si>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</si>
  <si>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</si>
  <si>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</si>
  <si>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</si>
  <si>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</si>
  <si>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</si>
  <si>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</si>
  <si>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</si>
  <si>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</si>
  <si>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</si>
  <si>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</si>
  <si>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</si>
  <si>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</si>
  <si>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</si>
  <si>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</si>
  <si>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</si>
  <si>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</si>
  <si>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</si>
  <si>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</si>
  <si>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</si>
  <si>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</si>
  <si>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</si>
  <si>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</si>
  <si>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</si>
  <si>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</si>
  <si>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</si>
  <si>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</si>
  <si>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</si>
  <si>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</si>
  <si>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</si>
  <si>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</si>
  <si>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</si>
  <si>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</si>
  <si>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</si>
  <si>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</si>
  <si>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</si>
  <si>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</si>
  <si>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</si>
  <si>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</si>
  <si>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</si>
  <si>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</si>
  <si>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</si>
  <si>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</si>
  <si>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</si>
  <si>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</si>
  <si>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</si>
  <si>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</si>
  <si>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</si>
  <si>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</si>
  <si>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</si>
  <si>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</si>
  <si>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</si>
  <si>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</si>
  <si>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</si>
  <si>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</si>
  <si>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</si>
  <si>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</si>
  <si>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</si>
  <si>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</si>
  <si>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</si>
  <si>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</si>
  <si>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</si>
  <si>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</si>
  <si>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</si>
  <si>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</si>
  <si>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</si>
  <si>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</si>
  <si>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</si>
  <si>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</si>
  <si>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</si>
  <si>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</si>
  <si>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</si>
  <si>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</si>
  <si>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</si>
  <si>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</si>
  <si>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</si>
  <si>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</si>
  <si>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</si>
  <si>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</si>
  <si>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</si>
  <si>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</si>
  <si>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</si>
  <si>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</si>
  <si>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</si>
  <si>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</si>
  <si>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</si>
  <si>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</si>
  <si>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</si>
  <si>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</si>
  <si>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</si>
  <si>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</si>
  <si>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</si>
  <si>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</si>
  <si>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</si>
  <si>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</si>
  <si>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</si>
  <si>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</si>
  <si>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</si>
  <si>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</si>
  <si>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</si>
  <si>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</si>
  <si>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</si>
  <si>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</si>
  <si>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</si>
  <si>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</si>
  <si>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</si>
  <si>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</si>
  <si>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</si>
  <si>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</si>
  <si>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</si>
  <si>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</si>
  <si>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</si>
  <si>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</si>
  <si>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</si>
  <si>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</si>
  <si>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</si>
  <si>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</si>
  <si>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</si>
  <si>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</si>
  <si>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</si>
  <si>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</si>
  <si>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</si>
  <si>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</si>
  <si>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</si>
  <si>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</si>
  <si>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</si>
  <si>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</si>
  <si>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</si>
  <si>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</si>
  <si>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</si>
  <si>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</si>
  <si>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</si>
  <si>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</si>
  <si>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</si>
  <si>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</si>
  <si>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</si>
  <si>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</si>
  <si>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</si>
  <si>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</si>
  <si>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</si>
  <si>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</si>
  <si>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</si>
  <si>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</si>
  <si>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</si>
  <si>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</si>
  <si>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</si>
  <si>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</si>
  <si>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</si>
  <si>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</si>
  <si>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</si>
  <si>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</si>
  <si>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</si>
  <si>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</si>
  <si>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</si>
  <si>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</si>
  <si>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</si>
  <si>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</si>
  <si>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</si>
  <si>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</si>
  <si>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</si>
  <si>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</si>
  <si>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</si>
  <si>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</si>
  <si>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</si>
  <si>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</si>
  <si>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</si>
  <si>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</si>
  <si>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</si>
  <si>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</si>
  <si>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</si>
  <si>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</si>
  <si>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</si>
  <si>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</si>
  <si>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</si>
  <si>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</si>
  <si>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</si>
  <si>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</si>
  <si>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</si>
  <si>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</si>
  <si>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</si>
  <si>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</si>
  <si>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</si>
  <si>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</si>
  <si>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</si>
  <si>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</si>
  <si>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</si>
  <si>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</si>
  <si>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</si>
  <si>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</si>
  <si>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</si>
  <si>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</si>
  <si>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</si>
  <si>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</si>
  <si>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</si>
  <si>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</si>
  <si>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</si>
  <si>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</si>
  <si>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</si>
  <si>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</si>
  <si>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</si>
  <si>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</si>
  <si>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</si>
  <si>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</si>
  <si>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</si>
  <si>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</si>
  <si>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</si>
  <si>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</si>
  <si>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</si>
  <si>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</si>
  <si>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</si>
  <si>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</si>
  <si>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</si>
  <si>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</si>
  <si>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</si>
  <si>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</si>
  <si>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</si>
  <si>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</si>
  <si>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</si>
  <si>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</si>
  <si>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</si>
  <si>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</si>
  <si>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</si>
  <si>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</si>
  <si>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</si>
  <si>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</si>
  <si>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</si>
  <si>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</si>
  <si>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</si>
  <si>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</si>
  <si>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</si>
  <si>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</si>
  <si>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</si>
  <si>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</si>
  <si>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</si>
  <si>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</si>
  <si>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</si>
  <si>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</si>
  <si>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</si>
  <si>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</si>
  <si>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</si>
  <si>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</si>
  <si>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</si>
  <si>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</si>
  <si>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</si>
  <si>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</si>
  <si>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</si>
  <si>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</si>
  <si>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</si>
  <si>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</si>
  <si>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</si>
  <si>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</si>
  <si>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</si>
  <si>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</si>
  <si>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</si>
  <si>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</si>
  <si>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</si>
  <si>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</si>
  <si>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</si>
  <si>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</si>
  <si>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</si>
  <si>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</si>
  <si>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</si>
  <si>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</si>
  <si>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</si>
  <si>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</si>
  <si>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</si>
  <si>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</si>
  <si>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</si>
  <si>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</si>
  <si>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</si>
  <si>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</si>
  <si>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</si>
  <si>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</si>
  <si>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</si>
  <si>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</si>
  <si>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</si>
  <si>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</si>
  <si>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</si>
  <si>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</si>
  <si>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</si>
  <si>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</si>
  <si>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</si>
  <si>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</si>
  <si>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</si>
  <si>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</si>
  <si>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</si>
  <si>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</si>
  <si>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</si>
  <si>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</si>
  <si>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</si>
  <si>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</si>
  <si>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</si>
  <si>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</si>
  <si>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</si>
  <si>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</si>
  <si>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</si>
  <si>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</si>
  <si>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</si>
  <si>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</si>
  <si>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</si>
  <si>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</si>
  <si>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</si>
  <si>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</si>
  <si>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</si>
  <si>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</si>
  <si>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</si>
  <si>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</si>
  <si>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</si>
  <si>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</si>
  <si>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</si>
  <si>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</si>
  <si>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</si>
  <si>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</si>
  <si>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</si>
  <si>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</si>
  <si>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</si>
  <si>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</si>
  <si>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</si>
  <si>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</si>
  <si>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</si>
  <si>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</si>
  <si>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</si>
  <si>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</si>
  <si>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</si>
  <si>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</si>
  <si>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</si>
  <si>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</si>
  <si>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</si>
  <si>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</si>
  <si>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</si>
  <si>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</si>
  <si>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</si>
  <si>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</si>
  <si>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</si>
  <si>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</si>
  <si>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</si>
  <si>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</si>
  <si>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</si>
  <si>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</si>
  <si>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</si>
  <si>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</si>
  <si>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</si>
  <si>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</si>
  <si>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</si>
  <si>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</si>
  <si>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</si>
  <si>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</si>
  <si>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</si>
  <si>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</si>
  <si>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</si>
  <si>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</si>
  <si>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</si>
  <si>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</si>
  <si>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</si>
  <si>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</si>
  <si>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</si>
  <si>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</si>
  <si>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</si>
  <si>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</si>
  <si>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</si>
  <si>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</si>
  <si>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</si>
  <si>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</si>
  <si>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</si>
  <si>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</si>
  <si>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</si>
  <si>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</si>
  <si>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</si>
  <si>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</si>
  <si>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</si>
  <si>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</si>
  <si>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</si>
  <si>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</si>
  <si>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</si>
  <si>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</si>
  <si>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</si>
  <si>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</si>
  <si>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</si>
  <si>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</si>
  <si>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</si>
  <si>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</si>
  <si>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</si>
  <si>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</si>
  <si>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</si>
  <si>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</si>
  <si>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</si>
  <si>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</si>
  <si>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</si>
  <si>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</si>
  <si>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</si>
  <si>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</si>
  <si>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</si>
  <si>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</si>
  <si>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</si>
  <si>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</si>
  <si>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</si>
  <si>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</si>
  <si>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</si>
  <si>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</si>
  <si>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</si>
  <si>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</si>
  <si>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</si>
  <si>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</si>
  <si>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</si>
  <si>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</si>
  <si>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</si>
  <si>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</si>
  <si>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</si>
  <si>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</si>
  <si>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</si>
  <si>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</si>
  <si>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</si>
  <si>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</si>
  <si>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</si>
  <si>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</si>
  <si>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</si>
  <si>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</si>
  <si>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</si>
  <si>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</si>
  <si>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</si>
  <si>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</si>
  <si>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</si>
  <si>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</si>
  <si>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</si>
  <si>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</si>
  <si>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</si>
  <si>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</si>
  <si>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</si>
  <si>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</si>
  <si>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</si>
  <si>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</si>
  <si>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</si>
  <si>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</si>
  <si>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</si>
  <si>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</si>
  <si>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</si>
  <si>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</si>
  <si>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</si>
  <si>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</si>
  <si>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</si>
  <si>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</si>
  <si>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</si>
  <si>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</si>
  <si>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</si>
  <si>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</si>
  <si>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</si>
  <si>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</si>
  <si>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</si>
  <si>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</si>
  <si>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</si>
  <si>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</si>
  <si>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</si>
  <si>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</si>
  <si>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</si>
  <si>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</si>
  <si>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</si>
  <si>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</si>
  <si>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</si>
  <si>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</si>
  <si>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</si>
  <si>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</si>
  <si>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</si>
  <si>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</si>
  <si>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</si>
  <si>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</si>
  <si>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</si>
  <si>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</si>
  <si>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</si>
  <si>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</si>
  <si>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</si>
  <si>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</si>
  <si>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</si>
  <si>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</si>
  <si>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</si>
  <si>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</si>
  <si>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</si>
  <si>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72037</t>
  </si>
  <si>
    <t>HAMONT-ACHEL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</si>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</sst>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123241.286108125</c:v>
                </c:pt>
                <c:pt idx="1">
                  <c:v>32963.308580593432</c:v>
                </c:pt>
                <c:pt idx="2">
                  <c:v>757.77</c:v>
                </c:pt>
                <c:pt idx="3">
                  <c:v>11829.001155067586</c:v>
                </c:pt>
                <c:pt idx="4">
                  <c:v>72731.77635754607</c:v>
                </c:pt>
                <c:pt idx="5">
                  <c:v>46932.963364338058</c:v>
                </c:pt>
                <c:pt idx="6">
                  <c:v>928.33329920027631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08128"/>
        <c:axId val="143009664"/>
      </c:barChart>
      <c:catAx>
        <c:axId val="143008128"/>
        <c:scaling>
          <c:orientation val="minMax"/>
        </c:scaling>
        <c:axPos val="b"/>
        <c:numFmt formatCode="General" sourceLinked="0"/>
        <c:tickLblPos val="nextTo"/>
        <c:crossAx val="143009664"/>
        <c:crosses val="autoZero"/>
        <c:auto val="1"/>
        <c:lblAlgn val="ctr"/>
        <c:lblOffset val="100"/>
      </c:catAx>
      <c:valAx>
        <c:axId val="143009664"/>
        <c:scaling>
          <c:orientation val="minMax"/>
        </c:scaling>
        <c:axPos val="l"/>
        <c:majorGridlines/>
        <c:numFmt formatCode="#,##0" sourceLinked="1"/>
        <c:tickLblPos val="nextTo"/>
        <c:crossAx val="1430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123241.286108125</c:v>
                </c:pt>
                <c:pt idx="1">
                  <c:v>32963.308580593432</c:v>
                </c:pt>
                <c:pt idx="2">
                  <c:v>757.77</c:v>
                </c:pt>
                <c:pt idx="3">
                  <c:v>11829.001155067586</c:v>
                </c:pt>
                <c:pt idx="4">
                  <c:v>72731.77635754607</c:v>
                </c:pt>
                <c:pt idx="5">
                  <c:v>46932.963364338058</c:v>
                </c:pt>
                <c:pt idx="6">
                  <c:v>928.33329920027631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24190.621554453955</c:v>
                </c:pt>
                <c:pt idx="2">
                  <c:v>6592.2893476509234</c:v>
                </c:pt>
                <c:pt idx="3">
                  <c:v>155.42283240847576</c:v>
                </c:pt>
                <c:pt idx="4">
                  <c:v>2763.4979948375417</c:v>
                </c:pt>
                <c:pt idx="5">
                  <c:v>14992.427190340144</c:v>
                </c:pt>
                <c:pt idx="6">
                  <c:v>11754.678352400992</c:v>
                </c:pt>
                <c:pt idx="7">
                  <c:v>234.49256356888978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0064"/>
        <c:axId val="147165952"/>
      </c:barChart>
      <c:catAx>
        <c:axId val="147160064"/>
        <c:scaling>
          <c:orientation val="minMax"/>
        </c:scaling>
        <c:axPos val="b"/>
        <c:numFmt formatCode="General" sourceLinked="0"/>
        <c:tickLblPos val="nextTo"/>
        <c:crossAx val="147165952"/>
        <c:crosses val="autoZero"/>
        <c:auto val="1"/>
        <c:lblAlgn val="ctr"/>
        <c:lblOffset val="100"/>
      </c:catAx>
      <c:valAx>
        <c:axId val="147165952"/>
        <c:scaling>
          <c:orientation val="minMax"/>
        </c:scaling>
        <c:axPos val="l"/>
        <c:majorGridlines/>
        <c:numFmt formatCode="#,##0" sourceLinked="1"/>
        <c:tickLblPos val="nextTo"/>
        <c:crossAx val="14716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24190.621554453955</c:v>
                </c:pt>
                <c:pt idx="2">
                  <c:v>6592.2893476509234</c:v>
                </c:pt>
                <c:pt idx="3">
                  <c:v>155.42283240847576</c:v>
                </c:pt>
                <c:pt idx="4">
                  <c:v>2763.4979948375417</c:v>
                </c:pt>
                <c:pt idx="5">
                  <c:v>14992.427190340144</c:v>
                </c:pt>
                <c:pt idx="6">
                  <c:v>11754.678352400992</c:v>
                </c:pt>
                <c:pt idx="7">
                  <c:v>234.49256356888978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72037</v>
      </c>
      <c r="B6" s="416"/>
      <c r="C6" s="417"/>
    </row>
    <row r="7" spans="1:7" s="414" customFormat="1" ht="15.75" customHeight="1">
      <c r="A7" s="418" t="str">
        <f>txtMunicipality</f>
        <v>HAMONT-ACHEL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0.20510554971624076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0.20510554971624076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5781</v>
      </c>
      <c r="C9" s="342">
        <v>5821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1861</v>
      </c>
    </row>
    <row r="15" spans="1:6">
      <c r="A15" s="348" t="s">
        <v>184</v>
      </c>
      <c r="B15" s="334">
        <v>24</v>
      </c>
    </row>
    <row r="16" spans="1:6">
      <c r="A16" s="348" t="s">
        <v>6</v>
      </c>
      <c r="B16" s="334">
        <v>1315</v>
      </c>
    </row>
    <row r="17" spans="1:6">
      <c r="A17" s="348" t="s">
        <v>7</v>
      </c>
      <c r="B17" s="334">
        <v>152</v>
      </c>
    </row>
    <row r="18" spans="1:6">
      <c r="A18" s="348" t="s">
        <v>8</v>
      </c>
      <c r="B18" s="334">
        <v>824</v>
      </c>
    </row>
    <row r="19" spans="1:6">
      <c r="A19" s="348" t="s">
        <v>9</v>
      </c>
      <c r="B19" s="334">
        <v>756</v>
      </c>
    </row>
    <row r="20" spans="1:6">
      <c r="A20" s="348" t="s">
        <v>10</v>
      </c>
      <c r="B20" s="334">
        <v>370</v>
      </c>
    </row>
    <row r="21" spans="1:6">
      <c r="A21" s="348" t="s">
        <v>11</v>
      </c>
      <c r="B21" s="334">
        <v>4511</v>
      </c>
    </row>
    <row r="22" spans="1:6">
      <c r="A22" s="348" t="s">
        <v>12</v>
      </c>
      <c r="B22" s="334">
        <v>14706</v>
      </c>
    </row>
    <row r="23" spans="1:6">
      <c r="A23" s="348" t="s">
        <v>13</v>
      </c>
      <c r="B23" s="334">
        <v>195</v>
      </c>
    </row>
    <row r="24" spans="1:6">
      <c r="A24" s="348" t="s">
        <v>14</v>
      </c>
      <c r="B24" s="334">
        <v>12</v>
      </c>
    </row>
    <row r="25" spans="1:6">
      <c r="A25" s="348" t="s">
        <v>15</v>
      </c>
      <c r="B25" s="334">
        <v>1019</v>
      </c>
    </row>
    <row r="26" spans="1:6">
      <c r="A26" s="348" t="s">
        <v>16</v>
      </c>
      <c r="B26" s="334">
        <v>36</v>
      </c>
    </row>
    <row r="27" spans="1:6">
      <c r="A27" s="348" t="s">
        <v>17</v>
      </c>
      <c r="B27" s="334">
        <v>4</v>
      </c>
    </row>
    <row r="28" spans="1:6" s="356" customFormat="1">
      <c r="A28" s="355" t="s">
        <v>18</v>
      </c>
      <c r="B28" s="355">
        <v>362348</v>
      </c>
    </row>
    <row r="29" spans="1:6">
      <c r="A29" s="355" t="s">
        <v>901</v>
      </c>
      <c r="B29" s="355">
        <v>180</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9</v>
      </c>
      <c r="F35" s="334">
        <v>96955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554</v>
      </c>
    </row>
    <row r="39" spans="1:6">
      <c r="A39" s="348" t="s">
        <v>30</v>
      </c>
      <c r="B39" s="348" t="s">
        <v>31</v>
      </c>
      <c r="C39" s="334">
        <v>3881</v>
      </c>
      <c r="D39" s="334">
        <v>70365192</v>
      </c>
      <c r="E39" s="334">
        <v>5776</v>
      </c>
      <c r="F39" s="334">
        <v>23838318</v>
      </c>
    </row>
    <row r="40" spans="1:6">
      <c r="A40" s="348" t="s">
        <v>30</v>
      </c>
      <c r="B40" s="348" t="s">
        <v>29</v>
      </c>
      <c r="C40" s="334">
        <v>0</v>
      </c>
      <c r="D40" s="334">
        <v>0</v>
      </c>
      <c r="E40" s="334">
        <v>0</v>
      </c>
      <c r="F40" s="334">
        <v>0</v>
      </c>
    </row>
    <row r="41" spans="1:6">
      <c r="A41" s="348" t="s">
        <v>32</v>
      </c>
      <c r="B41" s="348" t="s">
        <v>33</v>
      </c>
      <c r="C41" s="334">
        <v>42</v>
      </c>
      <c r="D41" s="334">
        <v>1752904</v>
      </c>
      <c r="E41" s="334">
        <v>88</v>
      </c>
      <c r="F41" s="334">
        <v>4949104</v>
      </c>
    </row>
    <row r="42" spans="1:6">
      <c r="A42" s="348" t="s">
        <v>32</v>
      </c>
      <c r="B42" s="348" t="s">
        <v>34</v>
      </c>
      <c r="C42" s="334">
        <v>0</v>
      </c>
      <c r="D42" s="334">
        <v>0</v>
      </c>
      <c r="E42" s="334">
        <v>3</v>
      </c>
      <c r="F42" s="334">
        <v>342794</v>
      </c>
    </row>
    <row r="43" spans="1:6">
      <c r="A43" s="348" t="s">
        <v>32</v>
      </c>
      <c r="B43" s="348" t="s">
        <v>35</v>
      </c>
      <c r="C43" s="334">
        <v>0</v>
      </c>
      <c r="D43" s="334">
        <v>0</v>
      </c>
      <c r="E43" s="334">
        <v>0</v>
      </c>
      <c r="F43" s="334">
        <v>0</v>
      </c>
    </row>
    <row r="44" spans="1:6">
      <c r="A44" s="348" t="s">
        <v>32</v>
      </c>
      <c r="B44" s="348" t="s">
        <v>36</v>
      </c>
      <c r="C44" s="334">
        <v>20</v>
      </c>
      <c r="D44" s="334">
        <v>4260519</v>
      </c>
      <c r="E44" s="334">
        <v>35</v>
      </c>
      <c r="F44" s="334">
        <v>6856788</v>
      </c>
    </row>
    <row r="45" spans="1:6">
      <c r="A45" s="348" t="s">
        <v>32</v>
      </c>
      <c r="B45" s="348" t="s">
        <v>37</v>
      </c>
      <c r="C45" s="334">
        <v>0</v>
      </c>
      <c r="D45" s="334">
        <v>0</v>
      </c>
      <c r="E45" s="334">
        <v>8</v>
      </c>
      <c r="F45" s="334">
        <v>2003241</v>
      </c>
    </row>
    <row r="46" spans="1:6">
      <c r="A46" s="348" t="s">
        <v>32</v>
      </c>
      <c r="B46" s="348" t="s">
        <v>38</v>
      </c>
      <c r="C46" s="334">
        <v>0</v>
      </c>
      <c r="D46" s="334">
        <v>0</v>
      </c>
      <c r="E46" s="334">
        <v>0</v>
      </c>
      <c r="F46" s="334">
        <v>0</v>
      </c>
    </row>
    <row r="47" spans="1:6">
      <c r="A47" s="348" t="s">
        <v>32</v>
      </c>
      <c r="B47" s="348" t="s">
        <v>39</v>
      </c>
      <c r="C47" s="334">
        <v>0</v>
      </c>
      <c r="D47" s="334">
        <v>0</v>
      </c>
      <c r="E47" s="334">
        <v>3</v>
      </c>
      <c r="F47" s="334">
        <v>570456</v>
      </c>
    </row>
    <row r="48" spans="1:6">
      <c r="A48" s="348" t="s">
        <v>32</v>
      </c>
      <c r="B48" s="348" t="s">
        <v>29</v>
      </c>
      <c r="C48" s="334">
        <v>6</v>
      </c>
      <c r="D48" s="334">
        <v>749304</v>
      </c>
      <c r="E48" s="334">
        <v>0</v>
      </c>
      <c r="F48" s="334">
        <v>0</v>
      </c>
    </row>
    <row r="49" spans="1:6">
      <c r="A49" s="348" t="s">
        <v>32</v>
      </c>
      <c r="B49" s="348" t="s">
        <v>40</v>
      </c>
      <c r="C49" s="334">
        <v>3</v>
      </c>
      <c r="D49" s="334">
        <v>154042</v>
      </c>
      <c r="E49" s="334">
        <v>6</v>
      </c>
      <c r="F49" s="334">
        <v>147858</v>
      </c>
    </row>
    <row r="50" spans="1:6">
      <c r="A50" s="348" t="s">
        <v>32</v>
      </c>
      <c r="B50" s="348" t="s">
        <v>41</v>
      </c>
      <c r="C50" s="334">
        <v>3</v>
      </c>
      <c r="D50" s="334">
        <v>9502750</v>
      </c>
      <c r="E50" s="334">
        <v>6</v>
      </c>
      <c r="F50" s="334">
        <v>9666026</v>
      </c>
    </row>
    <row r="51" spans="1:6">
      <c r="A51" s="348" t="s">
        <v>42</v>
      </c>
      <c r="B51" s="348" t="s">
        <v>43</v>
      </c>
      <c r="C51" s="334">
        <v>27</v>
      </c>
      <c r="D51" s="334">
        <v>5105060</v>
      </c>
      <c r="E51" s="334">
        <v>81</v>
      </c>
      <c r="F51" s="334">
        <v>1952621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757770</v>
      </c>
    </row>
    <row r="55" spans="1:6">
      <c r="A55" s="348" t="s">
        <v>46</v>
      </c>
      <c r="B55" s="348" t="s">
        <v>29</v>
      </c>
      <c r="C55" s="334">
        <v>0</v>
      </c>
      <c r="D55" s="334">
        <v>0</v>
      </c>
      <c r="E55" s="334">
        <v>0</v>
      </c>
      <c r="F55" s="334">
        <v>0</v>
      </c>
    </row>
    <row r="56" spans="1:6">
      <c r="A56" s="348" t="s">
        <v>48</v>
      </c>
      <c r="B56" s="348" t="s">
        <v>29</v>
      </c>
      <c r="C56" s="334">
        <v>40</v>
      </c>
      <c r="D56" s="334">
        <v>945638</v>
      </c>
      <c r="E56" s="334">
        <v>112</v>
      </c>
      <c r="F56" s="334">
        <v>506240</v>
      </c>
    </row>
    <row r="57" spans="1:6">
      <c r="A57" s="348" t="s">
        <v>49</v>
      </c>
      <c r="B57" s="348" t="s">
        <v>50</v>
      </c>
      <c r="C57" s="334">
        <v>35</v>
      </c>
      <c r="D57" s="334">
        <v>1619653</v>
      </c>
      <c r="E57" s="334">
        <v>101</v>
      </c>
      <c r="F57" s="334">
        <v>1711230</v>
      </c>
    </row>
    <row r="58" spans="1:6">
      <c r="A58" s="348" t="s">
        <v>49</v>
      </c>
      <c r="B58" s="348" t="s">
        <v>51</v>
      </c>
      <c r="C58" s="334">
        <v>13</v>
      </c>
      <c r="D58" s="334">
        <v>2109516</v>
      </c>
      <c r="E58" s="334">
        <v>16</v>
      </c>
      <c r="F58" s="334">
        <v>848495</v>
      </c>
    </row>
    <row r="59" spans="1:6">
      <c r="A59" s="348" t="s">
        <v>49</v>
      </c>
      <c r="B59" s="348" t="s">
        <v>52</v>
      </c>
      <c r="C59" s="334">
        <v>86</v>
      </c>
      <c r="D59" s="334">
        <v>3410526</v>
      </c>
      <c r="E59" s="334">
        <v>156</v>
      </c>
      <c r="F59" s="334">
        <v>5687953</v>
      </c>
    </row>
    <row r="60" spans="1:6">
      <c r="A60" s="348" t="s">
        <v>49</v>
      </c>
      <c r="B60" s="348" t="s">
        <v>53</v>
      </c>
      <c r="C60" s="334">
        <v>46</v>
      </c>
      <c r="D60" s="334">
        <v>2113892</v>
      </c>
      <c r="E60" s="334">
        <v>62</v>
      </c>
      <c r="F60" s="334">
        <v>1329651</v>
      </c>
    </row>
    <row r="61" spans="1:6">
      <c r="A61" s="348" t="s">
        <v>49</v>
      </c>
      <c r="B61" s="348" t="s">
        <v>54</v>
      </c>
      <c r="C61" s="334">
        <v>80</v>
      </c>
      <c r="D61" s="334">
        <v>4473901</v>
      </c>
      <c r="E61" s="334">
        <v>207</v>
      </c>
      <c r="F61" s="334">
        <v>5719229</v>
      </c>
    </row>
    <row r="62" spans="1:6">
      <c r="A62" s="348" t="s">
        <v>49</v>
      </c>
      <c r="B62" s="348" t="s">
        <v>55</v>
      </c>
      <c r="C62" s="334">
        <v>9</v>
      </c>
      <c r="D62" s="334">
        <v>1260718</v>
      </c>
      <c r="E62" s="334">
        <v>12</v>
      </c>
      <c r="F62" s="334">
        <v>424768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205237</v>
      </c>
      <c r="E68" s="334">
        <v>6</v>
      </c>
      <c r="F68" s="334">
        <v>146095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38336153</v>
      </c>
      <c r="E73" s="476">
        <v>39746880.133609973</v>
      </c>
    </row>
    <row r="74" spans="1:6">
      <c r="A74" s="348" t="s">
        <v>64</v>
      </c>
      <c r="B74" s="348" t="s">
        <v>714</v>
      </c>
      <c r="C74" s="1311" t="s">
        <v>716</v>
      </c>
      <c r="D74" s="476">
        <v>3206222.5894581075</v>
      </c>
      <c r="E74" s="476">
        <v>3361933.9407122517</v>
      </c>
    </row>
    <row r="75" spans="1:6">
      <c r="A75" s="348" t="s">
        <v>65</v>
      </c>
      <c r="B75" s="348" t="s">
        <v>713</v>
      </c>
      <c r="C75" s="1311" t="s">
        <v>717</v>
      </c>
      <c r="D75" s="476">
        <v>15033393</v>
      </c>
      <c r="E75" s="476">
        <v>15586624.707832834</v>
      </c>
    </row>
    <row r="76" spans="1:6">
      <c r="A76" s="348" t="s">
        <v>65</v>
      </c>
      <c r="B76" s="348" t="s">
        <v>714</v>
      </c>
      <c r="C76" s="1311" t="s">
        <v>718</v>
      </c>
      <c r="D76" s="476">
        <v>630660.58945810725</v>
      </c>
      <c r="E76" s="476">
        <v>666621.53055484977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248072.82108378547</v>
      </c>
      <c r="C83" s="476">
        <v>243843.95049734428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4151.5981321276877</v>
      </c>
    </row>
    <row r="92" spans="1:6">
      <c r="A92" s="341" t="s">
        <v>69</v>
      </c>
      <c r="B92" s="342">
        <v>988.67101767843189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71471.454616326257</v>
      </c>
      <c r="C3" s="43" t="s">
        <v>170</v>
      </c>
      <c r="D3" s="43"/>
      <c r="E3" s="154"/>
      <c r="F3" s="43"/>
      <c r="G3" s="43"/>
      <c r="H3" s="43"/>
      <c r="I3" s="43"/>
      <c r="J3" s="43"/>
      <c r="K3" s="96"/>
    </row>
    <row r="4" spans="1:11">
      <c r="A4" s="384" t="s">
        <v>171</v>
      </c>
      <c r="B4" s="49">
        <f>IF(ISERROR('SEAP template'!B78+'SEAP template'!C78),0,'SEAP template'!B78+'SEAP template'!C78)</f>
        <v>5140.2691498061195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0.20510554971624076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757.77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757.77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0.20510554971624076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155.42283240847576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23838.317999999999</v>
      </c>
      <c r="C5" s="17">
        <f>IF(ISERROR('Eigen informatie GS &amp; warmtenet'!B57),0,'Eigen informatie GS &amp; warmtenet'!B57)</f>
        <v>0</v>
      </c>
      <c r="D5" s="30">
        <f>(SUM(HH_hh_gas_kWh,HH_rest_gas_kWh)/1000)*0.902</f>
        <v>63469.403183999995</v>
      </c>
      <c r="E5" s="17">
        <f>B46*B57</f>
        <v>1923.170022105312</v>
      </c>
      <c r="F5" s="17">
        <f>B51*B62</f>
        <v>19447.023900661141</v>
      </c>
      <c r="G5" s="18"/>
      <c r="H5" s="17"/>
      <c r="I5" s="17"/>
      <c r="J5" s="17">
        <f>B50*B61+C50*C61</f>
        <v>0</v>
      </c>
      <c r="K5" s="17"/>
      <c r="L5" s="17"/>
      <c r="M5" s="17"/>
      <c r="N5" s="17">
        <f>B48*B59+C48*C59</f>
        <v>9897.8628692308685</v>
      </c>
      <c r="O5" s="17">
        <f>B69*B70*B71</f>
        <v>151.64333333333335</v>
      </c>
      <c r="P5" s="17">
        <f>B77*B78*B79/1000-B77*B78*B79/1000/B80</f>
        <v>362.26666666666665</v>
      </c>
    </row>
    <row r="6" spans="1:16">
      <c r="A6" s="16" t="s">
        <v>631</v>
      </c>
      <c r="B6" s="789">
        <f>kWh_PV_kleiner_dan_10kW</f>
        <v>4151.5981321276877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27989.916132127688</v>
      </c>
      <c r="C8" s="21">
        <f>C5</f>
        <v>0</v>
      </c>
      <c r="D8" s="21">
        <f>D5</f>
        <v>63469.403183999995</v>
      </c>
      <c r="E8" s="21">
        <f>E5</f>
        <v>1923.170022105312</v>
      </c>
      <c r="F8" s="21">
        <f>F5</f>
        <v>19447.023900661141</v>
      </c>
      <c r="G8" s="21"/>
      <c r="H8" s="21"/>
      <c r="I8" s="21"/>
      <c r="J8" s="21">
        <f>J5</f>
        <v>0</v>
      </c>
      <c r="K8" s="21"/>
      <c r="L8" s="21">
        <f>L5</f>
        <v>0</v>
      </c>
      <c r="M8" s="21">
        <f>M5</f>
        <v>0</v>
      </c>
      <c r="N8" s="21">
        <f>N5</f>
        <v>9897.8628692308685</v>
      </c>
      <c r="O8" s="21">
        <f>O5</f>
        <v>151.64333333333335</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0.20510554971624076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5740.8871347915247</v>
      </c>
      <c r="C12" s="23">
        <f ca="1">C10*C8</f>
        <v>0</v>
      </c>
      <c r="D12" s="23">
        <f>D8*D10</f>
        <v>12820.819443168</v>
      </c>
      <c r="E12" s="23">
        <f>E10*E8</f>
        <v>436.55959501790585</v>
      </c>
      <c r="F12" s="23">
        <f>F10*F8</f>
        <v>5192.3553814765246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5781</v>
      </c>
      <c r="C28" s="36"/>
      <c r="D28" s="228"/>
    </row>
    <row r="29" spans="1:7" s="15" customFormat="1">
      <c r="A29" s="230" t="s">
        <v>741</v>
      </c>
      <c r="B29" s="37">
        <f>SUM(HH_hh_gas_aantal,HH_rest_gas_aantal)</f>
        <v>3881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3881</v>
      </c>
      <c r="C32" s="167">
        <f>IF(ISERROR(B32/SUM($B$32,$B$34,$B$35,$B$36,$B$38,$B$39)*100),0,B32/SUM($B$32,$B$34,$B$35,$B$36,$B$38,$B$39)*100)</f>
        <v>67.355085039916702</v>
      </c>
      <c r="D32" s="233"/>
      <c r="G32" s="15"/>
    </row>
    <row r="33" spans="1:7">
      <c r="A33" s="171" t="s">
        <v>72</v>
      </c>
      <c r="B33" s="34" t="s">
        <v>111</v>
      </c>
      <c r="C33" s="167"/>
      <c r="D33" s="233"/>
      <c r="G33" s="15"/>
    </row>
    <row r="34" spans="1:7">
      <c r="A34" s="171" t="s">
        <v>73</v>
      </c>
      <c r="B34" s="33">
        <f>IF((($B$28-$B$32-$B$39-$B$77-$B$38)*C20/100)&lt;0,0,($B$28-$B$32-$B$39-$B$77-$B$38)*C20/100)</f>
        <v>128.89451476793249</v>
      </c>
      <c r="C34" s="167">
        <f>IF(ISERROR(B34/SUM($B$32,$B$34,$B$35,$B$36,$B$38,$B$39)*100),0,B34/SUM($B$32,$B$34,$B$35,$B$36,$B$38,$B$39)*100)</f>
        <v>2.2369752649762669</v>
      </c>
      <c r="D34" s="233"/>
      <c r="G34" s="15"/>
    </row>
    <row r="35" spans="1:7">
      <c r="A35" s="171" t="s">
        <v>74</v>
      </c>
      <c r="B35" s="33">
        <f>IF((($B$28-$B$32-$B$39-$B$77-$B$38)*C21/100)&lt;0,0,($B$28-$B$32-$B$39-$B$77-$B$38)*C21/100)</f>
        <v>787.17721518987344</v>
      </c>
      <c r="C35" s="167">
        <f>IF(ISERROR(B35/SUM($B$32,$B$34,$B$35,$B$36,$B$38,$B$39)*100),0,B35/SUM($B$32,$B$34,$B$35,$B$36,$B$38,$B$39)*100)</f>
        <v>13.661527511105056</v>
      </c>
      <c r="D35" s="233"/>
      <c r="G35" s="15"/>
    </row>
    <row r="36" spans="1:7">
      <c r="A36" s="171" t="s">
        <v>75</v>
      </c>
      <c r="B36" s="33">
        <f>IF((($B$28-$B$32-$B$39-$B$77-$B$38)*C22/100)&lt;0,0,($B$28-$B$32-$B$39-$B$77-$B$38)*C22/100)</f>
        <v>174.9282700421941</v>
      </c>
      <c r="C36" s="167">
        <f>IF(ISERROR(B36/SUM($B$32,$B$34,$B$35,$B$36,$B$38,$B$39)*100),0,B36/SUM($B$32,$B$34,$B$35,$B$36,$B$38,$B$39)*100)</f>
        <v>3.0358950024677909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790</v>
      </c>
      <c r="C39" s="167">
        <f>IF(ISERROR(B39/SUM($B$32,$B$34,$B$35,$B$36,$B$38,$B$39)*100),0,B39/SUM($B$32,$B$34,$B$35,$B$36,$B$38,$B$39)*100)</f>
        <v>13.71051718153419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3881</v>
      </c>
      <c r="C44" s="34" t="s">
        <v>111</v>
      </c>
      <c r="D44" s="174"/>
    </row>
    <row r="45" spans="1:7">
      <c r="A45" s="171" t="s">
        <v>72</v>
      </c>
      <c r="B45" s="33" t="str">
        <f t="shared" si="0"/>
        <v>-</v>
      </c>
      <c r="C45" s="34" t="s">
        <v>111</v>
      </c>
      <c r="D45" s="174"/>
    </row>
    <row r="46" spans="1:7">
      <c r="A46" s="171" t="s">
        <v>73</v>
      </c>
      <c r="B46" s="33">
        <f t="shared" si="0"/>
        <v>128.89451476793249</v>
      </c>
      <c r="C46" s="34" t="s">
        <v>111</v>
      </c>
      <c r="D46" s="174"/>
    </row>
    <row r="47" spans="1:7">
      <c r="A47" s="171" t="s">
        <v>74</v>
      </c>
      <c r="B47" s="33">
        <f t="shared" si="0"/>
        <v>787.17721518987344</v>
      </c>
      <c r="C47" s="34" t="s">
        <v>111</v>
      </c>
      <c r="D47" s="174"/>
    </row>
    <row r="48" spans="1:7">
      <c r="A48" s="171" t="s">
        <v>75</v>
      </c>
      <c r="B48" s="33">
        <f t="shared" si="0"/>
        <v>174.9282700421941</v>
      </c>
      <c r="C48" s="33">
        <f>B48*10</f>
        <v>1749.2827004219409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790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15721.326000000001</v>
      </c>
      <c r="C5" s="17">
        <f>IF(ISERROR('Eigen informatie GS &amp; warmtenet'!B58),0,'Eigen informatie GS &amp; warmtenet'!B58)</f>
        <v>0</v>
      </c>
      <c r="D5" s="30">
        <f>SUM(D6:D12)</f>
        <v>13519.361811999999</v>
      </c>
      <c r="E5" s="17">
        <f>SUM(E6:E12)</f>
        <v>140.31138976237892</v>
      </c>
      <c r="F5" s="17">
        <f>SUM(F6:F12)</f>
        <v>2265.9039874630562</v>
      </c>
      <c r="G5" s="18"/>
      <c r="H5" s="17"/>
      <c r="I5" s="17"/>
      <c r="J5" s="17">
        <f>SUM(J6:J12)</f>
        <v>0</v>
      </c>
      <c r="K5" s="17"/>
      <c r="L5" s="17"/>
      <c r="M5" s="17"/>
      <c r="N5" s="17">
        <f>SUM(N6:N12)</f>
        <v>1316.4053913679954</v>
      </c>
      <c r="O5" s="17">
        <f>B38*B39*B40</f>
        <v>0</v>
      </c>
      <c r="P5" s="17">
        <f>B46*B47*B48/1000-B46*B47*B48/1000/B49</f>
        <v>0</v>
      </c>
      <c r="R5" s="32"/>
    </row>
    <row r="6" spans="1:18">
      <c r="A6" s="32" t="s">
        <v>54</v>
      </c>
      <c r="B6" s="37">
        <f>B26</f>
        <v>5719.2290000000003</v>
      </c>
      <c r="C6" s="33"/>
      <c r="D6" s="37">
        <f>IF(ISERROR(TER_kantoor_gas_kWh/1000),0,TER_kantoor_gas_kWh/1000)*0.902</f>
        <v>4035.4587019999999</v>
      </c>
      <c r="E6" s="33">
        <f>$C$26*'E Balans VL '!I12/100/3.6*1000000</f>
        <v>16.569445542876704</v>
      </c>
      <c r="F6" s="33">
        <f>$C$26*('E Balans VL '!L12+'E Balans VL '!N12)/100/3.6*1000000</f>
        <v>647.29071841571465</v>
      </c>
      <c r="G6" s="34"/>
      <c r="H6" s="33"/>
      <c r="I6" s="33"/>
      <c r="J6" s="33">
        <f>$C$26*('E Balans VL '!D12+'E Balans VL '!E12)/100/3.6*1000000</f>
        <v>0</v>
      </c>
      <c r="K6" s="33"/>
      <c r="L6" s="33"/>
      <c r="M6" s="33"/>
      <c r="N6" s="33">
        <f>$C$26*'E Balans VL '!Y12/100/3.6*1000000</f>
        <v>57.245268173917708</v>
      </c>
      <c r="O6" s="33"/>
      <c r="P6" s="33"/>
      <c r="R6" s="32"/>
    </row>
    <row r="7" spans="1:18">
      <c r="A7" s="32" t="s">
        <v>53</v>
      </c>
      <c r="B7" s="37">
        <f t="shared" ref="B7:B12" si="0">B27</f>
        <v>1329.6510000000001</v>
      </c>
      <c r="C7" s="33"/>
      <c r="D7" s="37">
        <f>IF(ISERROR(TER_horeca_gas_kWh/1000),0,TER_horeca_gas_kWh/1000)*0.902</f>
        <v>1906.7305839999999</v>
      </c>
      <c r="E7" s="33">
        <f>$C$27*'E Balans VL '!I9/100/3.6*1000000</f>
        <v>55.81503400852808</v>
      </c>
      <c r="F7" s="33">
        <f>$C$27*('E Balans VL '!L9+'E Balans VL '!N9)/100/3.6*1000000</f>
        <v>285.70278441184729</v>
      </c>
      <c r="G7" s="34"/>
      <c r="H7" s="33"/>
      <c r="I7" s="33"/>
      <c r="J7" s="33">
        <f>$C$27*('E Balans VL '!D9+'E Balans VL '!E9)/100/3.6*1000000</f>
        <v>0</v>
      </c>
      <c r="K7" s="33"/>
      <c r="L7" s="33"/>
      <c r="M7" s="33"/>
      <c r="N7" s="33">
        <f>$C$27*'E Balans VL '!Y9/100/3.6*1000000</f>
        <v>0.34263943448016448</v>
      </c>
      <c r="O7" s="33"/>
      <c r="P7" s="33"/>
      <c r="R7" s="32"/>
    </row>
    <row r="8" spans="1:18">
      <c r="A8" s="6" t="s">
        <v>52</v>
      </c>
      <c r="B8" s="37">
        <f t="shared" si="0"/>
        <v>5687.9530000000004</v>
      </c>
      <c r="C8" s="33"/>
      <c r="D8" s="37">
        <f>IF(ISERROR(TER_handel_gas_kWh/1000),0,TER_handel_gas_kWh/1000)*0.902</f>
        <v>3076.2944520000001</v>
      </c>
      <c r="E8" s="33">
        <f>$C$28*'E Balans VL '!I13/100/3.6*1000000</f>
        <v>61.093349168711896</v>
      </c>
      <c r="F8" s="33">
        <f>$C$28*('E Balans VL '!L13+'E Balans VL '!N13)/100/3.6*1000000</f>
        <v>736.35248599759427</v>
      </c>
      <c r="G8" s="34"/>
      <c r="H8" s="33"/>
      <c r="I8" s="33"/>
      <c r="J8" s="33">
        <f>$C$28*('E Balans VL '!D13+'E Balans VL '!E13)/100/3.6*1000000</f>
        <v>0</v>
      </c>
      <c r="K8" s="33"/>
      <c r="L8" s="33"/>
      <c r="M8" s="33"/>
      <c r="N8" s="33">
        <f>$C$28*'E Balans VL '!Y13/100/3.6*1000000</f>
        <v>46.140985311737495</v>
      </c>
      <c r="O8" s="33"/>
      <c r="P8" s="33"/>
      <c r="R8" s="32"/>
    </row>
    <row r="9" spans="1:18">
      <c r="A9" s="32" t="s">
        <v>51</v>
      </c>
      <c r="B9" s="37">
        <f t="shared" si="0"/>
        <v>848.495</v>
      </c>
      <c r="C9" s="33"/>
      <c r="D9" s="37">
        <f>IF(ISERROR(TER_gezond_gas_kWh/1000),0,TER_gezond_gas_kWh/1000)*0.902</f>
        <v>1902.7834320000002</v>
      </c>
      <c r="E9" s="33">
        <f>$C$29*'E Balans VL '!I10/100/3.6*1000000</f>
        <v>0.675456899186343</v>
      </c>
      <c r="F9" s="33">
        <f>$C$29*('E Balans VL '!L10+'E Balans VL '!N10)/100/3.6*1000000</f>
        <v>103.14682910718044</v>
      </c>
      <c r="G9" s="34"/>
      <c r="H9" s="33"/>
      <c r="I9" s="33"/>
      <c r="J9" s="33">
        <f>$C$29*('E Balans VL '!D10+'E Balans VL '!E10)/100/3.6*1000000</f>
        <v>0</v>
      </c>
      <c r="K9" s="33"/>
      <c r="L9" s="33"/>
      <c r="M9" s="33"/>
      <c r="N9" s="33">
        <f>$C$29*'E Balans VL '!Y10/100/3.6*1000000</f>
        <v>6.8539178160195462</v>
      </c>
      <c r="O9" s="33"/>
      <c r="P9" s="33"/>
      <c r="R9" s="32"/>
    </row>
    <row r="10" spans="1:18">
      <c r="A10" s="32" t="s">
        <v>50</v>
      </c>
      <c r="B10" s="37">
        <f t="shared" si="0"/>
        <v>1711.23</v>
      </c>
      <c r="C10" s="33"/>
      <c r="D10" s="37">
        <f>IF(ISERROR(TER_ander_gas_kWh/1000),0,TER_ander_gas_kWh/1000)*0.902</f>
        <v>1460.9270060000001</v>
      </c>
      <c r="E10" s="33">
        <f>$C$30*'E Balans VL '!I14/100/3.6*1000000</f>
        <v>5.8644751065007297</v>
      </c>
      <c r="F10" s="33">
        <f>$C$30*('E Balans VL '!L14+'E Balans VL '!N14)/100/3.6*1000000</f>
        <v>382.21924580392056</v>
      </c>
      <c r="G10" s="34"/>
      <c r="H10" s="33"/>
      <c r="I10" s="33"/>
      <c r="J10" s="33">
        <f>$C$30*('E Balans VL '!D14+'E Balans VL '!E14)/100/3.6*1000000</f>
        <v>0</v>
      </c>
      <c r="K10" s="33"/>
      <c r="L10" s="33"/>
      <c r="M10" s="33"/>
      <c r="N10" s="33">
        <f>$C$30*'E Balans VL '!Y14/100/3.6*1000000</f>
        <v>1205.3997602667566</v>
      </c>
      <c r="O10" s="33"/>
      <c r="P10" s="33"/>
      <c r="R10" s="32"/>
    </row>
    <row r="11" spans="1:18">
      <c r="A11" s="32" t="s">
        <v>55</v>
      </c>
      <c r="B11" s="37">
        <f t="shared" si="0"/>
        <v>424.76799999999997</v>
      </c>
      <c r="C11" s="33"/>
      <c r="D11" s="37">
        <f>IF(ISERROR(TER_onderwijs_gas_kWh/1000),0,TER_onderwijs_gas_kWh/1000)*0.902</f>
        <v>1137.1676360000001</v>
      </c>
      <c r="E11" s="33">
        <f>$C$31*'E Balans VL '!I11/100/3.6*1000000</f>
        <v>0.29362903657515582</v>
      </c>
      <c r="F11" s="33">
        <f>$C$31*('E Balans VL '!L11+'E Balans VL '!N11)/100/3.6*1000000</f>
        <v>111.19192372679908</v>
      </c>
      <c r="G11" s="34"/>
      <c r="H11" s="33"/>
      <c r="I11" s="33"/>
      <c r="J11" s="33">
        <f>$C$31*('E Balans VL '!D11+'E Balans VL '!E11)/100/3.6*1000000</f>
        <v>0</v>
      </c>
      <c r="K11" s="33"/>
      <c r="L11" s="33"/>
      <c r="M11" s="33"/>
      <c r="N11" s="33">
        <f>$C$31*'E Balans VL '!Y11/100/3.6*1000000</f>
        <v>0.42282036508401433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15721.326000000001</v>
      </c>
      <c r="C16" s="21">
        <f t="shared" ca="1" si="1"/>
        <v>0</v>
      </c>
      <c r="D16" s="21">
        <f t="shared" ca="1" si="1"/>
        <v>13519.361811999999</v>
      </c>
      <c r="E16" s="21">
        <f t="shared" si="1"/>
        <v>140.31138976237892</v>
      </c>
      <c r="F16" s="21">
        <f t="shared" ca="1" si="1"/>
        <v>2265.9039874630562</v>
      </c>
      <c r="G16" s="21">
        <f t="shared" si="1"/>
        <v>0</v>
      </c>
      <c r="H16" s="21">
        <f t="shared" si="1"/>
        <v>0</v>
      </c>
      <c r="I16" s="21">
        <f t="shared" si="1"/>
        <v>0</v>
      </c>
      <c r="J16" s="21">
        <f t="shared" si="1"/>
        <v>0</v>
      </c>
      <c r="K16" s="21">
        <f t="shared" si="1"/>
        <v>0</v>
      </c>
      <c r="L16" s="21">
        <f t="shared" ca="1" si="1"/>
        <v>0</v>
      </c>
      <c r="M16" s="21">
        <f t="shared" si="1"/>
        <v>0</v>
      </c>
      <c r="N16" s="21">
        <f t="shared" ca="1" si="1"/>
        <v>1316.4053913679954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0.20510554971624076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3224.5312114982285</v>
      </c>
      <c r="C20" s="23">
        <f t="shared" ref="C20:P20" ca="1" si="2">C16*C18</f>
        <v>0</v>
      </c>
      <c r="D20" s="23">
        <f t="shared" ca="1" si="2"/>
        <v>2730.9110860239998</v>
      </c>
      <c r="E20" s="23">
        <f t="shared" si="2"/>
        <v>31.850685476060015</v>
      </c>
      <c r="F20" s="23">
        <f t="shared" ca="1" si="2"/>
        <v>604.99636465263609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5719.2290000000003</v>
      </c>
      <c r="C26" s="39">
        <f>IF(ISERROR(B26*3.6/1000000/'E Balans VL '!Z12*100),0,B26*3.6/1000000/'E Balans VL '!Z12*100)</f>
        <v>0.12562947707584055</v>
      </c>
      <c r="D26" s="237" t="s">
        <v>692</v>
      </c>
      <c r="F26" s="6"/>
    </row>
    <row r="27" spans="1:18">
      <c r="A27" s="231" t="s">
        <v>53</v>
      </c>
      <c r="B27" s="33">
        <f>IF(ISERROR(TER_horeca_ele_kWh/1000),0,TER_horeca_ele_kWh/1000)</f>
        <v>1329.6510000000001</v>
      </c>
      <c r="C27" s="39">
        <f>IF(ISERROR(B27*3.6/1000000/'E Balans VL '!Z9*100),0,B27*3.6/1000000/'E Balans VL '!Z9*100)</f>
        <v>0.10685071196771345</v>
      </c>
      <c r="D27" s="237" t="s">
        <v>692</v>
      </c>
      <c r="F27" s="6"/>
    </row>
    <row r="28" spans="1:18">
      <c r="A28" s="171" t="s">
        <v>52</v>
      </c>
      <c r="B28" s="33">
        <f>IF(ISERROR(TER_handel_ele_kWh/1000),0,TER_handel_ele_kWh/1000)</f>
        <v>5687.9530000000004</v>
      </c>
      <c r="C28" s="39">
        <f>IF(ISERROR(B28*3.6/1000000/'E Balans VL '!Z13*100),0,B28*3.6/1000000/'E Balans VL '!Z13*100)</f>
        <v>0.16818879652260041</v>
      </c>
      <c r="D28" s="237" t="s">
        <v>692</v>
      </c>
      <c r="F28" s="6"/>
    </row>
    <row r="29" spans="1:18">
      <c r="A29" s="231" t="s">
        <v>51</v>
      </c>
      <c r="B29" s="33">
        <f>IF(ISERROR(TER_gezond_ele_kWh/1000),0,TER_gezond_ele_kWh/1000)</f>
        <v>848.495</v>
      </c>
      <c r="C29" s="39">
        <f>IF(ISERROR(B29*3.6/1000000/'E Balans VL '!Z10*100),0,B29*3.6/1000000/'E Balans VL '!Z10*100)</f>
        <v>9.5603480290137266E-2</v>
      </c>
      <c r="D29" s="237" t="s">
        <v>692</v>
      </c>
      <c r="F29" s="6"/>
    </row>
    <row r="30" spans="1:18">
      <c r="A30" s="231" t="s">
        <v>50</v>
      </c>
      <c r="B30" s="33">
        <f>IF(ISERROR(TER_ander_ele_kWh/1000),0,TER_ander_ele_kWh/1000)</f>
        <v>1711.23</v>
      </c>
      <c r="C30" s="39">
        <f>IF(ISERROR(B30*3.6/1000000/'E Balans VL '!Z14*100),0,B30*3.6/1000000/'E Balans VL '!Z14*100)</f>
        <v>0.12941739968444715</v>
      </c>
      <c r="D30" s="237" t="s">
        <v>692</v>
      </c>
      <c r="F30" s="6"/>
    </row>
    <row r="31" spans="1:18">
      <c r="A31" s="231" t="s">
        <v>55</v>
      </c>
      <c r="B31" s="33">
        <f>IF(ISERROR(TER_onderwijs_ele_kWh/1000),0,TER_onderwijs_ele_kWh/1000)</f>
        <v>424.76799999999997</v>
      </c>
      <c r="C31" s="39">
        <f>IF(ISERROR(B31*3.6/1000000/'E Balans VL '!Z11*100),0,B31*3.6/1000000/'E Balans VL '!Z11*100)</f>
        <v>8.8171976234198271E-2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24536.267</v>
      </c>
      <c r="C5" s="17">
        <f>IF(ISERROR('Eigen informatie GS &amp; warmtenet'!B59),0,'Eigen informatie GS &amp; warmtenet'!B59)</f>
        <v>0</v>
      </c>
      <c r="D5" s="30">
        <f>SUM(D6:D15)</f>
        <v>14810.406138000002</v>
      </c>
      <c r="E5" s="17">
        <f>SUM(E6:E15)</f>
        <v>1639.8672784208188</v>
      </c>
      <c r="F5" s="17">
        <f>SUM(F6:F15)</f>
        <v>24393.277192265006</v>
      </c>
      <c r="G5" s="18"/>
      <c r="H5" s="17"/>
      <c r="I5" s="17"/>
      <c r="J5" s="17">
        <f>SUM(J6:J15)</f>
        <v>234.3099912666745</v>
      </c>
      <c r="K5" s="17"/>
      <c r="L5" s="17"/>
      <c r="M5" s="17"/>
      <c r="N5" s="17">
        <f>SUM(N6:N15)</f>
        <v>7117.6487575935698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6856.7879999999996</v>
      </c>
      <c r="C8" s="33"/>
      <c r="D8" s="37">
        <f>IF( ISERROR(IND_metaal_Gas_kWH/1000),0,IND_metaal_Gas_kWH/1000)*0.902</f>
        <v>3842.9881380000002</v>
      </c>
      <c r="E8" s="33">
        <f>C30*'E Balans VL '!I18/100/3.6*1000000</f>
        <v>171.60140539612888</v>
      </c>
      <c r="F8" s="33">
        <f>C30*'E Balans VL '!L18/100/3.6*1000000+C30*'E Balans VL '!N18/100/3.6*1000000</f>
        <v>2148.9514666175869</v>
      </c>
      <c r="G8" s="34"/>
      <c r="H8" s="33"/>
      <c r="I8" s="33"/>
      <c r="J8" s="40">
        <f>C30*'E Balans VL '!D18/100/3.6*1000000+C30*'E Balans VL '!E18/100/3.6*1000000</f>
        <v>0</v>
      </c>
      <c r="K8" s="33"/>
      <c r="L8" s="33"/>
      <c r="M8" s="33"/>
      <c r="N8" s="33">
        <f>C30*'E Balans VL '!Y18/100/3.6*1000000</f>
        <v>172.26030947658873</v>
      </c>
      <c r="O8" s="33"/>
      <c r="P8" s="33"/>
      <c r="R8" s="32"/>
    </row>
    <row r="9" spans="1:18">
      <c r="A9" s="6" t="s">
        <v>33</v>
      </c>
      <c r="B9" s="37">
        <f t="shared" si="0"/>
        <v>4949.1040000000003</v>
      </c>
      <c r="C9" s="33"/>
      <c r="D9" s="37">
        <f>IF( ISERROR(IND_andere_gas_kWh/1000),0,IND_andere_gas_kWh/1000)*0.902</f>
        <v>1581.119408</v>
      </c>
      <c r="E9" s="33">
        <f>C31*'E Balans VL '!I19/100/3.6*1000000</f>
        <v>1360.8006122242984</v>
      </c>
      <c r="F9" s="33">
        <f>C31*'E Balans VL '!L19/100/3.6*1000000+C31*'E Balans VL '!N19/100/3.6*1000000</f>
        <v>3900.7551579288288</v>
      </c>
      <c r="G9" s="34"/>
      <c r="H9" s="33"/>
      <c r="I9" s="33"/>
      <c r="J9" s="40">
        <f>C31*'E Balans VL '!D19/100/3.6*1000000+C31*'E Balans VL '!E19/100/3.6*1000000</f>
        <v>0</v>
      </c>
      <c r="K9" s="33"/>
      <c r="L9" s="33"/>
      <c r="M9" s="33"/>
      <c r="N9" s="33">
        <f>C31*'E Balans VL '!Y19/100/3.6*1000000</f>
        <v>1602.1555992853366</v>
      </c>
      <c r="O9" s="33"/>
      <c r="P9" s="33"/>
      <c r="R9" s="32"/>
    </row>
    <row r="10" spans="1:18">
      <c r="A10" s="6" t="s">
        <v>41</v>
      </c>
      <c r="B10" s="37">
        <f t="shared" si="0"/>
        <v>9666.0259999999998</v>
      </c>
      <c r="C10" s="33"/>
      <c r="D10" s="37">
        <f>IF( ISERROR(IND_voed_gas_kWh/1000),0,IND_voed_gas_kWh/1000)*0.902</f>
        <v>8571.4804999999997</v>
      </c>
      <c r="E10" s="33">
        <f>C32*'E Balans VL '!I20/100/3.6*1000000</f>
        <v>98.539810025891754</v>
      </c>
      <c r="F10" s="33">
        <f>C32*'E Balans VL '!L20/100/3.6*1000000+C32*'E Balans VL '!N20/100/3.6*1000000</f>
        <v>18259.062658843162</v>
      </c>
      <c r="G10" s="34"/>
      <c r="H10" s="33"/>
      <c r="I10" s="33"/>
      <c r="J10" s="40">
        <f>C32*'E Balans VL '!D20/100/3.6*1000000+C32*'E Balans VL '!E20/100/3.6*1000000</f>
        <v>231.33962956026173</v>
      </c>
      <c r="K10" s="33"/>
      <c r="L10" s="33"/>
      <c r="M10" s="33"/>
      <c r="N10" s="33">
        <f>C32*'E Balans VL '!Y20/100/3.6*1000000</f>
        <v>5095.1090916673884</v>
      </c>
      <c r="O10" s="33"/>
      <c r="P10" s="33"/>
      <c r="R10" s="32"/>
    </row>
    <row r="11" spans="1:18">
      <c r="A11" s="6" t="s">
        <v>40</v>
      </c>
      <c r="B11" s="37">
        <f t="shared" si="0"/>
        <v>147.858</v>
      </c>
      <c r="C11" s="33"/>
      <c r="D11" s="37">
        <f>IF( ISERROR(IND_textiel_gas_kWh/1000),0,IND_textiel_gas_kWh/1000)*0.902</f>
        <v>138.94588400000001</v>
      </c>
      <c r="E11" s="33">
        <f>C33*'E Balans VL '!I21/100/3.6*1000000</f>
        <v>0.39189603472147566</v>
      </c>
      <c r="F11" s="33">
        <f>C33*'E Balans VL '!L21/100/3.6*1000000+C33*'E Balans VL '!N21/100/3.6*1000000</f>
        <v>6.6034908068844524</v>
      </c>
      <c r="G11" s="34"/>
      <c r="H11" s="33"/>
      <c r="I11" s="33"/>
      <c r="J11" s="40">
        <f>C33*'E Balans VL '!D21/100/3.6*1000000+C33*'E Balans VL '!E21/100/3.6*1000000</f>
        <v>0</v>
      </c>
      <c r="K11" s="33"/>
      <c r="L11" s="33"/>
      <c r="M11" s="33"/>
      <c r="N11" s="33">
        <f>C33*'E Balans VL '!Y21/100/3.6*1000000</f>
        <v>1.3934559548752015</v>
      </c>
      <c r="O11" s="33"/>
      <c r="P11" s="33"/>
      <c r="R11" s="32"/>
    </row>
    <row r="12" spans="1:18">
      <c r="A12" s="6" t="s">
        <v>37</v>
      </c>
      <c r="B12" s="37">
        <f t="shared" si="0"/>
        <v>2003.241</v>
      </c>
      <c r="C12" s="33"/>
      <c r="D12" s="37">
        <f>IF( ISERROR(IND_min_gas_kWh/1000),0,IND_min_gas_kWh/1000)*0.902</f>
        <v>0</v>
      </c>
      <c r="E12" s="33">
        <f>C34*'E Balans VL '!I22/100/3.6*1000000</f>
        <v>6.0669108170584041</v>
      </c>
      <c r="F12" s="33">
        <f>C34*'E Balans VL '!L22/100/3.6*1000000+C34*'E Balans VL '!N22/100/3.6*1000000</f>
        <v>62.603003508614719</v>
      </c>
      <c r="G12" s="34"/>
      <c r="H12" s="33"/>
      <c r="I12" s="33"/>
      <c r="J12" s="40">
        <f>C34*'E Balans VL '!D22/100/3.6*1000000+C34*'E Balans VL '!E22/100/3.6*1000000</f>
        <v>2.9703617064127856</v>
      </c>
      <c r="K12" s="33"/>
      <c r="L12" s="33"/>
      <c r="M12" s="33"/>
      <c r="N12" s="33">
        <f>C34*'E Balans VL '!Y22/100/3.6*1000000</f>
        <v>0</v>
      </c>
      <c r="O12" s="33"/>
      <c r="P12" s="33"/>
      <c r="R12" s="32"/>
    </row>
    <row r="13" spans="1:18">
      <c r="A13" s="6" t="s">
        <v>39</v>
      </c>
      <c r="B13" s="37">
        <f t="shared" si="0"/>
        <v>570.45600000000002</v>
      </c>
      <c r="C13" s="33"/>
      <c r="D13" s="37">
        <f>IF( ISERROR(IND_papier_gas_kWh/1000),0,IND_papier_gas_kWh/1000)*0.902</f>
        <v>0</v>
      </c>
      <c r="E13" s="33">
        <f>C35*'E Balans VL '!I23/100/3.6*1000000</f>
        <v>1.1814528808528195</v>
      </c>
      <c r="F13" s="33">
        <f>C35*'E Balans VL '!L23/100/3.6*1000000+C35*'E Balans VL '!N23/100/3.6*1000000</f>
        <v>11.31336544046215</v>
      </c>
      <c r="G13" s="34"/>
      <c r="H13" s="33"/>
      <c r="I13" s="33"/>
      <c r="J13" s="40">
        <f>C35*'E Balans VL '!D23/100/3.6*1000000+C35*'E Balans VL '!E23/100/3.6*1000000</f>
        <v>0</v>
      </c>
      <c r="K13" s="33"/>
      <c r="L13" s="33"/>
      <c r="M13" s="33"/>
      <c r="N13" s="33">
        <f>C35*'E Balans VL '!Y23/100/3.6*1000000</f>
        <v>240.87383023290883</v>
      </c>
      <c r="O13" s="33"/>
      <c r="P13" s="33"/>
      <c r="R13" s="32"/>
    </row>
    <row r="14" spans="1:18">
      <c r="A14" s="6" t="s">
        <v>34</v>
      </c>
      <c r="B14" s="37">
        <f t="shared" si="0"/>
        <v>342.79399999999998</v>
      </c>
      <c r="C14" s="33"/>
      <c r="D14" s="37">
        <f>IF( ISERROR(IND_chemie_gas_kWh/1000),0,IND_chemie_gas_kWh/1000)*0.902</f>
        <v>0</v>
      </c>
      <c r="E14" s="33">
        <f>C36*'E Balans VL '!I24/100/3.6*1000000</f>
        <v>1.2851910418670456</v>
      </c>
      <c r="F14" s="33">
        <f>C36*'E Balans VL '!L24/100/3.6*1000000+C36*'E Balans VL '!N24/100/3.6*1000000</f>
        <v>3.9880491194681245</v>
      </c>
      <c r="G14" s="34"/>
      <c r="H14" s="33"/>
      <c r="I14" s="33"/>
      <c r="J14" s="40">
        <f>C36*'E Balans VL '!D24/100/3.6*1000000+C36*'E Balans VL '!E24/100/3.6*1000000</f>
        <v>0</v>
      </c>
      <c r="K14" s="33"/>
      <c r="L14" s="33"/>
      <c r="M14" s="33"/>
      <c r="N14" s="33">
        <f>C36*'E Balans VL '!Y24/100/3.6*1000000</f>
        <v>5.8564709764726564</v>
      </c>
      <c r="O14" s="33"/>
      <c r="P14" s="33"/>
      <c r="R14" s="32"/>
    </row>
    <row r="15" spans="1:18">
      <c r="A15" s="6" t="s">
        <v>270</v>
      </c>
      <c r="B15" s="37">
        <f t="shared" si="0"/>
        <v>0</v>
      </c>
      <c r="C15" s="33"/>
      <c r="D15" s="37">
        <f>IF( ISERROR(IND_rest_gas_kWh/1000),0,IND_rest_gas_kWh/1000)*0.902</f>
        <v>675.872208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24536.267</v>
      </c>
      <c r="C18" s="21">
        <f>C5+C16</f>
        <v>0</v>
      </c>
      <c r="D18" s="21">
        <f>MAX((D5+D16),0)</f>
        <v>14810.406138000002</v>
      </c>
      <c r="E18" s="21">
        <f>MAX((E5+E16),0)</f>
        <v>1639.8672784208188</v>
      </c>
      <c r="F18" s="21">
        <f>MAX((F5+F16),0)</f>
        <v>24393.277192265006</v>
      </c>
      <c r="G18" s="21"/>
      <c r="H18" s="21"/>
      <c r="I18" s="21"/>
      <c r="J18" s="21">
        <f>MAX((J5+J16),0)</f>
        <v>234.3099912666745</v>
      </c>
      <c r="K18" s="21"/>
      <c r="L18" s="21">
        <f>MAX((L5+L16),0)</f>
        <v>0</v>
      </c>
      <c r="M18" s="21"/>
      <c r="N18" s="21">
        <f>MAX((N5+N16),0)</f>
        <v>7117.6487575935698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0.20510554971624076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5032.5245310194578</v>
      </c>
      <c r="C22" s="23">
        <f ca="1">C18*C20</f>
        <v>0</v>
      </c>
      <c r="D22" s="23">
        <f>D18*D20</f>
        <v>2991.7020398760005</v>
      </c>
      <c r="E22" s="23">
        <f>E18*E20</f>
        <v>372.24987220152587</v>
      </c>
      <c r="F22" s="23">
        <f>F18*F20</f>
        <v>6513.0050103347567</v>
      </c>
      <c r="G22" s="23"/>
      <c r="H22" s="23"/>
      <c r="I22" s="23"/>
      <c r="J22" s="23">
        <f>J18*J20</f>
        <v>82.945736908402765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6856.7879999999996</v>
      </c>
      <c r="C30" s="39">
        <f>IF(ISERROR(B30*3.6/1000000/'E Balans VL '!Z18*100),0,B30*3.6/1000000/'E Balans VL '!Z18*100)</f>
        <v>0.95972181501553577</v>
      </c>
      <c r="D30" s="237" t="s">
        <v>692</v>
      </c>
    </row>
    <row r="31" spans="1:18">
      <c r="A31" s="6" t="s">
        <v>33</v>
      </c>
      <c r="B31" s="37">
        <f>IF( ISERROR(IND_ander_ele_kWh/1000),0,IND_ander_ele_kWh/1000)</f>
        <v>4949.1040000000003</v>
      </c>
      <c r="C31" s="39">
        <f>IF(ISERROR(B31*3.6/1000000/'E Balans VL '!Z19*100),0,B31*3.6/1000000/'E Balans VL '!Z19*100)</f>
        <v>0.21662147922126557</v>
      </c>
      <c r="D31" s="237" t="s">
        <v>692</v>
      </c>
    </row>
    <row r="32" spans="1:18">
      <c r="A32" s="171" t="s">
        <v>41</v>
      </c>
      <c r="B32" s="37">
        <f>IF( ISERROR(IND_voed_ele_kWh/1000),0,IND_voed_ele_kWh/1000)</f>
        <v>9666.0259999999998</v>
      </c>
      <c r="C32" s="39">
        <f>IF(ISERROR(B32*3.6/1000000/'E Balans VL '!Z20*100),0,B32*3.6/1000000/'E Balans VL '!Z20*100)</f>
        <v>2.3929870447096686</v>
      </c>
      <c r="D32" s="237" t="s">
        <v>692</v>
      </c>
    </row>
    <row r="33" spans="1:5">
      <c r="A33" s="171" t="s">
        <v>40</v>
      </c>
      <c r="B33" s="37">
        <f>IF( ISERROR(IND_textiel_ele_kWh/1000),0,IND_textiel_ele_kWh/1000)</f>
        <v>147.858</v>
      </c>
      <c r="C33" s="39">
        <f>IF(ISERROR(B33*3.6/1000000/'E Balans VL '!Z21*100),0,B33*3.6/1000000/'E Balans VL '!Z21*100)</f>
        <v>1.6660992057334293E-2</v>
      </c>
      <c r="D33" s="237" t="s">
        <v>692</v>
      </c>
    </row>
    <row r="34" spans="1:5">
      <c r="A34" s="171" t="s">
        <v>37</v>
      </c>
      <c r="B34" s="37">
        <f>IF( ISERROR(IND_min_ele_kWh/1000),0,IND_min_ele_kWh/1000)</f>
        <v>2003.241</v>
      </c>
      <c r="C34" s="39">
        <f>IF(ISERROR(B34*3.6/1000000/'E Balans VL '!Z22*100),0,B34*3.6/1000000/'E Balans VL '!Z22*100)</f>
        <v>5.6843806795961828E-2</v>
      </c>
      <c r="D34" s="237" t="s">
        <v>692</v>
      </c>
    </row>
    <row r="35" spans="1:5">
      <c r="A35" s="171" t="s">
        <v>39</v>
      </c>
      <c r="B35" s="37">
        <f>IF( ISERROR(IND_papier_ele_kWh/1000),0,IND_papier_ele_kWh/1000)</f>
        <v>570.45600000000002</v>
      </c>
      <c r="C35" s="39">
        <f>IF(ISERROR(B35*3.6/1000000/'E Balans VL '!Z22*100),0,B35*3.6/1000000/'E Balans VL '!Z22*100)</f>
        <v>1.6187213944601375E-2</v>
      </c>
      <c r="D35" s="237" t="s">
        <v>692</v>
      </c>
    </row>
    <row r="36" spans="1:5">
      <c r="A36" s="171" t="s">
        <v>34</v>
      </c>
      <c r="B36" s="37">
        <f>IF( ISERROR(IND_chemie_ele_kWh/1000),0,IND_chemie_ele_kWh/1000)</f>
        <v>342.79399999999998</v>
      </c>
      <c r="C36" s="39">
        <f>IF(ISERROR(B36*3.6/1000000/'E Balans VL '!Z24*100),0,B36*3.6/1000000/'E Balans VL '!Z24*100)</f>
        <v>8.7407237808622019E-3</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1952.6210000000001</v>
      </c>
      <c r="C5" s="17">
        <f>'Eigen informatie GS &amp; warmtenet'!B60</f>
        <v>0</v>
      </c>
      <c r="D5" s="30">
        <f>IF(ISERROR(SUM(LB_lb_gas_kWh,LB_rest_gas_kWh)/1000),0,SUM(LB_lb_gas_kWh,LB_rest_gas_kWh)/1000)*0.902</f>
        <v>4604.7641200000007</v>
      </c>
      <c r="E5" s="17">
        <f>B17*'E Balans VL '!I25/3.6*1000000/100</f>
        <v>18.085993534851568</v>
      </c>
      <c r="F5" s="17">
        <f>B17*('E Balans VL '!L25/3.6*1000000+'E Balans VL '!N25/3.6*1000000)/100</f>
        <v>4954.1714509187741</v>
      </c>
      <c r="G5" s="18"/>
      <c r="H5" s="17"/>
      <c r="I5" s="17"/>
      <c r="J5" s="17">
        <f>('E Balans VL '!D25+'E Balans VL '!E25)/3.6*1000000*landbouw!B17/100</f>
        <v>299.35859061396008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1952.6210000000001</v>
      </c>
      <c r="C8" s="21">
        <f>C5+C6</f>
        <v>0</v>
      </c>
      <c r="D8" s="21">
        <f>MAX((D5+D6),0)</f>
        <v>4604.7641200000007</v>
      </c>
      <c r="E8" s="21">
        <f>MAX((E5+E6),0)</f>
        <v>18.085993534851568</v>
      </c>
      <c r="F8" s="21">
        <f>MAX((F5+F6),0)</f>
        <v>4954.1714509187741</v>
      </c>
      <c r="G8" s="21"/>
      <c r="H8" s="21"/>
      <c r="I8" s="21"/>
      <c r="J8" s="21">
        <f>MAX((J5+J6),0)</f>
        <v>299.35859061396008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0.20510554971624076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400.49340359247577</v>
      </c>
      <c r="C12" s="23">
        <f ca="1">C8*C10</f>
        <v>0</v>
      </c>
      <c r="D12" s="23">
        <f>D8*D10</f>
        <v>930.16235224000025</v>
      </c>
      <c r="E12" s="23">
        <f>E8*E10</f>
        <v>4.1055205324113064</v>
      </c>
      <c r="F12" s="23">
        <f>F8*F10</f>
        <v>1322.7637773953127</v>
      </c>
      <c r="G12" s="23"/>
      <c r="H12" s="23"/>
      <c r="I12" s="23"/>
      <c r="J12" s="23">
        <f>J8*J10</f>
        <v>105.97294107734186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0.2776213034783781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318.03064279666978</v>
      </c>
      <c r="C26" s="247">
        <f>B26*'GWP N2O_CH4'!B5</f>
        <v>6678.6434987300654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159.18296915907317</v>
      </c>
      <c r="C27" s="247">
        <f>B27*'GWP N2O_CH4'!B5</f>
        <v>3342.8423523405363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4.1395624376111719</v>
      </c>
      <c r="C28" s="247">
        <f>B28*'GWP N2O_CH4'!B4</f>
        <v>1283.2643556594633</v>
      </c>
      <c r="D28" s="50"/>
    </row>
    <row r="29" spans="1:4">
      <c r="A29" s="41" t="s">
        <v>277</v>
      </c>
      <c r="B29" s="247">
        <f>B34*'ha_N2O bodem landbouw'!B4</f>
        <v>12.319423881663832</v>
      </c>
      <c r="C29" s="247">
        <f>B29*'GWP N2O_CH4'!B4</f>
        <v>3819.0214033157881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2.7630297415431396E-3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2.6332143114826086E-5</v>
      </c>
      <c r="C5" s="464" t="s">
        <v>211</v>
      </c>
      <c r="D5" s="449">
        <f>SUM(D6:D11)</f>
        <v>7.4098006623121195E-5</v>
      </c>
      <c r="E5" s="449">
        <f>SUM(E6:E11)</f>
        <v>4.6724609113756277E-4</v>
      </c>
      <c r="F5" s="462" t="s">
        <v>211</v>
      </c>
      <c r="G5" s="449">
        <f>SUM(G6:G11)</f>
        <v>0.13201296554517464</v>
      </c>
      <c r="H5" s="449">
        <f>SUM(H6:H11)</f>
        <v>2.7883320238421966E-2</v>
      </c>
      <c r="I5" s="464" t="s">
        <v>211</v>
      </c>
      <c r="J5" s="464" t="s">
        <v>211</v>
      </c>
      <c r="K5" s="464" t="s">
        <v>211</v>
      </c>
      <c r="L5" s="464" t="s">
        <v>211</v>
      </c>
      <c r="M5" s="449">
        <f>SUM(M6:M11)</f>
        <v>8.4947060871448984E-3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1.8914777114046828E-5</v>
      </c>
      <c r="C6" s="450"/>
      <c r="D6" s="893">
        <f>vkm_2011_GW_PW*SUMIFS(TableVerdeelsleutelVkm[CNG],TableVerdeelsleutelVkm[Voertuigtype],"Lichte voertuigen")*SUMIFS(TableECFTransport[EnergieConsumptieFactor (PJ per km)],TableECFTransport[Index],CONCATENATE($A6,"_CNG_CNG"))</f>
        <v>4.3751961895486522E-5</v>
      </c>
      <c r="E6" s="893">
        <f>vkm_2011_GW_PW*SUMIFS(TableVerdeelsleutelVkm[LPG],TableVerdeelsleutelVkm[Voertuigtype],"Lichte voertuigen")*SUMIFS(TableECFTransport[EnergieConsumptieFactor (PJ per km)],TableECFTransport[Index],CONCATENATE($A6,"_LPG_LPG"))</f>
        <v>2.8488635479369191E-4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5.9183032542242581E-2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1.6682473819749136E-2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3.937026498576161E-3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2.9910351872551123E-2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1.0228797143119106E-5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1.7304833953954287E-3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7.4173660007792583E-6</v>
      </c>
      <c r="C8" s="450"/>
      <c r="D8" s="452">
        <f>vkm_2011_NGW_PW*SUMIFS(TableVerdeelsleutelVkm[CNG],TableVerdeelsleutelVkm[Voertuigtype],"Lichte voertuigen")*SUMIFS(TableECFTransport[EnergieConsumptieFactor (PJ per km)],TableECFTransport[Index],CONCATENATE($A8,"_CNG_CNG"))</f>
        <v>3.0346044727634679E-5</v>
      </c>
      <c r="E8" s="452">
        <f>vkm_2011_NGW_PW*SUMIFS(TableVerdeelsleutelVkm[LPG],TableVerdeelsleutelVkm[Voertuigtype],"Lichte voertuigen")*SUMIFS(TableECFTransport[EnergieConsumptieFactor (PJ per km)],TableECFTransport[Index],CONCATENATE($A8,"_LPG_LPG"))</f>
        <v>1.8235973634387085E-4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3.5413992899760452E-2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1.1188188900608513E-2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2.3929596204652391E-3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7.5055882306204842E-3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2.4287209211978179E-6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4.3423657270806875E-4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7.3144841985628011</v>
      </c>
      <c r="C14" s="21"/>
      <c r="D14" s="21">
        <f t="shared" ref="D14:M14" si="0">((D5)*10^9/3600)+D12</f>
        <v>20.582779617533667</v>
      </c>
      <c r="E14" s="21">
        <f t="shared" si="0"/>
        <v>129.79058087154522</v>
      </c>
      <c r="F14" s="21"/>
      <c r="G14" s="21">
        <f t="shared" si="0"/>
        <v>36670.268206992958</v>
      </c>
      <c r="H14" s="21">
        <f t="shared" si="0"/>
        <v>7745.3667328949905</v>
      </c>
      <c r="I14" s="21"/>
      <c r="J14" s="21"/>
      <c r="K14" s="21"/>
      <c r="L14" s="21"/>
      <c r="M14" s="21">
        <f t="shared" si="0"/>
        <v>2359.6405797624716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0.20510554971624076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1.5002413024369801</v>
      </c>
      <c r="C18" s="23"/>
      <c r="D18" s="23">
        <f t="shared" ref="D18:M18" si="1">D14*D16</f>
        <v>4.1577214827418008</v>
      </c>
      <c r="E18" s="23">
        <f t="shared" si="1"/>
        <v>29.462461857840765</v>
      </c>
      <c r="F18" s="23"/>
      <c r="G18" s="23">
        <f t="shared" si="1"/>
        <v>9790.961611267121</v>
      </c>
      <c r="H18" s="23">
        <f t="shared" si="1"/>
        <v>1928.5963164908526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3.1616974863221091E-3</v>
      </c>
      <c r="H50" s="321">
        <f t="shared" si="2"/>
        <v>0</v>
      </c>
      <c r="I50" s="321">
        <f t="shared" si="2"/>
        <v>0</v>
      </c>
      <c r="J50" s="321">
        <f t="shared" si="2"/>
        <v>0</v>
      </c>
      <c r="K50" s="321">
        <f t="shared" si="2"/>
        <v>0</v>
      </c>
      <c r="L50" s="321">
        <f t="shared" si="2"/>
        <v>0</v>
      </c>
      <c r="M50" s="321">
        <f t="shared" si="2"/>
        <v>1.8030239079888554E-4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3.1616974863221091E-3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1.8030239079888554E-4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878.24930175614145</v>
      </c>
      <c r="H54" s="21">
        <f t="shared" si="3"/>
        <v>0</v>
      </c>
      <c r="I54" s="21">
        <f t="shared" si="3"/>
        <v>0</v>
      </c>
      <c r="J54" s="21">
        <f t="shared" si="3"/>
        <v>0</v>
      </c>
      <c r="K54" s="21">
        <f t="shared" si="3"/>
        <v>0</v>
      </c>
      <c r="L54" s="21">
        <f t="shared" si="3"/>
        <v>0</v>
      </c>
      <c r="M54" s="21">
        <f t="shared" si="3"/>
        <v>50.083997444134873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0.20510554971624076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234.49256356888978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16479.096000000001</v>
      </c>
      <c r="D10" s="1025">
        <f ca="1">tertiair!C16</f>
        <v>0</v>
      </c>
      <c r="E10" s="1025">
        <f ca="1">tertiair!D16</f>
        <v>13519.361811999999</v>
      </c>
      <c r="F10" s="1025">
        <f>tertiair!E16</f>
        <v>140.31138976237892</v>
      </c>
      <c r="G10" s="1025">
        <f ca="1">tertiair!F16</f>
        <v>2265.9039874630562</v>
      </c>
      <c r="H10" s="1025">
        <f>tertiair!G16</f>
        <v>0</v>
      </c>
      <c r="I10" s="1025">
        <f>tertiair!H16</f>
        <v>0</v>
      </c>
      <c r="J10" s="1025">
        <f>tertiair!I16</f>
        <v>0</v>
      </c>
      <c r="K10" s="1025">
        <f>tertiair!J16</f>
        <v>0</v>
      </c>
      <c r="L10" s="1025">
        <f>tertiair!K16</f>
        <v>0</v>
      </c>
      <c r="M10" s="1025">
        <f ca="1">tertiair!L16</f>
        <v>0</v>
      </c>
      <c r="N10" s="1025">
        <f>tertiair!M16</f>
        <v>0</v>
      </c>
      <c r="O10" s="1025">
        <f ca="1">tertiair!N16</f>
        <v>1316.4053913679954</v>
      </c>
      <c r="P10" s="1025">
        <f>tertiair!O16</f>
        <v>0</v>
      </c>
      <c r="Q10" s="1026">
        <f>tertiair!P16</f>
        <v>0</v>
      </c>
      <c r="R10" s="701">
        <f ca="1">SUM(C10:Q10)</f>
        <v>33721.078580593436</v>
      </c>
      <c r="S10" s="67"/>
    </row>
    <row r="11" spans="1:19" s="474" customFormat="1">
      <c r="A11" s="810" t="s">
        <v>225</v>
      </c>
      <c r="B11" s="815"/>
      <c r="C11" s="1025">
        <f>huishoudens!B8</f>
        <v>27989.916132127688</v>
      </c>
      <c r="D11" s="1025">
        <f>huishoudens!C8</f>
        <v>0</v>
      </c>
      <c r="E11" s="1025">
        <f>huishoudens!D8</f>
        <v>63469.403183999995</v>
      </c>
      <c r="F11" s="1025">
        <f>huishoudens!E8</f>
        <v>1923.170022105312</v>
      </c>
      <c r="G11" s="1025">
        <f>huishoudens!F8</f>
        <v>19447.023900661141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9897.8628692308685</v>
      </c>
      <c r="P11" s="1025">
        <f>huishoudens!O8</f>
        <v>151.64333333333335</v>
      </c>
      <c r="Q11" s="1026">
        <f>huishoudens!P8</f>
        <v>362.26666666666665</v>
      </c>
      <c r="R11" s="701">
        <f>SUM(C11:Q11)</f>
        <v>123241.286108125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24536.267</v>
      </c>
      <c r="D13" s="1025">
        <f>industrie!C18</f>
        <v>0</v>
      </c>
      <c r="E13" s="1025">
        <f>industrie!D18</f>
        <v>14810.406138000002</v>
      </c>
      <c r="F13" s="1025">
        <f>industrie!E18</f>
        <v>1639.8672784208188</v>
      </c>
      <c r="G13" s="1025">
        <f>industrie!F18</f>
        <v>24393.277192265006</v>
      </c>
      <c r="H13" s="1025">
        <f>industrie!G18</f>
        <v>0</v>
      </c>
      <c r="I13" s="1025">
        <f>industrie!H18</f>
        <v>0</v>
      </c>
      <c r="J13" s="1025">
        <f>industrie!I18</f>
        <v>0</v>
      </c>
      <c r="K13" s="1025">
        <f>industrie!J18</f>
        <v>234.3099912666745</v>
      </c>
      <c r="L13" s="1025">
        <f>industrie!K18</f>
        <v>0</v>
      </c>
      <c r="M13" s="1025">
        <f>industrie!L18</f>
        <v>0</v>
      </c>
      <c r="N13" s="1025">
        <f>industrie!M18</f>
        <v>0</v>
      </c>
      <c r="O13" s="1025">
        <f>industrie!N18</f>
        <v>7117.6487575935698</v>
      </c>
      <c r="P13" s="1025">
        <f>industrie!O18</f>
        <v>0</v>
      </c>
      <c r="Q13" s="1026">
        <f>industrie!P18</f>
        <v>0</v>
      </c>
      <c r="R13" s="701">
        <f>SUM(C13:Q13)</f>
        <v>72731.77635754607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69005.279132127689</v>
      </c>
      <c r="D16" s="733">
        <f t="shared" ref="D16:R16" ca="1" si="0">SUM(D9:D15)</f>
        <v>0</v>
      </c>
      <c r="E16" s="733">
        <f t="shared" ca="1" si="0"/>
        <v>91799.171134000004</v>
      </c>
      <c r="F16" s="733">
        <f t="shared" si="0"/>
        <v>3703.3486902885097</v>
      </c>
      <c r="G16" s="733">
        <f t="shared" ca="1" si="0"/>
        <v>46106.205080389205</v>
      </c>
      <c r="H16" s="733">
        <f t="shared" si="0"/>
        <v>0</v>
      </c>
      <c r="I16" s="733">
        <f t="shared" si="0"/>
        <v>0</v>
      </c>
      <c r="J16" s="733">
        <f t="shared" si="0"/>
        <v>0</v>
      </c>
      <c r="K16" s="733">
        <f t="shared" si="0"/>
        <v>234.3099912666745</v>
      </c>
      <c r="L16" s="733">
        <f t="shared" si="0"/>
        <v>0</v>
      </c>
      <c r="M16" s="733">
        <f t="shared" ca="1" si="0"/>
        <v>0</v>
      </c>
      <c r="N16" s="733">
        <f t="shared" si="0"/>
        <v>0</v>
      </c>
      <c r="O16" s="733">
        <f t="shared" ca="1" si="0"/>
        <v>18331.917018192435</v>
      </c>
      <c r="P16" s="733">
        <f t="shared" si="0"/>
        <v>151.64333333333335</v>
      </c>
      <c r="Q16" s="733">
        <f t="shared" si="0"/>
        <v>362.26666666666665</v>
      </c>
      <c r="R16" s="733">
        <f t="shared" ca="1" si="0"/>
        <v>229694.1410462645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878.24930175614145</v>
      </c>
      <c r="I19" s="1025">
        <f>transport!H54</f>
        <v>0</v>
      </c>
      <c r="J19" s="1025">
        <f>transport!I54</f>
        <v>0</v>
      </c>
      <c r="K19" s="1025">
        <f>transport!J54</f>
        <v>0</v>
      </c>
      <c r="L19" s="1025">
        <f>transport!K54</f>
        <v>0</v>
      </c>
      <c r="M19" s="1025">
        <f>transport!L54</f>
        <v>0</v>
      </c>
      <c r="N19" s="1025">
        <f>transport!M54</f>
        <v>50.083997444134873</v>
      </c>
      <c r="O19" s="1025">
        <f>transport!N54</f>
        <v>0</v>
      </c>
      <c r="P19" s="1025">
        <f>transport!O54</f>
        <v>0</v>
      </c>
      <c r="Q19" s="1026">
        <f>transport!P54</f>
        <v>0</v>
      </c>
      <c r="R19" s="701">
        <f>SUM(C19:Q19)</f>
        <v>928.33329920027631</v>
      </c>
      <c r="S19" s="67"/>
    </row>
    <row r="20" spans="1:19" s="474" customFormat="1">
      <c r="A20" s="810" t="s">
        <v>307</v>
      </c>
      <c r="B20" s="815"/>
      <c r="C20" s="1025">
        <f>transport!B14</f>
        <v>7.3144841985628011</v>
      </c>
      <c r="D20" s="1025">
        <f>transport!C14</f>
        <v>0</v>
      </c>
      <c r="E20" s="1025">
        <f>transport!D14</f>
        <v>20.582779617533667</v>
      </c>
      <c r="F20" s="1025">
        <f>transport!E14</f>
        <v>129.79058087154522</v>
      </c>
      <c r="G20" s="1025">
        <f>transport!F14</f>
        <v>0</v>
      </c>
      <c r="H20" s="1025">
        <f>transport!G14</f>
        <v>36670.268206992958</v>
      </c>
      <c r="I20" s="1025">
        <f>transport!H14</f>
        <v>7745.3667328949905</v>
      </c>
      <c r="J20" s="1025">
        <f>transport!I14</f>
        <v>0</v>
      </c>
      <c r="K20" s="1025">
        <f>transport!J14</f>
        <v>0</v>
      </c>
      <c r="L20" s="1025">
        <f>transport!K14</f>
        <v>0</v>
      </c>
      <c r="M20" s="1025">
        <f>transport!L14</f>
        <v>0</v>
      </c>
      <c r="N20" s="1025">
        <f>transport!M14</f>
        <v>2359.6405797624716</v>
      </c>
      <c r="O20" s="1025">
        <f>transport!N14</f>
        <v>0</v>
      </c>
      <c r="P20" s="1025">
        <f>transport!O14</f>
        <v>0</v>
      </c>
      <c r="Q20" s="1026">
        <f>transport!P14</f>
        <v>0</v>
      </c>
      <c r="R20" s="701">
        <f>SUM(C20:Q20)</f>
        <v>46932.963364338058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7.3144841985628011</v>
      </c>
      <c r="D22" s="813">
        <f t="shared" ref="D22:R22" si="1">SUM(D18:D21)</f>
        <v>0</v>
      </c>
      <c r="E22" s="813">
        <f t="shared" si="1"/>
        <v>20.582779617533667</v>
      </c>
      <c r="F22" s="813">
        <f t="shared" si="1"/>
        <v>129.79058087154522</v>
      </c>
      <c r="G22" s="813">
        <f t="shared" si="1"/>
        <v>0</v>
      </c>
      <c r="H22" s="813">
        <f t="shared" si="1"/>
        <v>37548.517508749101</v>
      </c>
      <c r="I22" s="813">
        <f t="shared" si="1"/>
        <v>7745.3667328949905</v>
      </c>
      <c r="J22" s="813">
        <f t="shared" si="1"/>
        <v>0</v>
      </c>
      <c r="K22" s="813">
        <f t="shared" si="1"/>
        <v>0</v>
      </c>
      <c r="L22" s="813">
        <f t="shared" si="1"/>
        <v>0</v>
      </c>
      <c r="M22" s="813">
        <f t="shared" si="1"/>
        <v>0</v>
      </c>
      <c r="N22" s="813">
        <f t="shared" si="1"/>
        <v>2409.7245772066067</v>
      </c>
      <c r="O22" s="813">
        <f t="shared" si="1"/>
        <v>0</v>
      </c>
      <c r="P22" s="813">
        <f t="shared" si="1"/>
        <v>0</v>
      </c>
      <c r="Q22" s="813">
        <f t="shared" si="1"/>
        <v>0</v>
      </c>
      <c r="R22" s="813">
        <f t="shared" si="1"/>
        <v>47861.296663538335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1952.6210000000001</v>
      </c>
      <c r="D24" s="1025">
        <f>+landbouw!C8</f>
        <v>0</v>
      </c>
      <c r="E24" s="1025">
        <f>+landbouw!D8</f>
        <v>4604.7641200000007</v>
      </c>
      <c r="F24" s="1025">
        <f>+landbouw!E8</f>
        <v>18.085993534851568</v>
      </c>
      <c r="G24" s="1025">
        <f>+landbouw!F8</f>
        <v>4954.1714509187741</v>
      </c>
      <c r="H24" s="1025">
        <f>+landbouw!G8</f>
        <v>0</v>
      </c>
      <c r="I24" s="1025">
        <f>+landbouw!H8</f>
        <v>0</v>
      </c>
      <c r="J24" s="1025">
        <f>+landbouw!I8</f>
        <v>0</v>
      </c>
      <c r="K24" s="1025">
        <f>+landbouw!J8</f>
        <v>299.35859061396008</v>
      </c>
      <c r="L24" s="1025">
        <f>+landbouw!K8</f>
        <v>0</v>
      </c>
      <c r="M24" s="1025">
        <f>+landbouw!L8</f>
        <v>0</v>
      </c>
      <c r="N24" s="1025">
        <f>+landbouw!M8</f>
        <v>0</v>
      </c>
      <c r="O24" s="1025">
        <f>+landbouw!N8</f>
        <v>0</v>
      </c>
      <c r="P24" s="1025">
        <f>+landbouw!O8</f>
        <v>0</v>
      </c>
      <c r="Q24" s="1026">
        <f>+landbouw!P8</f>
        <v>0</v>
      </c>
      <c r="R24" s="701">
        <f>SUM(C24:Q24)</f>
        <v>11829.001155067586</v>
      </c>
      <c r="S24" s="67"/>
    </row>
    <row r="25" spans="1:19" s="474" customFormat="1" ht="15" thickBot="1">
      <c r="A25" s="832" t="s">
        <v>864</v>
      </c>
      <c r="B25" s="1028"/>
      <c r="C25" s="1029">
        <f>IF(Onbekend_ele_kWh="---",0,Onbekend_ele_kWh)/1000+IF(REST_rest_ele_kWh="---",0,REST_rest_ele_kWh)/1000</f>
        <v>506.24</v>
      </c>
      <c r="D25" s="1029"/>
      <c r="E25" s="1029">
        <f>IF(onbekend_gas_kWh="---",0,onbekend_gas_kWh)/1000+IF(REST_rest_gas_kWh="---",0,REST_rest_gas_kWh)/1000</f>
        <v>945.63800000000003</v>
      </c>
      <c r="F25" s="1029"/>
      <c r="G25" s="1029"/>
      <c r="H25" s="1029"/>
      <c r="I25" s="1029"/>
      <c r="J25" s="1029"/>
      <c r="K25" s="1029"/>
      <c r="L25" s="1029"/>
      <c r="M25" s="1029"/>
      <c r="N25" s="1029"/>
      <c r="O25" s="1029"/>
      <c r="P25" s="1029"/>
      <c r="Q25" s="1030"/>
      <c r="R25" s="701">
        <f>SUM(C25:Q25)</f>
        <v>1451.8780000000002</v>
      </c>
      <c r="S25" s="67"/>
    </row>
    <row r="26" spans="1:19" s="474" customFormat="1" ht="15.75" thickBot="1">
      <c r="A26" s="706" t="s">
        <v>865</v>
      </c>
      <c r="B26" s="818"/>
      <c r="C26" s="813">
        <f>SUM(C24:C25)</f>
        <v>2458.8609999999999</v>
      </c>
      <c r="D26" s="813">
        <f t="shared" ref="D26:R26" si="2">SUM(D24:D25)</f>
        <v>0</v>
      </c>
      <c r="E26" s="813">
        <f t="shared" si="2"/>
        <v>5550.4021200000007</v>
      </c>
      <c r="F26" s="813">
        <f t="shared" si="2"/>
        <v>18.085993534851568</v>
      </c>
      <c r="G26" s="813">
        <f t="shared" si="2"/>
        <v>4954.1714509187741</v>
      </c>
      <c r="H26" s="813">
        <f t="shared" si="2"/>
        <v>0</v>
      </c>
      <c r="I26" s="813">
        <f t="shared" si="2"/>
        <v>0</v>
      </c>
      <c r="J26" s="813">
        <f t="shared" si="2"/>
        <v>0</v>
      </c>
      <c r="K26" s="813">
        <f t="shared" si="2"/>
        <v>299.35859061396008</v>
      </c>
      <c r="L26" s="813">
        <f t="shared" si="2"/>
        <v>0</v>
      </c>
      <c r="M26" s="813">
        <f t="shared" si="2"/>
        <v>0</v>
      </c>
      <c r="N26" s="813">
        <f t="shared" si="2"/>
        <v>0</v>
      </c>
      <c r="O26" s="813">
        <f t="shared" si="2"/>
        <v>0</v>
      </c>
      <c r="P26" s="813">
        <f t="shared" si="2"/>
        <v>0</v>
      </c>
      <c r="Q26" s="813">
        <f t="shared" si="2"/>
        <v>0</v>
      </c>
      <c r="R26" s="813">
        <f t="shared" si="2"/>
        <v>13280.879155067587</v>
      </c>
      <c r="S26" s="67"/>
    </row>
    <row r="27" spans="1:19" s="474" customFormat="1" ht="17.25" thickTop="1" thickBot="1">
      <c r="A27" s="707" t="s">
        <v>116</v>
      </c>
      <c r="B27" s="806"/>
      <c r="C27" s="708">
        <f ca="1">C22+C16+C26</f>
        <v>71471.454616326257</v>
      </c>
      <c r="D27" s="708">
        <f t="shared" ref="D27:R27" ca="1" si="3">D22+D16+D26</f>
        <v>0</v>
      </c>
      <c r="E27" s="708">
        <f t="shared" ca="1" si="3"/>
        <v>97370.156033617532</v>
      </c>
      <c r="F27" s="708">
        <f t="shared" si="3"/>
        <v>3851.2252646949064</v>
      </c>
      <c r="G27" s="708">
        <f t="shared" ca="1" si="3"/>
        <v>51060.376531307978</v>
      </c>
      <c r="H27" s="708">
        <f t="shared" si="3"/>
        <v>37548.517508749101</v>
      </c>
      <c r="I27" s="708">
        <f t="shared" si="3"/>
        <v>7745.3667328949905</v>
      </c>
      <c r="J27" s="708">
        <f t="shared" si="3"/>
        <v>0</v>
      </c>
      <c r="K27" s="708">
        <f t="shared" si="3"/>
        <v>533.66858188063452</v>
      </c>
      <c r="L27" s="708">
        <f t="shared" si="3"/>
        <v>0</v>
      </c>
      <c r="M27" s="708">
        <f t="shared" ca="1" si="3"/>
        <v>0</v>
      </c>
      <c r="N27" s="708">
        <f t="shared" si="3"/>
        <v>2409.7245772066067</v>
      </c>
      <c r="O27" s="708">
        <f t="shared" ca="1" si="3"/>
        <v>18331.917018192435</v>
      </c>
      <c r="P27" s="708">
        <f t="shared" si="3"/>
        <v>151.64333333333335</v>
      </c>
      <c r="Q27" s="708">
        <f t="shared" si="3"/>
        <v>362.26666666666665</v>
      </c>
      <c r="R27" s="708">
        <f t="shared" ca="1" si="3"/>
        <v>290836.31686487043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3379.9540439067041</v>
      </c>
      <c r="D40" s="1025">
        <f ca="1">tertiair!C20</f>
        <v>0</v>
      </c>
      <c r="E40" s="1025">
        <f ca="1">tertiair!D20</f>
        <v>2730.9110860239998</v>
      </c>
      <c r="F40" s="1025">
        <f>tertiair!E20</f>
        <v>31.850685476060015</v>
      </c>
      <c r="G40" s="1025">
        <f ca="1">tertiair!F20</f>
        <v>604.99636465263609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6747.7121800593995</v>
      </c>
    </row>
    <row r="41" spans="1:18">
      <c r="A41" s="823" t="s">
        <v>225</v>
      </c>
      <c r="B41" s="830"/>
      <c r="C41" s="1025">
        <f ca="1">huishoudens!B12</f>
        <v>5740.8871347915247</v>
      </c>
      <c r="D41" s="1025">
        <f ca="1">huishoudens!C12</f>
        <v>0</v>
      </c>
      <c r="E41" s="1025">
        <f>huishoudens!D12</f>
        <v>12820.819443168</v>
      </c>
      <c r="F41" s="1025">
        <f>huishoudens!E12</f>
        <v>436.55959501790585</v>
      </c>
      <c r="G41" s="1025">
        <f>huishoudens!F12</f>
        <v>5192.3553814765246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24190.621554453955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5032.5245310194578</v>
      </c>
      <c r="D43" s="1025">
        <f ca="1">industrie!C22</f>
        <v>0</v>
      </c>
      <c r="E43" s="1025">
        <f>industrie!D22</f>
        <v>2991.7020398760005</v>
      </c>
      <c r="F43" s="1025">
        <f>industrie!E22</f>
        <v>372.24987220152587</v>
      </c>
      <c r="G43" s="1025">
        <f>industrie!F22</f>
        <v>6513.0050103347567</v>
      </c>
      <c r="H43" s="1025">
        <f>industrie!G22</f>
        <v>0</v>
      </c>
      <c r="I43" s="1025">
        <f>industrie!H22</f>
        <v>0</v>
      </c>
      <c r="J43" s="1025">
        <f>industrie!I22</f>
        <v>0</v>
      </c>
      <c r="K43" s="1025">
        <f>industrie!J22</f>
        <v>82.945736908402765</v>
      </c>
      <c r="L43" s="1025">
        <f>industrie!K22</f>
        <v>0</v>
      </c>
      <c r="M43" s="1025">
        <f>industrie!L22</f>
        <v>0</v>
      </c>
      <c r="N43" s="1025">
        <f>industrie!M22</f>
        <v>0</v>
      </c>
      <c r="O43" s="1025">
        <f>industrie!N22</f>
        <v>0</v>
      </c>
      <c r="P43" s="1025">
        <f>industrie!O22</f>
        <v>0</v>
      </c>
      <c r="Q43" s="775">
        <f>industrie!P22</f>
        <v>0</v>
      </c>
      <c r="R43" s="850">
        <f t="shared" ca="1" si="4"/>
        <v>14992.427190340144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14153.365709717687</v>
      </c>
      <c r="D46" s="733">
        <f t="shared" ref="D46:Q46" ca="1" si="5">SUM(D39:D45)</f>
        <v>0</v>
      </c>
      <c r="E46" s="733">
        <f t="shared" ca="1" si="5"/>
        <v>18543.432569068002</v>
      </c>
      <c r="F46" s="733">
        <f t="shared" si="5"/>
        <v>840.66015269549166</v>
      </c>
      <c r="G46" s="733">
        <f t="shared" ca="1" si="5"/>
        <v>12310.356756463916</v>
      </c>
      <c r="H46" s="733">
        <f t="shared" si="5"/>
        <v>0</v>
      </c>
      <c r="I46" s="733">
        <f t="shared" si="5"/>
        <v>0</v>
      </c>
      <c r="J46" s="733">
        <f t="shared" si="5"/>
        <v>0</v>
      </c>
      <c r="K46" s="733">
        <f t="shared" si="5"/>
        <v>82.945736908402765</v>
      </c>
      <c r="L46" s="733">
        <f t="shared" si="5"/>
        <v>0</v>
      </c>
      <c r="M46" s="733">
        <f t="shared" ca="1" si="5"/>
        <v>0</v>
      </c>
      <c r="N46" s="733">
        <f t="shared" si="5"/>
        <v>0</v>
      </c>
      <c r="O46" s="733">
        <f t="shared" ca="1" si="5"/>
        <v>0</v>
      </c>
      <c r="P46" s="733">
        <f t="shared" si="5"/>
        <v>0</v>
      </c>
      <c r="Q46" s="733">
        <f t="shared" si="5"/>
        <v>0</v>
      </c>
      <c r="R46" s="733">
        <f ca="1">SUM(R39:R45)</f>
        <v>45930.760924853501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234.49256356888978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234.49256356888978</v>
      </c>
    </row>
    <row r="50" spans="1:18">
      <c r="A50" s="826" t="s">
        <v>307</v>
      </c>
      <c r="B50" s="836"/>
      <c r="C50" s="704">
        <f ca="1">transport!B18</f>
        <v>1.5002413024369801</v>
      </c>
      <c r="D50" s="704">
        <f>transport!C18</f>
        <v>0</v>
      </c>
      <c r="E50" s="704">
        <f>transport!D18</f>
        <v>4.1577214827418008</v>
      </c>
      <c r="F50" s="704">
        <f>transport!E18</f>
        <v>29.462461857840765</v>
      </c>
      <c r="G50" s="704">
        <f>transport!F18</f>
        <v>0</v>
      </c>
      <c r="H50" s="704">
        <f>transport!G18</f>
        <v>9790.961611267121</v>
      </c>
      <c r="I50" s="704">
        <f>transport!H18</f>
        <v>1928.5963164908526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11754.678352400992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1.5002413024369801</v>
      </c>
      <c r="D52" s="733">
        <f t="shared" ref="D52:Q52" ca="1" si="6">SUM(D48:D51)</f>
        <v>0</v>
      </c>
      <c r="E52" s="733">
        <f t="shared" si="6"/>
        <v>4.1577214827418008</v>
      </c>
      <c r="F52" s="733">
        <f t="shared" si="6"/>
        <v>29.462461857840765</v>
      </c>
      <c r="G52" s="733">
        <f t="shared" si="6"/>
        <v>0</v>
      </c>
      <c r="H52" s="733">
        <f t="shared" si="6"/>
        <v>10025.454174836012</v>
      </c>
      <c r="I52" s="733">
        <f t="shared" si="6"/>
        <v>1928.5963164908526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11989.170915969882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400.49340359247577</v>
      </c>
      <c r="D54" s="704">
        <f ca="1">+landbouw!C12</f>
        <v>0</v>
      </c>
      <c r="E54" s="704">
        <f>+landbouw!D12</f>
        <v>930.16235224000025</v>
      </c>
      <c r="F54" s="704">
        <f>+landbouw!E12</f>
        <v>4.1055205324113064</v>
      </c>
      <c r="G54" s="704">
        <f>+landbouw!F12</f>
        <v>1322.7637773953127</v>
      </c>
      <c r="H54" s="704">
        <f>+landbouw!G12</f>
        <v>0</v>
      </c>
      <c r="I54" s="704">
        <f>+landbouw!H12</f>
        <v>0</v>
      </c>
      <c r="J54" s="704">
        <f>+landbouw!I12</f>
        <v>0</v>
      </c>
      <c r="K54" s="704">
        <f>+landbouw!J12</f>
        <v>105.97294107734186</v>
      </c>
      <c r="L54" s="704">
        <f>+landbouw!K12</f>
        <v>0</v>
      </c>
      <c r="M54" s="704">
        <f>+landbouw!L12</f>
        <v>0</v>
      </c>
      <c r="N54" s="704">
        <f>+landbouw!M12</f>
        <v>0</v>
      </c>
      <c r="O54" s="704">
        <f>+landbouw!N12</f>
        <v>0</v>
      </c>
      <c r="P54" s="704">
        <f>+landbouw!O12</f>
        <v>0</v>
      </c>
      <c r="Q54" s="705">
        <f>+landbouw!P12</f>
        <v>0</v>
      </c>
      <c r="R54" s="732">
        <f ca="1">SUM(C54:Q54)</f>
        <v>2763.4979948375417</v>
      </c>
    </row>
    <row r="55" spans="1:18" ht="15" thickBot="1">
      <c r="A55" s="826" t="s">
        <v>864</v>
      </c>
      <c r="B55" s="836"/>
      <c r="C55" s="704">
        <f ca="1">C25*'EF ele_warmte'!B12</f>
        <v>103.83263348834973</v>
      </c>
      <c r="D55" s="704"/>
      <c r="E55" s="704">
        <f>E25*EF_CO2_aardgas</f>
        <v>191.01887600000001</v>
      </c>
      <c r="F55" s="704"/>
      <c r="G55" s="704"/>
      <c r="H55" s="704"/>
      <c r="I55" s="704"/>
      <c r="J55" s="704"/>
      <c r="K55" s="704"/>
      <c r="L55" s="704"/>
      <c r="M55" s="704"/>
      <c r="N55" s="704"/>
      <c r="O55" s="704"/>
      <c r="P55" s="704"/>
      <c r="Q55" s="705"/>
      <c r="R55" s="732">
        <f ca="1">SUM(C55:Q55)</f>
        <v>294.85150948834973</v>
      </c>
    </row>
    <row r="56" spans="1:18" ht="15.75" thickBot="1">
      <c r="A56" s="824" t="s">
        <v>865</v>
      </c>
      <c r="B56" s="837"/>
      <c r="C56" s="733">
        <f ca="1">SUM(C54:C55)</f>
        <v>504.32603708082547</v>
      </c>
      <c r="D56" s="733">
        <f t="shared" ref="D56:Q56" ca="1" si="7">SUM(D54:D55)</f>
        <v>0</v>
      </c>
      <c r="E56" s="733">
        <f t="shared" si="7"/>
        <v>1121.1812282400003</v>
      </c>
      <c r="F56" s="733">
        <f t="shared" si="7"/>
        <v>4.1055205324113064</v>
      </c>
      <c r="G56" s="733">
        <f t="shared" si="7"/>
        <v>1322.7637773953127</v>
      </c>
      <c r="H56" s="733">
        <f t="shared" si="7"/>
        <v>0</v>
      </c>
      <c r="I56" s="733">
        <f t="shared" si="7"/>
        <v>0</v>
      </c>
      <c r="J56" s="733">
        <f t="shared" si="7"/>
        <v>0</v>
      </c>
      <c r="K56" s="733">
        <f t="shared" si="7"/>
        <v>105.97294107734186</v>
      </c>
      <c r="L56" s="733">
        <f t="shared" si="7"/>
        <v>0</v>
      </c>
      <c r="M56" s="733">
        <f t="shared" si="7"/>
        <v>0</v>
      </c>
      <c r="N56" s="733">
        <f t="shared" si="7"/>
        <v>0</v>
      </c>
      <c r="O56" s="733">
        <f t="shared" si="7"/>
        <v>0</v>
      </c>
      <c r="P56" s="733">
        <f t="shared" si="7"/>
        <v>0</v>
      </c>
      <c r="Q56" s="734">
        <f t="shared" si="7"/>
        <v>0</v>
      </c>
      <c r="R56" s="735">
        <f ca="1">SUM(R54:R55)</f>
        <v>3058.3495043258913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14659.191988100951</v>
      </c>
      <c r="D61" s="741">
        <f t="shared" ref="D61:Q61" ca="1" si="8">D46+D52+D56</f>
        <v>0</v>
      </c>
      <c r="E61" s="741">
        <f t="shared" ca="1" si="8"/>
        <v>19668.771518790742</v>
      </c>
      <c r="F61" s="741">
        <f t="shared" si="8"/>
        <v>874.2281350857437</v>
      </c>
      <c r="G61" s="741">
        <f t="shared" ca="1" si="8"/>
        <v>13633.120533859228</v>
      </c>
      <c r="H61" s="741">
        <f t="shared" si="8"/>
        <v>10025.454174836012</v>
      </c>
      <c r="I61" s="741">
        <f t="shared" si="8"/>
        <v>1928.5963164908526</v>
      </c>
      <c r="J61" s="741">
        <f t="shared" si="8"/>
        <v>0</v>
      </c>
      <c r="K61" s="741">
        <f t="shared" si="8"/>
        <v>188.91867798574464</v>
      </c>
      <c r="L61" s="741">
        <f t="shared" si="8"/>
        <v>0</v>
      </c>
      <c r="M61" s="741">
        <f t="shared" ca="1" si="8"/>
        <v>0</v>
      </c>
      <c r="N61" s="741">
        <f t="shared" si="8"/>
        <v>0</v>
      </c>
      <c r="O61" s="741">
        <f t="shared" ca="1" si="8"/>
        <v>0</v>
      </c>
      <c r="P61" s="741">
        <f t="shared" si="8"/>
        <v>0</v>
      </c>
      <c r="Q61" s="741">
        <f t="shared" si="8"/>
        <v>0</v>
      </c>
      <c r="R61" s="741">
        <f ca="1">R46+R52+R56</f>
        <v>60978.281345149269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0.20510554971624076</v>
      </c>
      <c r="D63" s="782">
        <f t="shared" ca="1" si="9"/>
        <v>0</v>
      </c>
      <c r="E63" s="1036">
        <f t="shared" ca="1" si="9"/>
        <v>0.20200000000000001</v>
      </c>
      <c r="F63" s="782">
        <f t="shared" si="9"/>
        <v>0.22699999999999998</v>
      </c>
      <c r="G63" s="782">
        <f t="shared" ca="1" si="9"/>
        <v>0.26699999999999996</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5140.2691498061195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5140.2691498061195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5140.2691498061195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5140.2691498061195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27989.916132127688</v>
      </c>
      <c r="C4" s="478">
        <f>huishoudens!C8</f>
        <v>0</v>
      </c>
      <c r="D4" s="478">
        <f>huishoudens!D8</f>
        <v>63469.403183999995</v>
      </c>
      <c r="E4" s="478">
        <f>huishoudens!E8</f>
        <v>1923.170022105312</v>
      </c>
      <c r="F4" s="478">
        <f>huishoudens!F8</f>
        <v>19447.023900661141</v>
      </c>
      <c r="G4" s="478">
        <f>huishoudens!G8</f>
        <v>0</v>
      </c>
      <c r="H4" s="478">
        <f>huishoudens!H8</f>
        <v>0</v>
      </c>
      <c r="I4" s="478">
        <f>huishoudens!I8</f>
        <v>0</v>
      </c>
      <c r="J4" s="478">
        <f>huishoudens!J8</f>
        <v>0</v>
      </c>
      <c r="K4" s="478">
        <f>huishoudens!K8</f>
        <v>0</v>
      </c>
      <c r="L4" s="478">
        <f>huishoudens!L8</f>
        <v>0</v>
      </c>
      <c r="M4" s="478">
        <f>huishoudens!M8</f>
        <v>0</v>
      </c>
      <c r="N4" s="478">
        <f>huishoudens!N8</f>
        <v>9897.8628692308685</v>
      </c>
      <c r="O4" s="478">
        <f>huishoudens!O8</f>
        <v>151.64333333333335</v>
      </c>
      <c r="P4" s="479">
        <f>huishoudens!P8</f>
        <v>362.26666666666665</v>
      </c>
      <c r="Q4" s="480">
        <f>SUM(B4:P4)</f>
        <v>123241.286108125</v>
      </c>
    </row>
    <row r="5" spans="1:17">
      <c r="A5" s="477" t="s">
        <v>156</v>
      </c>
      <c r="B5" s="478">
        <f ca="1">tertiair!B16</f>
        <v>15721.326000000001</v>
      </c>
      <c r="C5" s="478">
        <f ca="1">tertiair!C16</f>
        <v>0</v>
      </c>
      <c r="D5" s="478">
        <f ca="1">tertiair!D16</f>
        <v>13519.361811999999</v>
      </c>
      <c r="E5" s="478">
        <f>tertiair!E16</f>
        <v>140.31138976237892</v>
      </c>
      <c r="F5" s="478">
        <f ca="1">tertiair!F16</f>
        <v>2265.9039874630562</v>
      </c>
      <c r="G5" s="478">
        <f>tertiair!G16</f>
        <v>0</v>
      </c>
      <c r="H5" s="478">
        <f>tertiair!H16</f>
        <v>0</v>
      </c>
      <c r="I5" s="478">
        <f>tertiair!I16</f>
        <v>0</v>
      </c>
      <c r="J5" s="478">
        <f>tertiair!J16</f>
        <v>0</v>
      </c>
      <c r="K5" s="478">
        <f>tertiair!K16</f>
        <v>0</v>
      </c>
      <c r="L5" s="478">
        <f ca="1">tertiair!L16</f>
        <v>0</v>
      </c>
      <c r="M5" s="478">
        <f>tertiair!M16</f>
        <v>0</v>
      </c>
      <c r="N5" s="478">
        <f ca="1">tertiair!N16</f>
        <v>1316.4053913679954</v>
      </c>
      <c r="O5" s="478">
        <f>tertiair!O16</f>
        <v>0</v>
      </c>
      <c r="P5" s="479">
        <f>tertiair!P16</f>
        <v>0</v>
      </c>
      <c r="Q5" s="477">
        <f t="shared" ref="Q5:Q14" ca="1" si="0">SUM(B5:P5)</f>
        <v>32963.308580593432</v>
      </c>
    </row>
    <row r="6" spans="1:17">
      <c r="A6" s="477" t="s">
        <v>194</v>
      </c>
      <c r="B6" s="478">
        <f>'openbare verlichting'!B8</f>
        <v>757.77</v>
      </c>
      <c r="C6" s="478"/>
      <c r="D6" s="478"/>
      <c r="E6" s="478"/>
      <c r="F6" s="478"/>
      <c r="G6" s="478"/>
      <c r="H6" s="478"/>
      <c r="I6" s="478"/>
      <c r="J6" s="478"/>
      <c r="K6" s="478"/>
      <c r="L6" s="478"/>
      <c r="M6" s="478"/>
      <c r="N6" s="478"/>
      <c r="O6" s="478"/>
      <c r="P6" s="479"/>
      <c r="Q6" s="477">
        <f t="shared" si="0"/>
        <v>757.77</v>
      </c>
    </row>
    <row r="7" spans="1:17">
      <c r="A7" s="477" t="s">
        <v>112</v>
      </c>
      <c r="B7" s="478">
        <f>landbouw!B8</f>
        <v>1952.6210000000001</v>
      </c>
      <c r="C7" s="478">
        <f>landbouw!C8</f>
        <v>0</v>
      </c>
      <c r="D7" s="478">
        <f>landbouw!D8</f>
        <v>4604.7641200000007</v>
      </c>
      <c r="E7" s="478">
        <f>landbouw!E8</f>
        <v>18.085993534851568</v>
      </c>
      <c r="F7" s="478">
        <f>landbouw!F8</f>
        <v>4954.1714509187741</v>
      </c>
      <c r="G7" s="478">
        <f>landbouw!G8</f>
        <v>0</v>
      </c>
      <c r="H7" s="478">
        <f>landbouw!H8</f>
        <v>0</v>
      </c>
      <c r="I7" s="478">
        <f>landbouw!I8</f>
        <v>0</v>
      </c>
      <c r="J7" s="478">
        <f>landbouw!J8</f>
        <v>299.35859061396008</v>
      </c>
      <c r="K7" s="478">
        <f>landbouw!K8</f>
        <v>0</v>
      </c>
      <c r="L7" s="478">
        <f>landbouw!L8</f>
        <v>0</v>
      </c>
      <c r="M7" s="478">
        <f>landbouw!M8</f>
        <v>0</v>
      </c>
      <c r="N7" s="478">
        <f>landbouw!N8</f>
        <v>0</v>
      </c>
      <c r="O7" s="478">
        <f>landbouw!O8</f>
        <v>0</v>
      </c>
      <c r="P7" s="479">
        <f>landbouw!P8</f>
        <v>0</v>
      </c>
      <c r="Q7" s="477">
        <f t="shared" si="0"/>
        <v>11829.001155067586</v>
      </c>
    </row>
    <row r="8" spans="1:17">
      <c r="A8" s="477" t="s">
        <v>650</v>
      </c>
      <c r="B8" s="478">
        <f>industrie!B18</f>
        <v>24536.267</v>
      </c>
      <c r="C8" s="478">
        <f>industrie!C18</f>
        <v>0</v>
      </c>
      <c r="D8" s="478">
        <f>industrie!D18</f>
        <v>14810.406138000002</v>
      </c>
      <c r="E8" s="478">
        <f>industrie!E18</f>
        <v>1639.8672784208188</v>
      </c>
      <c r="F8" s="478">
        <f>industrie!F18</f>
        <v>24393.277192265006</v>
      </c>
      <c r="G8" s="478">
        <f>industrie!G18</f>
        <v>0</v>
      </c>
      <c r="H8" s="478">
        <f>industrie!H18</f>
        <v>0</v>
      </c>
      <c r="I8" s="478">
        <f>industrie!I18</f>
        <v>0</v>
      </c>
      <c r="J8" s="478">
        <f>industrie!J18</f>
        <v>234.3099912666745</v>
      </c>
      <c r="K8" s="478">
        <f>industrie!K18</f>
        <v>0</v>
      </c>
      <c r="L8" s="478">
        <f>industrie!L18</f>
        <v>0</v>
      </c>
      <c r="M8" s="478">
        <f>industrie!M18</f>
        <v>0</v>
      </c>
      <c r="N8" s="478">
        <f>industrie!N18</f>
        <v>7117.6487575935698</v>
      </c>
      <c r="O8" s="478">
        <f>industrie!O18</f>
        <v>0</v>
      </c>
      <c r="P8" s="479">
        <f>industrie!P18</f>
        <v>0</v>
      </c>
      <c r="Q8" s="477">
        <f t="shared" si="0"/>
        <v>72731.77635754607</v>
      </c>
    </row>
    <row r="9" spans="1:17" s="483" customFormat="1">
      <c r="A9" s="481" t="s">
        <v>571</v>
      </c>
      <c r="B9" s="482">
        <f>transport!B14</f>
        <v>7.3144841985628011</v>
      </c>
      <c r="C9" s="482">
        <f>transport!C14</f>
        <v>0</v>
      </c>
      <c r="D9" s="482">
        <f>transport!D14</f>
        <v>20.582779617533667</v>
      </c>
      <c r="E9" s="482">
        <f>transport!E14</f>
        <v>129.79058087154522</v>
      </c>
      <c r="F9" s="482">
        <f>transport!F14</f>
        <v>0</v>
      </c>
      <c r="G9" s="482">
        <f>transport!G14</f>
        <v>36670.268206992958</v>
      </c>
      <c r="H9" s="482">
        <f>transport!H14</f>
        <v>7745.3667328949905</v>
      </c>
      <c r="I9" s="482">
        <f>transport!I14</f>
        <v>0</v>
      </c>
      <c r="J9" s="482">
        <f>transport!J14</f>
        <v>0</v>
      </c>
      <c r="K9" s="482">
        <f>transport!K14</f>
        <v>0</v>
      </c>
      <c r="L9" s="482">
        <f>transport!L14</f>
        <v>0</v>
      </c>
      <c r="M9" s="482">
        <f>transport!M14</f>
        <v>2359.6405797624716</v>
      </c>
      <c r="N9" s="482">
        <f>transport!N14</f>
        <v>0</v>
      </c>
      <c r="O9" s="482">
        <f>transport!O14</f>
        <v>0</v>
      </c>
      <c r="P9" s="482">
        <f>transport!P14</f>
        <v>0</v>
      </c>
      <c r="Q9" s="481">
        <f>SUM(B9:P9)</f>
        <v>46932.963364338058</v>
      </c>
    </row>
    <row r="10" spans="1:17">
      <c r="A10" s="477" t="s">
        <v>561</v>
      </c>
      <c r="B10" s="478">
        <f>transport!B54</f>
        <v>0</v>
      </c>
      <c r="C10" s="478">
        <f>transport!C54</f>
        <v>0</v>
      </c>
      <c r="D10" s="478">
        <f>transport!D54</f>
        <v>0</v>
      </c>
      <c r="E10" s="478">
        <f>transport!E54</f>
        <v>0</v>
      </c>
      <c r="F10" s="478">
        <f>transport!F54</f>
        <v>0</v>
      </c>
      <c r="G10" s="478">
        <f>transport!G54</f>
        <v>878.24930175614145</v>
      </c>
      <c r="H10" s="478">
        <f>transport!H54</f>
        <v>0</v>
      </c>
      <c r="I10" s="478">
        <f>transport!I54</f>
        <v>0</v>
      </c>
      <c r="J10" s="478">
        <f>transport!J54</f>
        <v>0</v>
      </c>
      <c r="K10" s="478">
        <f>transport!K54</f>
        <v>0</v>
      </c>
      <c r="L10" s="478">
        <f>transport!L54</f>
        <v>0</v>
      </c>
      <c r="M10" s="478">
        <f>transport!M54</f>
        <v>50.083997444134873</v>
      </c>
      <c r="N10" s="478">
        <f>transport!N54</f>
        <v>0</v>
      </c>
      <c r="O10" s="478">
        <f>transport!O54</f>
        <v>0</v>
      </c>
      <c r="P10" s="479">
        <f>transport!P54</f>
        <v>0</v>
      </c>
      <c r="Q10" s="477">
        <f t="shared" si="0"/>
        <v>928.33329920027631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506.24</v>
      </c>
      <c r="C14" s="485"/>
      <c r="D14" s="485">
        <f>'SEAP template'!E25</f>
        <v>945.63800000000003</v>
      </c>
      <c r="E14" s="485"/>
      <c r="F14" s="485"/>
      <c r="G14" s="485"/>
      <c r="H14" s="485"/>
      <c r="I14" s="485"/>
      <c r="J14" s="485"/>
      <c r="K14" s="485"/>
      <c r="L14" s="485"/>
      <c r="M14" s="485"/>
      <c r="N14" s="485"/>
      <c r="O14" s="485"/>
      <c r="P14" s="486"/>
      <c r="Q14" s="477">
        <f t="shared" si="0"/>
        <v>1451.8780000000002</v>
      </c>
    </row>
    <row r="15" spans="1:17" s="487" customFormat="1">
      <c r="A15" s="1051" t="s">
        <v>565</v>
      </c>
      <c r="B15" s="991">
        <f ca="1">SUM(B4:B14)</f>
        <v>71471.454616326257</v>
      </c>
      <c r="C15" s="991">
        <f t="shared" ref="C15:Q15" ca="1" si="1">SUM(C4:C14)</f>
        <v>0</v>
      </c>
      <c r="D15" s="991">
        <f t="shared" ca="1" si="1"/>
        <v>97370.156033617546</v>
      </c>
      <c r="E15" s="991">
        <f t="shared" si="1"/>
        <v>3851.2252646949064</v>
      </c>
      <c r="F15" s="991">
        <f t="shared" ca="1" si="1"/>
        <v>51060.376531307978</v>
      </c>
      <c r="G15" s="991">
        <f t="shared" si="1"/>
        <v>37548.517508749101</v>
      </c>
      <c r="H15" s="991">
        <f t="shared" si="1"/>
        <v>7745.3667328949905</v>
      </c>
      <c r="I15" s="991">
        <f t="shared" si="1"/>
        <v>0</v>
      </c>
      <c r="J15" s="991">
        <f t="shared" si="1"/>
        <v>533.66858188063452</v>
      </c>
      <c r="K15" s="991">
        <f t="shared" si="1"/>
        <v>0</v>
      </c>
      <c r="L15" s="991">
        <f t="shared" ca="1" si="1"/>
        <v>0</v>
      </c>
      <c r="M15" s="991">
        <f t="shared" si="1"/>
        <v>2409.7245772066067</v>
      </c>
      <c r="N15" s="991">
        <f t="shared" ca="1" si="1"/>
        <v>18331.917018192435</v>
      </c>
      <c r="O15" s="991">
        <f t="shared" si="1"/>
        <v>151.64333333333335</v>
      </c>
      <c r="P15" s="991">
        <f t="shared" si="1"/>
        <v>362.26666666666665</v>
      </c>
      <c r="Q15" s="991">
        <f t="shared" ca="1" si="1"/>
        <v>290836.31686487043</v>
      </c>
    </row>
    <row r="17" spans="1:17">
      <c r="A17" s="488" t="s">
        <v>566</v>
      </c>
      <c r="B17" s="787">
        <f ca="1">huishoudens!B10</f>
        <v>0.20510554971624076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5740.8871347915247</v>
      </c>
      <c r="C22" s="478">
        <f t="shared" ref="C22:C32" ca="1" si="3">C4*$C$17</f>
        <v>0</v>
      </c>
      <c r="D22" s="478">
        <f t="shared" ref="D22:D32" si="4">D4*$D$17</f>
        <v>12820.819443168</v>
      </c>
      <c r="E22" s="478">
        <f t="shared" ref="E22:E32" si="5">E4*$E$17</f>
        <v>436.55959501790585</v>
      </c>
      <c r="F22" s="478">
        <f t="shared" ref="F22:F32" si="6">F4*$F$17</f>
        <v>5192.3553814765246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24190.621554453955</v>
      </c>
    </row>
    <row r="23" spans="1:17">
      <c r="A23" s="477" t="s">
        <v>156</v>
      </c>
      <c r="B23" s="478">
        <f t="shared" ca="1" si="2"/>
        <v>3224.5312114982285</v>
      </c>
      <c r="C23" s="478">
        <f t="shared" ca="1" si="3"/>
        <v>0</v>
      </c>
      <c r="D23" s="478">
        <f t="shared" ca="1" si="4"/>
        <v>2730.9110860239998</v>
      </c>
      <c r="E23" s="478">
        <f t="shared" si="5"/>
        <v>31.850685476060015</v>
      </c>
      <c r="F23" s="478">
        <f t="shared" ca="1" si="6"/>
        <v>604.99636465263609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6592.2893476509234</v>
      </c>
    </row>
    <row r="24" spans="1:17">
      <c r="A24" s="477" t="s">
        <v>194</v>
      </c>
      <c r="B24" s="478">
        <f t="shared" ca="1" si="2"/>
        <v>155.42283240847576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155.42283240847576</v>
      </c>
    </row>
    <row r="25" spans="1:17">
      <c r="A25" s="477" t="s">
        <v>112</v>
      </c>
      <c r="B25" s="478">
        <f t="shared" ca="1" si="2"/>
        <v>400.49340359247577</v>
      </c>
      <c r="C25" s="478">
        <f t="shared" ca="1" si="3"/>
        <v>0</v>
      </c>
      <c r="D25" s="478">
        <f t="shared" si="4"/>
        <v>930.16235224000025</v>
      </c>
      <c r="E25" s="478">
        <f t="shared" si="5"/>
        <v>4.1055205324113064</v>
      </c>
      <c r="F25" s="478">
        <f t="shared" si="6"/>
        <v>1322.7637773953127</v>
      </c>
      <c r="G25" s="478">
        <f t="shared" si="7"/>
        <v>0</v>
      </c>
      <c r="H25" s="478">
        <f t="shared" si="8"/>
        <v>0</v>
      </c>
      <c r="I25" s="478">
        <f t="shared" si="9"/>
        <v>0</v>
      </c>
      <c r="J25" s="478">
        <f t="shared" si="10"/>
        <v>105.97294107734186</v>
      </c>
      <c r="K25" s="478">
        <f t="shared" si="11"/>
        <v>0</v>
      </c>
      <c r="L25" s="478">
        <f t="shared" si="12"/>
        <v>0</v>
      </c>
      <c r="M25" s="478">
        <f t="shared" si="13"/>
        <v>0</v>
      </c>
      <c r="N25" s="478">
        <f t="shared" si="14"/>
        <v>0</v>
      </c>
      <c r="O25" s="478">
        <f t="shared" si="15"/>
        <v>0</v>
      </c>
      <c r="P25" s="479">
        <f t="shared" si="16"/>
        <v>0</v>
      </c>
      <c r="Q25" s="477">
        <f t="shared" ca="1" si="17"/>
        <v>2763.4979948375417</v>
      </c>
    </row>
    <row r="26" spans="1:17">
      <c r="A26" s="477" t="s">
        <v>650</v>
      </c>
      <c r="B26" s="478">
        <f t="shared" ca="1" si="2"/>
        <v>5032.5245310194578</v>
      </c>
      <c r="C26" s="478">
        <f t="shared" ca="1" si="3"/>
        <v>0</v>
      </c>
      <c r="D26" s="478">
        <f t="shared" si="4"/>
        <v>2991.7020398760005</v>
      </c>
      <c r="E26" s="478">
        <f t="shared" si="5"/>
        <v>372.24987220152587</v>
      </c>
      <c r="F26" s="478">
        <f t="shared" si="6"/>
        <v>6513.0050103347567</v>
      </c>
      <c r="G26" s="478">
        <f t="shared" si="7"/>
        <v>0</v>
      </c>
      <c r="H26" s="478">
        <f t="shared" si="8"/>
        <v>0</v>
      </c>
      <c r="I26" s="478">
        <f t="shared" si="9"/>
        <v>0</v>
      </c>
      <c r="J26" s="478">
        <f t="shared" si="10"/>
        <v>82.945736908402765</v>
      </c>
      <c r="K26" s="478">
        <f t="shared" si="11"/>
        <v>0</v>
      </c>
      <c r="L26" s="478">
        <f t="shared" si="12"/>
        <v>0</v>
      </c>
      <c r="M26" s="478">
        <f t="shared" si="13"/>
        <v>0</v>
      </c>
      <c r="N26" s="478">
        <f t="shared" si="14"/>
        <v>0</v>
      </c>
      <c r="O26" s="478">
        <f t="shared" si="15"/>
        <v>0</v>
      </c>
      <c r="P26" s="479">
        <f t="shared" si="16"/>
        <v>0</v>
      </c>
      <c r="Q26" s="477">
        <f t="shared" ca="1" si="17"/>
        <v>14992.427190340144</v>
      </c>
    </row>
    <row r="27" spans="1:17" s="483" customFormat="1">
      <c r="A27" s="481" t="s">
        <v>571</v>
      </c>
      <c r="B27" s="781">
        <f t="shared" ca="1" si="2"/>
        <v>1.5002413024369801</v>
      </c>
      <c r="C27" s="482">
        <f t="shared" ca="1" si="3"/>
        <v>0</v>
      </c>
      <c r="D27" s="482">
        <f t="shared" si="4"/>
        <v>4.1577214827418008</v>
      </c>
      <c r="E27" s="482">
        <f t="shared" si="5"/>
        <v>29.462461857840765</v>
      </c>
      <c r="F27" s="482">
        <f t="shared" si="6"/>
        <v>0</v>
      </c>
      <c r="G27" s="482">
        <f t="shared" si="7"/>
        <v>9790.961611267121</v>
      </c>
      <c r="H27" s="482">
        <f t="shared" si="8"/>
        <v>1928.5963164908526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11754.678352400992</v>
      </c>
    </row>
    <row r="28" spans="1:17">
      <c r="A28" s="477" t="s">
        <v>561</v>
      </c>
      <c r="B28" s="478">
        <f t="shared" ca="1" si="2"/>
        <v>0</v>
      </c>
      <c r="C28" s="478">
        <f t="shared" ca="1" si="3"/>
        <v>0</v>
      </c>
      <c r="D28" s="478">
        <f t="shared" si="4"/>
        <v>0</v>
      </c>
      <c r="E28" s="478">
        <f t="shared" si="5"/>
        <v>0</v>
      </c>
      <c r="F28" s="478">
        <f t="shared" si="6"/>
        <v>0</v>
      </c>
      <c r="G28" s="478">
        <f t="shared" si="7"/>
        <v>234.49256356888978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234.49256356888978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103.83263348834973</v>
      </c>
      <c r="C32" s="478">
        <f t="shared" ca="1" si="3"/>
        <v>0</v>
      </c>
      <c r="D32" s="478">
        <f t="shared" si="4"/>
        <v>191.01887600000001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294.85150948834973</v>
      </c>
    </row>
    <row r="33" spans="1:17" s="487" customFormat="1">
      <c r="A33" s="1051" t="s">
        <v>565</v>
      </c>
      <c r="B33" s="991">
        <f ca="1">SUM(B22:B32)</f>
        <v>14659.191988100949</v>
      </c>
      <c r="C33" s="991">
        <f t="shared" ref="C33:Q33" ca="1" si="18">SUM(C22:C32)</f>
        <v>0</v>
      </c>
      <c r="D33" s="991">
        <f t="shared" ca="1" si="18"/>
        <v>19668.771518790738</v>
      </c>
      <c r="E33" s="991">
        <f t="shared" si="18"/>
        <v>874.22813508574382</v>
      </c>
      <c r="F33" s="991">
        <f t="shared" ca="1" si="18"/>
        <v>13633.12053385923</v>
      </c>
      <c r="G33" s="991">
        <f t="shared" si="18"/>
        <v>10025.454174836012</v>
      </c>
      <c r="H33" s="991">
        <f t="shared" si="18"/>
        <v>1928.5963164908526</v>
      </c>
      <c r="I33" s="991">
        <f t="shared" si="18"/>
        <v>0</v>
      </c>
      <c r="J33" s="991">
        <f t="shared" si="18"/>
        <v>188.91867798574464</v>
      </c>
      <c r="K33" s="991">
        <f t="shared" si="18"/>
        <v>0</v>
      </c>
      <c r="L33" s="991">
        <f t="shared" ca="1" si="18"/>
        <v>0</v>
      </c>
      <c r="M33" s="991">
        <f t="shared" si="18"/>
        <v>0</v>
      </c>
      <c r="N33" s="991">
        <f t="shared" ca="1" si="18"/>
        <v>0</v>
      </c>
      <c r="O33" s="991">
        <f t="shared" si="18"/>
        <v>0</v>
      </c>
      <c r="P33" s="991">
        <f t="shared" si="18"/>
        <v>0</v>
      </c>
      <c r="Q33" s="991">
        <f t="shared" ca="1" si="18"/>
        <v>60978.281345149277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5140.2691498061195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5140.2691498061195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0.20510554971624076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0.20510554971624076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2019-08-12T08:10:35Z</dcterms:modified>
</cp:coreProperties>
</file>