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P26" i="14"/>
  <c r="L26"/>
  <c r="J26"/>
  <c r="I26"/>
  <c r="H26"/>
  <c r="K22"/>
  <c r="G22"/>
  <c r="R12"/>
  <c r="N78" l="1"/>
  <c r="N9" i="59"/>
  <c r="N10" s="1"/>
  <c r="L90" i="14"/>
  <c r="L18" i="59"/>
  <c r="H90" i="14"/>
  <c r="H18" i="59"/>
  <c r="H20" s="1"/>
  <c r="G20"/>
  <c r="P22" i="14"/>
  <c r="D20" i="18"/>
  <c r="K10"/>
  <c r="K78" i="14"/>
  <c r="B17" i="18"/>
  <c r="B20" s="1"/>
  <c r="M77" i="14"/>
  <c r="M9" i="59" s="1"/>
  <c r="H9" i="18"/>
  <c r="O9" s="1"/>
  <c r="Q22" i="14"/>
  <c r="L10" i="59"/>
  <c r="O10"/>
  <c r="K20"/>
  <c r="C98" i="18"/>
  <c r="E101" s="1"/>
  <c r="E8" s="1"/>
  <c r="E20" i="59"/>
  <c r="L10" i="18"/>
  <c r="L78" i="14"/>
  <c r="D14" i="48"/>
  <c r="D22" i="14"/>
  <c r="L22"/>
  <c r="E10" i="59"/>
  <c r="L20"/>
  <c r="B8" i="18"/>
  <c r="B10" s="1"/>
  <c r="F13" i="15"/>
  <c r="G77" i="14"/>
  <c r="G9" i="59" s="1"/>
  <c r="G10" s="1"/>
  <c r="I77" i="14"/>
  <c r="I9" i="59" s="1"/>
  <c r="B13" i="15"/>
  <c r="N13"/>
  <c r="L13"/>
  <c r="F77" i="14"/>
  <c r="F9" i="59" s="1"/>
  <c r="F101" i="18"/>
  <c r="H101"/>
  <c r="D101"/>
  <c r="I102"/>
  <c r="H17" s="1"/>
  <c r="E102"/>
  <c r="E17" s="1"/>
  <c r="C102"/>
  <c r="F102"/>
  <c r="H102"/>
  <c r="D102"/>
  <c r="G102"/>
  <c r="B102"/>
  <c r="C17" s="1"/>
  <c r="O19"/>
  <c r="O78" i="14"/>
  <c r="N88"/>
  <c r="D10" i="18"/>
  <c r="E78" i="14"/>
  <c r="D77"/>
  <c r="D9" i="59" s="1"/>
  <c r="H77" i="14"/>
  <c r="O88"/>
  <c r="G89"/>
  <c r="G19" i="59" s="1"/>
  <c r="G20" i="18"/>
  <c r="O18"/>
  <c r="O25" i="48"/>
  <c r="O27"/>
  <c r="Q11"/>
  <c r="O29"/>
  <c r="P31"/>
  <c r="O28"/>
  <c r="Q12"/>
  <c r="O24"/>
  <c r="O30"/>
  <c r="P24"/>
  <c r="P30"/>
  <c r="Q77" i="14"/>
  <c r="P9" i="59" s="1"/>
  <c r="E90" i="14"/>
  <c r="R9"/>
  <c r="R25"/>
  <c r="K90"/>
  <c r="J17" i="18" l="1"/>
  <c r="J20" s="1"/>
  <c r="G101"/>
  <c r="I8" s="1"/>
  <c r="I10" s="1"/>
  <c r="G78" i="14"/>
  <c r="B101" i="18"/>
  <c r="C8" s="1"/>
  <c r="O90" i="14"/>
  <c r="O18" i="59"/>
  <c r="O20" s="1"/>
  <c r="N90" i="14"/>
  <c r="N18" i="59"/>
  <c r="N20" s="1"/>
  <c r="H78" i="14"/>
  <c r="H9" i="59"/>
  <c r="H10" s="1"/>
  <c r="Q14" i="48"/>
  <c r="B89" i="14"/>
  <c r="B19" i="59" s="1"/>
  <c r="C101" i="18"/>
  <c r="J8" s="1"/>
  <c r="O8" s="1"/>
  <c r="O10" s="1"/>
  <c r="Q89" i="14"/>
  <c r="P19" i="59" s="1"/>
  <c r="I101" i="18"/>
  <c r="H8" s="1"/>
  <c r="H10" s="1"/>
  <c r="G90" i="14"/>
  <c r="C89"/>
  <c r="C19" i="59" s="1"/>
  <c r="C77" i="14"/>
  <c r="C9" i="59" s="1"/>
  <c r="H20" i="18"/>
  <c r="M87" i="14"/>
  <c r="F76"/>
  <c r="E10" i="18"/>
  <c r="C20"/>
  <c r="D87" i="14"/>
  <c r="D17" i="59" s="1"/>
  <c r="D20" s="1"/>
  <c r="M76" i="14"/>
  <c r="B88"/>
  <c r="B18" i="59" s="1"/>
  <c r="I17" i="18"/>
  <c r="O17" s="1"/>
  <c r="O20" s="1"/>
  <c r="D76" i="14"/>
  <c r="D8" i="59" s="1"/>
  <c r="D10" s="1"/>
  <c r="C10" i="18"/>
  <c r="C88" i="14"/>
  <c r="C18" i="59" s="1"/>
  <c r="I76" i="14"/>
  <c r="I8" i="59" s="1"/>
  <c r="I10" s="1"/>
  <c r="B77" i="14"/>
  <c r="B9" i="59" s="1"/>
  <c r="E20" i="18"/>
  <c r="F87" i="14"/>
  <c r="Q88"/>
  <c r="P18" i="59" s="1"/>
  <c r="H14" i="15"/>
  <c r="H16" s="1"/>
  <c r="G14"/>
  <c r="G16" s="1"/>
  <c r="H5" i="48" l="1"/>
  <c r="I10" i="14"/>
  <c r="I16" s="1"/>
  <c r="H10"/>
  <c r="H16" s="1"/>
  <c r="G5" i="48"/>
  <c r="M78" i="14"/>
  <c r="M8" i="59"/>
  <c r="M10" s="1"/>
  <c r="M90" i="14"/>
  <c r="M17" i="59"/>
  <c r="M20" s="1"/>
  <c r="F78" i="14"/>
  <c r="F8" i="59"/>
  <c r="F10" s="1"/>
  <c r="F90" i="14"/>
  <c r="F17" i="59"/>
  <c r="F20" s="1"/>
  <c r="J87" i="14"/>
  <c r="Q76"/>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B4" i="6" l="1"/>
  <c r="C78" i="14"/>
  <c r="C8" i="59"/>
  <c r="C10" s="1"/>
  <c r="C90" i="14"/>
  <c r="C17" i="59"/>
  <c r="C2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24" i="48" l="1"/>
  <c r="F31"/>
  <c r="F32"/>
  <c r="F30"/>
  <c r="F27"/>
  <c r="F28"/>
  <c r="F29"/>
  <c r="C19" i="14"/>
  <c r="B10" i="48"/>
  <c r="L10" i="14"/>
  <c r="L16" s="1"/>
  <c r="L27" s="1"/>
  <c r="K5" i="48"/>
  <c r="D30"/>
  <c r="D31"/>
  <c r="D24"/>
  <c r="D28"/>
  <c r="D29"/>
  <c r="D32"/>
  <c r="L28"/>
  <c r="L32"/>
  <c r="L27"/>
  <c r="L30"/>
  <c r="L29"/>
  <c r="L31"/>
  <c r="L24"/>
  <c r="L22"/>
  <c r="P5"/>
  <c r="P23" s="1"/>
  <c r="Q10" i="14"/>
  <c r="K28" i="48"/>
  <c r="K32"/>
  <c r="K26"/>
  <c r="K22"/>
  <c r="K29"/>
  <c r="K25"/>
  <c r="K27"/>
  <c r="K30"/>
  <c r="K31"/>
  <c r="K24"/>
  <c r="B7"/>
  <c r="C24" i="14"/>
  <c r="C26" s="1"/>
  <c r="J30" i="48"/>
  <c r="J24"/>
  <c r="J32"/>
  <c r="J27"/>
  <c r="J28"/>
  <c r="J29"/>
  <c r="J31"/>
  <c r="P11" i="14"/>
  <c r="O4" i="48"/>
  <c r="D4"/>
  <c r="D22" s="1"/>
  <c r="E11" i="14"/>
  <c r="H26" i="48"/>
  <c r="H32"/>
  <c r="H29"/>
  <c r="H28"/>
  <c r="H25"/>
  <c r="H22"/>
  <c r="H30"/>
  <c r="H24"/>
  <c r="H23"/>
  <c r="C4"/>
  <c r="D11" i="14"/>
  <c r="G26" i="48"/>
  <c r="G29"/>
  <c r="G30"/>
  <c r="G25"/>
  <c r="G24"/>
  <c r="G32"/>
  <c r="G22"/>
  <c r="G23"/>
  <c r="P4"/>
  <c r="Q11" i="14"/>
  <c r="I28" i="48"/>
  <c r="I26"/>
  <c r="I32"/>
  <c r="I22"/>
  <c r="I25"/>
  <c r="I29"/>
  <c r="I27"/>
  <c r="I31"/>
  <c r="I30"/>
  <c r="I24"/>
  <c r="C11" i="14"/>
  <c r="B4" i="48"/>
  <c r="N31"/>
  <c r="N30"/>
  <c r="N24"/>
  <c r="N32"/>
  <c r="N29"/>
  <c r="N28"/>
  <c r="N27"/>
  <c r="E32"/>
  <c r="E29"/>
  <c r="E30"/>
  <c r="E28"/>
  <c r="E31"/>
  <c r="E24"/>
  <c r="M26"/>
  <c r="M22"/>
  <c r="M25"/>
  <c r="M32"/>
  <c r="M30"/>
  <c r="M29"/>
  <c r="M24"/>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J10" i="14"/>
  <c r="J16" s="1"/>
  <c r="J27" s="1"/>
  <c r="I5" i="48"/>
  <c r="F20" i="14"/>
  <c r="F22" s="1"/>
  <c r="E9" i="48"/>
  <c r="E27" s="1"/>
  <c r="Q16" i="14"/>
  <c r="Q27" s="1"/>
  <c r="J63"/>
  <c r="M12" i="22"/>
  <c r="N18" i="14"/>
  <c r="M13" i="48"/>
  <c r="M31" s="1"/>
  <c r="H13"/>
  <c r="H31" s="1"/>
  <c r="I18" i="14"/>
  <c r="G13" i="48"/>
  <c r="H18" i="14"/>
  <c r="P22" i="16"/>
  <c r="Q43" i="14" s="1"/>
  <c r="Q13"/>
  <c r="P8" i="48"/>
  <c r="P26" s="1"/>
  <c r="P22"/>
  <c r="E20" i="14"/>
  <c r="E22" s="1"/>
  <c r="D9" i="48"/>
  <c r="D27" s="1"/>
  <c r="P10" i="14"/>
  <c r="O5" i="48"/>
  <c r="O23" s="1"/>
  <c r="K24" i="14"/>
  <c r="K26" s="1"/>
  <c r="J7" i="48"/>
  <c r="J25" s="1"/>
  <c r="C20" i="14"/>
  <c r="B9" i="48"/>
  <c r="G11" i="14"/>
  <c r="F4" i="48"/>
  <c r="F22" s="1"/>
  <c r="O22"/>
  <c r="C22" i="14"/>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I23"/>
  <c r="I33" s="1"/>
  <c r="I15"/>
  <c r="P33"/>
  <c r="N20" i="14"/>
  <c r="M9" i="48"/>
  <c r="O22" i="16"/>
  <c r="P43" i="14" s="1"/>
  <c r="P46" s="1"/>
  <c r="P61" s="1"/>
  <c r="P13"/>
  <c r="P16" s="1"/>
  <c r="P27" s="1"/>
  <c r="O8" i="48"/>
  <c r="O26" s="1"/>
  <c r="E12" i="13"/>
  <c r="F41" i="14" s="1"/>
  <c r="F11"/>
  <c r="E4" i="48"/>
  <c r="K11" i="14"/>
  <c r="J4" i="48"/>
  <c r="G31"/>
  <c r="Q13"/>
  <c r="O33"/>
  <c r="Q63" i="14"/>
  <c r="P15" i="48"/>
  <c r="Q46" i="14"/>
  <c r="Q61" s="1"/>
  <c r="N52"/>
  <c r="N61" s="1"/>
  <c r="N63" s="1"/>
  <c r="H19"/>
  <c r="R19" s="1"/>
  <c r="G10" i="48"/>
  <c r="E7"/>
  <c r="E25" s="1"/>
  <c r="F24" i="14"/>
  <c r="F26" s="1"/>
  <c r="R18"/>
  <c r="N22"/>
  <c r="N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P63"/>
  <c r="G28" i="48"/>
  <c r="Q10"/>
  <c r="H9"/>
  <c r="I20" i="14"/>
  <c r="E22" i="48"/>
  <c r="Q4"/>
  <c r="J5"/>
  <c r="J23" s="1"/>
  <c r="K10" i="14"/>
  <c r="G27" i="48"/>
  <c r="G15"/>
  <c r="F10" i="14"/>
  <c r="E5" i="48"/>
  <c r="E23" s="1"/>
  <c r="J22"/>
  <c r="M27"/>
  <c r="M33" s="1"/>
  <c r="M15"/>
  <c r="R11" i="14"/>
  <c r="H22"/>
  <c r="H27" s="1"/>
  <c r="O15" i="48"/>
  <c r="L25"/>
  <c r="Q7"/>
  <c r="M26" i="14"/>
  <c r="R24"/>
  <c r="R26" s="1"/>
  <c r="E20" i="15"/>
  <c r="F40" i="14" s="1"/>
  <c r="F18" i="16"/>
  <c r="F22" s="1"/>
  <c r="G43" i="14" s="1"/>
  <c r="J18" i="16"/>
  <c r="E18"/>
  <c r="J20" i="15"/>
  <c r="K40" i="14" s="1"/>
  <c r="N18" i="16"/>
  <c r="N22" s="1"/>
  <c r="O43" i="14" s="1"/>
  <c r="G18" i="22"/>
  <c r="H50" i="14" s="1"/>
  <c r="E22" i="16"/>
  <c r="F43" i="14" s="1"/>
  <c r="H18" i="22"/>
  <c r="I50" i="14" s="1"/>
  <c r="I52" s="1"/>
  <c r="I61" s="1"/>
  <c r="H27" i="48" l="1"/>
  <c r="H33" s="1"/>
  <c r="H15"/>
  <c r="F46" i="14"/>
  <c r="F61" s="1"/>
  <c r="G33" i="48"/>
  <c r="I22" i="14"/>
  <c r="I27" s="1"/>
  <c r="I63" s="1"/>
  <c r="R20"/>
  <c r="R22" s="1"/>
  <c r="J22" i="16"/>
  <c r="K43" i="14" s="1"/>
  <c r="K46" s="1"/>
  <c r="K61" s="1"/>
  <c r="K63" s="1"/>
  <c r="J8" i="48"/>
  <c r="K13" i="14"/>
  <c r="K16" s="1"/>
  <c r="K27" s="1"/>
  <c r="F13"/>
  <c r="F16" s="1"/>
  <c r="F27" s="1"/>
  <c r="E8" i="48"/>
  <c r="Q9"/>
  <c r="H63" i="14"/>
  <c r="O13"/>
  <c r="N8" i="48"/>
  <c r="N26" s="1"/>
  <c r="F8"/>
  <c r="G13" i="14"/>
  <c r="R13" s="1"/>
  <c r="E26" i="48" l="1"/>
  <c r="E33" s="1"/>
  <c r="E15"/>
  <c r="F63" i="14"/>
  <c r="J26" i="48"/>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<sst xmlns="http://schemas.openxmlformats.org/spreadsheetml/2006/main" count="2428" uniqueCount="913">
  <si>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</si>
  <si>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</si>
  <si>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</si>
  <si>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</si>
  <si>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</si>
  <si>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</si>
  <si>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</si>
  <si>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</si>
  <si>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</si>
  <si>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</si>
  <si>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</si>
  <si>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</si>
  <si>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</si>
  <si>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</si>
  <si>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</si>
  <si>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</si>
  <si>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</si>
  <si>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</si>
  <si>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</si>
  <si>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</si>
  <si>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</si>
  <si>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</si>
  <si>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</si>
  <si>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</si>
  <si>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</si>
  <si>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</si>
  <si>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</si>
  <si>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</si>
  <si>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</si>
  <si>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</si>
  <si>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</si>
  <si>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</si>
  <si>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</si>
  <si>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</si>
  <si>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</si>
  <si>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</si>
  <si>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</si>
  <si>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</si>
  <si>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</si>
  <si>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</si>
  <si>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</si>
  <si>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</si>
  <si>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</si>
  <si>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</si>
  <si>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</si>
  <si>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</si>
  <si>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</si>
  <si>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</si>
  <si>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</si>
  <si>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</si>
  <si>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</si>
  <si>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</si>
  <si>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</si>
  <si>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</si>
  <si>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</si>
  <si>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</si>
  <si>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</si>
  <si>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</si>
  <si>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</si>
  <si>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</si>
  <si>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</si>
  <si>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</si>
  <si>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</si>
  <si>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</si>
  <si>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</si>
  <si>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</si>
  <si>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</si>
  <si>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</si>
  <si>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</si>
  <si>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</si>
  <si>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</si>
  <si>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</si>
  <si>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</si>
  <si>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</si>
  <si>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</si>
  <si>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</si>
  <si>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</si>
  <si>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</si>
  <si>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</si>
  <si>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</si>
  <si>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</si>
  <si>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</si>
  <si>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</si>
  <si>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</si>
  <si>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</si>
  <si>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</si>
  <si>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</si>
  <si>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</si>
  <si>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</si>
  <si>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</si>
  <si>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</si>
  <si>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</si>
  <si>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</si>
  <si>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</si>
  <si>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</si>
  <si>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</si>
  <si>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</si>
  <si>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</si>
  <si>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</si>
  <si>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</si>
  <si>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</si>
  <si>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</si>
  <si>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</si>
  <si>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</si>
  <si>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</si>
  <si>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</si>
  <si>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</si>
  <si>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</si>
  <si>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</si>
  <si>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</si>
  <si>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</si>
  <si>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</si>
  <si>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</si>
  <si>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</si>
  <si>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</si>
  <si>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</si>
  <si>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</si>
  <si>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</si>
  <si>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</si>
  <si>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</si>
  <si>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</si>
  <si>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</si>
  <si>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</si>
  <si>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</si>
  <si>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</si>
  <si>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</si>
  <si>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</si>
  <si>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</si>
  <si>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</si>
  <si>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</si>
  <si>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</si>
  <si>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</si>
  <si>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</si>
  <si>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</si>
  <si>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</si>
  <si>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</si>
  <si>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</si>
  <si>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</si>
  <si>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</si>
  <si>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</si>
  <si>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</si>
  <si>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</si>
  <si>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</si>
  <si>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</si>
  <si>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</si>
  <si>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</si>
  <si>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</si>
  <si>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</si>
  <si>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</si>
  <si>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</si>
  <si>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</si>
  <si>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</si>
  <si>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</si>
  <si>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</si>
  <si>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</si>
  <si>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</si>
  <si>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</si>
  <si>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</si>
  <si>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</si>
  <si>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</si>
  <si>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</si>
  <si>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</si>
  <si>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</si>
  <si>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</si>
  <si>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</si>
  <si>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</si>
  <si>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</si>
  <si>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</si>
  <si>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</si>
  <si>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</si>
  <si>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</si>
  <si>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</si>
  <si>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</si>
  <si>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</si>
  <si>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</si>
  <si>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</si>
  <si>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</si>
  <si>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</si>
  <si>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</si>
  <si>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</si>
  <si>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</si>
  <si>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</si>
  <si>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</si>
  <si>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</si>
  <si>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</si>
  <si>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</si>
  <si>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</si>
  <si>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</si>
  <si>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</si>
  <si>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</si>
  <si>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</si>
  <si>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</si>
  <si>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</si>
  <si>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</si>
  <si>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</si>
  <si>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</si>
  <si>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</si>
  <si>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</si>
  <si>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</si>
  <si>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</si>
  <si>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</si>
  <si>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</si>
  <si>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</si>
  <si>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</si>
  <si>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</si>
  <si>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</si>
  <si>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</si>
  <si>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</si>
  <si>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</si>
  <si>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</si>
  <si>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</si>
  <si>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</si>
  <si>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</si>
  <si>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</si>
  <si>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</si>
  <si>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</si>
  <si>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</si>
  <si>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</si>
  <si>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</si>
  <si>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</si>
  <si>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</si>
  <si>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</si>
  <si>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</si>
  <si>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</si>
  <si>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</si>
  <si>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</si>
  <si>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</si>
  <si>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</si>
  <si>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</si>
  <si>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</si>
  <si>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</si>
  <si>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</si>
  <si>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</si>
  <si>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</si>
  <si>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</si>
  <si>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</si>
  <si>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</si>
  <si>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</si>
  <si>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</si>
  <si>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</si>
  <si>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</si>
  <si>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</si>
  <si>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</si>
  <si>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</si>
  <si>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</si>
  <si>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</si>
  <si>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</si>
  <si>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</si>
  <si>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</si>
  <si>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</si>
  <si>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</si>
  <si>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</si>
  <si>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</si>
  <si>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</si>
  <si>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</si>
  <si>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</si>
  <si>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</si>
  <si>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</si>
  <si>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</si>
  <si>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</si>
  <si>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</si>
  <si>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</si>
  <si>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</si>
  <si>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</si>
  <si>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</si>
  <si>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</si>
  <si>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</si>
  <si>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</si>
  <si>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</si>
  <si>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</si>
  <si>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</si>
  <si>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</si>
  <si>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</si>
  <si>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</si>
  <si>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</si>
  <si>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</si>
  <si>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</si>
  <si>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</si>
  <si>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</si>
  <si>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</si>
  <si>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</si>
  <si>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</si>
  <si>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</si>
  <si>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</si>
  <si>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</si>
  <si>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</si>
  <si>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</si>
  <si>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</si>
  <si>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</si>
  <si>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</si>
  <si>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</si>
  <si>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</si>
  <si>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</si>
  <si>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</si>
  <si>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</si>
  <si>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</si>
  <si>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</si>
  <si>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</si>
  <si>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</si>
  <si>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</si>
  <si>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</si>
  <si>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</si>
  <si>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</si>
  <si>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</si>
  <si>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</si>
  <si>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</si>
  <si>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</si>
  <si>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</si>
  <si>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</si>
  <si>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</si>
  <si>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</si>
  <si>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</si>
  <si>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</si>
  <si>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</si>
  <si>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</si>
  <si>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</si>
  <si>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</si>
  <si>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</si>
  <si>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</si>
  <si>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</si>
  <si>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</si>
  <si>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</si>
  <si>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</si>
  <si>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</si>
  <si>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</si>
  <si>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</si>
  <si>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</si>
  <si>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</si>
  <si>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</si>
  <si>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</si>
  <si>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</si>
  <si>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</si>
  <si>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</si>
  <si>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</si>
  <si>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</si>
  <si>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</si>
  <si>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</si>
  <si>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</si>
  <si>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</si>
  <si>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</si>
  <si>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</si>
  <si>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</si>
  <si>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</si>
  <si>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</si>
  <si>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</si>
  <si>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</si>
  <si>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</si>
  <si>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</si>
  <si>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</si>
  <si>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</si>
  <si>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</si>
  <si>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</si>
  <si>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</si>
  <si>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</si>
  <si>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</si>
  <si>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</si>
  <si>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</si>
  <si>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</si>
  <si>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</si>
  <si>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</si>
  <si>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</si>
  <si>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</si>
  <si>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</si>
  <si>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</si>
  <si>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</si>
  <si>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</si>
  <si>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</si>
  <si>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</si>
  <si>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</si>
  <si>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</si>
  <si>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</si>
  <si>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</si>
  <si>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</si>
  <si>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</si>
  <si>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</si>
  <si>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</si>
  <si>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</si>
  <si>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</si>
  <si>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</si>
  <si>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</si>
  <si>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</si>
  <si>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</si>
  <si>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</si>
  <si>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</si>
  <si>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</si>
  <si>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</si>
  <si>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</si>
  <si>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</si>
  <si>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</si>
  <si>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</si>
  <si>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</si>
  <si>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</si>
  <si>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</si>
  <si>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</si>
  <si>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</si>
  <si>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</si>
  <si>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</si>
  <si>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</si>
  <si>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</si>
  <si>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</si>
  <si>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</si>
  <si>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</si>
  <si>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</si>
  <si>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</si>
  <si>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</si>
  <si>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</si>
  <si>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</si>
  <si>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</si>
  <si>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</si>
  <si>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</si>
  <si>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</si>
  <si>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</si>
  <si>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</si>
  <si>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</si>
  <si>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</si>
  <si>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</si>
  <si>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</si>
  <si>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</si>
  <si>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</si>
  <si>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</si>
  <si>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</si>
  <si>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</si>
  <si>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</si>
  <si>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</si>
  <si>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</si>
  <si>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</si>
  <si>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</si>
  <si>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</si>
  <si>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</si>
  <si>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</si>
  <si>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</si>
  <si>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</si>
  <si>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</si>
  <si>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</si>
  <si>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</si>
  <si>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</si>
  <si>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</si>
  <si>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</si>
  <si>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</si>
  <si>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</si>
  <si>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</si>
  <si>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</si>
  <si>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</si>
  <si>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</si>
  <si>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</si>
  <si>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</si>
  <si>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</si>
  <si>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</si>
  <si>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</si>
  <si>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</si>
  <si>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</si>
  <si>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</si>
  <si>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</si>
  <si>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</si>
  <si>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</si>
  <si>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</si>
  <si>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</si>
  <si>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</si>
  <si>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</si>
  <si>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</si>
  <si>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</si>
  <si>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</si>
  <si>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</si>
  <si>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</si>
  <si>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</si>
  <si>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</si>
  <si>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</si>
  <si>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</si>
  <si>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</si>
  <si>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</si>
  <si>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</si>
  <si>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</si>
  <si>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</si>
  <si>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</si>
  <si>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</si>
  <si>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</si>
  <si>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</si>
  <si>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</si>
  <si>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</si>
  <si>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</si>
  <si>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</si>
  <si>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</si>
  <si>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</si>
  <si>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</si>
  <si>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</si>
  <si>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</si>
  <si>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</si>
  <si>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</si>
  <si>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</si>
  <si>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</si>
  <si>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</si>
  <si>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</si>
  <si>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</si>
  <si>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</si>
  <si>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</si>
  <si>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</si>
  <si>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</si>
  <si>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</si>
  <si>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</si>
  <si>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</si>
  <si>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</si>
  <si>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</si>
  <si>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</si>
  <si>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</si>
  <si>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</si>
  <si>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</si>
  <si>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</si>
  <si>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</si>
  <si>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</si>
  <si>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</si>
  <si>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</si>
  <si>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</si>
  <si>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</si>
  <si>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</si>
  <si>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</si>
  <si>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</si>
  <si>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</si>
  <si>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</si>
  <si>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</si>
  <si>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</si>
  <si>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</si>
  <si>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</si>
  <si>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</si>
  <si>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</si>
  <si>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</si>
  <si>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</si>
  <si>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</si>
  <si>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</si>
  <si>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</si>
  <si>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</si>
  <si>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</si>
  <si>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</si>
  <si>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</si>
  <si>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</si>
  <si>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</si>
  <si>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</si>
  <si>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</si>
  <si>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</si>
  <si>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</si>
  <si>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</si>
  <si>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</si>
  <si>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</si>
  <si>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</si>
  <si>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</si>
  <si>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</si>
  <si>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</si>
  <si>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</si>
  <si>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</si>
  <si>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</si>
  <si>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</si>
  <si>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</si>
  <si>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</si>
  <si>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</si>
  <si>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</si>
  <si>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</si>
  <si>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</si>
  <si>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</si>
  <si>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</si>
  <si>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</si>
  <si>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</si>
  <si>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</si>
  <si>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</si>
  <si>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</si>
  <si>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</si>
  <si>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</si>
  <si>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</si>
  <si>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</si>
  <si>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</si>
  <si>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</si>
  <si>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</si>
  <si>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</si>
  <si>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</si>
  <si>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</si>
  <si>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</si>
  <si>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</si>
  <si>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</si>
  <si>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</si>
  <si>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</si>
  <si>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</si>
  <si>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</si>
  <si>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</si>
  <si>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</si>
  <si>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</si>
  <si>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</si>
  <si>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</si>
  <si>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</si>
  <si>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</si>
  <si>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</si>
  <si>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</si>
  <si>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</si>
  <si>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</si>
  <si>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</si>
  <si>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</si>
  <si>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</si>
  <si>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</si>
  <si>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</si>
  <si>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</si>
  <si>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</si>
  <si>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</si>
  <si>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</si>
  <si>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</si>
  <si>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</si>
  <si>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</si>
  <si>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</si>
  <si>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</si>
  <si>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</si>
  <si>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</si>
  <si>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</si>
  <si>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</si>
  <si>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</si>
  <si>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</si>
  <si>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</si>
  <si>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</si>
  <si>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</si>
  <si>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</si>
  <si>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</si>
  <si>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</si>
  <si>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</si>
  <si>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</si>
  <si>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</si>
  <si>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</si>
  <si>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</si>
  <si>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</si>
  <si>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</si>
  <si>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</si>
  <si>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</si>
  <si>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</si>
  <si>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</si>
  <si>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</si>
  <si>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</si>
  <si>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</si>
  <si>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</si>
  <si>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</si>
  <si>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</si>
  <si>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</si>
  <si>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</si>
  <si>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</si>
  <si>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</si>
  <si>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</si>
  <si>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</si>
  <si>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</si>
  <si>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</si>
  <si>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</si>
  <si>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</si>
  <si>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</si>
  <si>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</si>
  <si>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</si>
  <si>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</si>
  <si>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</si>
  <si>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</si>
  <si>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</si>
  <si>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</si>
  <si>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</si>
  <si>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</si>
  <si>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</si>
  <si>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</si>
  <si>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</si>
  <si>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</si>
  <si>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</si>
  <si>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</si>
  <si>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</si>
  <si>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</si>
  <si>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</si>
  <si>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</si>
  <si>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</si>
  <si>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</si>
  <si>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</si>
  <si>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</si>
  <si>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</si>
  <si>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</si>
  <si>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</si>
  <si>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</si>
  <si>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</si>
  <si>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</si>
  <si>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</si>
  <si>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</si>
  <si>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</si>
  <si>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</si>
  <si>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</si>
  <si>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</si>
  <si>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</si>
  <si>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</si>
  <si>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</si>
  <si>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</si>
  <si>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</si>
  <si>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</si>
  <si>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</si>
  <si>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</si>
  <si>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</si>
  <si>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</si>
  <si>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</si>
  <si>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</si>
  <si>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</si>
  <si>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</si>
  <si>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</si>
  <si>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</si>
  <si>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</si>
  <si>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</si>
  <si>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</si>
  <si>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</si>
  <si>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</si>
  <si>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</si>
  <si>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</si>
  <si>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</si>
  <si>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</si>
  <si>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</si>
  <si>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</si>
  <si>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</si>
  <si>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</si>
  <si>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</si>
  <si>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</si>
  <si>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</si>
  <si>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</si>
  <si>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</si>
  <si>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</si>
  <si>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</si>
  <si>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</si>
  <si>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</si>
  <si>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</si>
  <si>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</si>
  <si>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</si>
  <si>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</si>
  <si>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</si>
  <si>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</si>
  <si>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</si>
  <si>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</si>
  <si>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</si>
  <si>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</si>
  <si>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</si>
  <si>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</si>
  <si>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</si>
  <si>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</si>
  <si>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</si>
  <si>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</si>
  <si>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</si>
  <si>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</si>
  <si>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</si>
  <si>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</si>
  <si>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</si>
  <si>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</si>
  <si>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</si>
  <si>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</si>
  <si>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</si>
  <si>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</si>
  <si>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</si>
  <si>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</si>
  <si>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</si>
  <si>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</si>
  <si>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</si>
  <si>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</si>
  <si>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</si>
  <si>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</si>
  <si>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</si>
  <si>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</si>
  <si>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</si>
  <si>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</si>
  <si>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</si>
  <si>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</si>
  <si>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</si>
  <si>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</si>
  <si>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</si>
  <si>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</si>
  <si>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</si>
  <si>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</si>
  <si>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</si>
  <si>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</si>
  <si>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</si>
  <si>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</si>
  <si>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</si>
  <si>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</si>
  <si>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</si>
  <si>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</si>
  <si>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</si>
  <si>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</si>
  <si>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</si>
  <si>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</si>
  <si>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</si>
  <si>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</si>
  <si>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</si>
  <si>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</si>
  <si>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</si>
  <si>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</si>
  <si>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</si>
  <si>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</si>
  <si>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</si>
  <si>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</si>
  <si>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</si>
  <si>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</si>
  <si>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</si>
  <si>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</si>
  <si>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</si>
  <si>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</si>
  <si>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</si>
  <si>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</si>
  <si>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</si>
  <si>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</si>
  <si>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</si>
  <si>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</si>
  <si>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</si>
  <si>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</si>
  <si>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</si>
  <si>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</si>
  <si>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</si>
  <si>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</si>
  <si>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</si>
  <si>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</si>
  <si>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</si>
  <si>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</si>
  <si>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</si>
  <si>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</si>
  <si>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</si>
  <si>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</si>
  <si>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</si>
  <si>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</si>
  <si>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</si>
  <si>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</si>
  <si>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</si>
  <si>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</si>
  <si>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</si>
  <si>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</si>
  <si>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</si>
  <si>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</si>
  <si>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</si>
  <si>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</si>
  <si>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</si>
  <si>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</si>
  <si>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</si>
  <si>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</si>
  <si>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</si>
  <si>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</si>
  <si>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</si>
  <si>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</si>
  <si>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</si>
  <si>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</si>
  <si>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</si>
  <si>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</si>
  <si>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</si>
  <si>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</si>
  <si>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</si>
  <si>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</si>
  <si>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</si>
  <si>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</si>
  <si>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</si>
  <si>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</si>
  <si>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</si>
  <si>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</si>
  <si>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</si>
  <si>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</si>
  <si>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</si>
  <si>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</si>
  <si>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</si>
  <si>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</si>
  <si>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</si>
  <si>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</si>
  <si>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</si>
  <si>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</si>
  <si>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</si>
  <si>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</si>
  <si>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</si>
  <si>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</si>
  <si>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</si>
  <si>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</si>
  <si>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</si>
  <si>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</si>
  <si>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</si>
  <si>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</si>
  <si>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</si>
  <si>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</si>
  <si>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</si>
  <si>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</si>
  <si>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</si>
  <si>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</si>
  <si>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</si>
  <si>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</si>
  <si>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</si>
  <si>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</si>
  <si>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</si>
  <si>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</si>
  <si>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</si>
  <si>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</si>
  <si>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</si>
  <si>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</si>
  <si>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</si>
  <si>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</si>
  <si>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</si>
  <si>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</si>
  <si>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</si>
  <si>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</si>
  <si>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</si>
  <si>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</si>
  <si>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</si>
  <si>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</si>
  <si>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</si>
  <si>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</si>
  <si>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</si>
  <si>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</si>
  <si>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</si>
  <si>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</si>
  <si>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</si>
  <si>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72029</t>
  </si>
  <si>
    <t>OVERPELT</t>
  </si>
  <si>
    <t>Paarden&amp;pony's 200 - 600 kg</t>
  </si>
  <si>
    <t>Paarden&amp;pony's &lt; 200 kg</t>
  </si>
  <si>
    <t>referentietaak LNE (2017); Jaarverslag De Lijn (2014)</t>
  </si>
  <si>
    <t>op basis van VEA (maart 2018) en Inventaris Hernieuwbare Energiebronnen (juni 2018)</t>
  </si>
  <si>
    <t>VEA (maart 2016)</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</si>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</sst>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113953.95778634833</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113953.95778634833</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20906.847031127021</c:v>
                </c:pt>
                <c:pt idx="2">
                  <c:v>9936.4872641899583</c:v>
                </c:pt>
                <c:pt idx="3">
                  <c:v>184.4481720466718</c:v>
                </c:pt>
                <c:pt idx="4">
                  <c:v>729.53494541067084</c:v>
                </c:pt>
                <c:pt idx="5">
                  <c:v>43147.847994902026</c:v>
                </c:pt>
                <c:pt idx="6">
                  <c:v>24122.606684010054</c:v>
                </c:pt>
                <c:pt idx="7">
                  <c:v>557.76447222732804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20906.847031127021</c:v>
                </c:pt>
                <c:pt idx="2">
                  <c:v>9936.4872641899583</c:v>
                </c:pt>
                <c:pt idx="3">
                  <c:v>184.4481720466718</c:v>
                </c:pt>
                <c:pt idx="4">
                  <c:v>729.53494541067084</c:v>
                </c:pt>
                <c:pt idx="5">
                  <c:v>43147.847994902026</c:v>
                </c:pt>
                <c:pt idx="6">
                  <c:v>24122.606684010054</c:v>
                </c:pt>
                <c:pt idx="7">
                  <c:v>557.76447222732804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72029</v>
      </c>
      <c r="B6" s="416"/>
      <c r="C6" s="417"/>
    </row>
    <row r="7" spans="1:7" s="414" customFormat="1" ht="15.75" customHeight="1">
      <c r="A7" s="418" t="str">
        <f>txtMunicipality</f>
        <v>OVERPELT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0.18218380947866153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0.18218380947866153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5983</v>
      </c>
      <c r="C9" s="342">
        <v>6109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1163</v>
      </c>
    </row>
    <row r="15" spans="1:6">
      <c r="A15" s="348" t="s">
        <v>184</v>
      </c>
      <c r="B15" s="334">
        <v>1675</v>
      </c>
    </row>
    <row r="16" spans="1:6">
      <c r="A16" s="348" t="s">
        <v>6</v>
      </c>
      <c r="B16" s="334">
        <v>984</v>
      </c>
    </row>
    <row r="17" spans="1:6">
      <c r="A17" s="348" t="s">
        <v>7</v>
      </c>
      <c r="B17" s="334">
        <v>23</v>
      </c>
    </row>
    <row r="18" spans="1:6">
      <c r="A18" s="348" t="s">
        <v>8</v>
      </c>
      <c r="B18" s="334">
        <v>626</v>
      </c>
    </row>
    <row r="19" spans="1:6">
      <c r="A19" s="348" t="s">
        <v>9</v>
      </c>
      <c r="B19" s="334">
        <v>498</v>
      </c>
    </row>
    <row r="20" spans="1:6">
      <c r="A20" s="348" t="s">
        <v>10</v>
      </c>
      <c r="B20" s="334">
        <v>127</v>
      </c>
    </row>
    <row r="21" spans="1:6">
      <c r="A21" s="348" t="s">
        <v>11</v>
      </c>
      <c r="B21" s="334">
        <v>0</v>
      </c>
    </row>
    <row r="22" spans="1:6">
      <c r="A22" s="348" t="s">
        <v>12</v>
      </c>
      <c r="B22" s="334">
        <v>140</v>
      </c>
    </row>
    <row r="23" spans="1:6">
      <c r="A23" s="348" t="s">
        <v>13</v>
      </c>
      <c r="B23" s="334">
        <v>0</v>
      </c>
    </row>
    <row r="24" spans="1:6">
      <c r="A24" s="348" t="s">
        <v>14</v>
      </c>
      <c r="B24" s="334">
        <v>0</v>
      </c>
    </row>
    <row r="25" spans="1:6">
      <c r="A25" s="348" t="s">
        <v>15</v>
      </c>
      <c r="B25" s="334">
        <v>0</v>
      </c>
    </row>
    <row r="26" spans="1:6">
      <c r="A26" s="348" t="s">
        <v>16</v>
      </c>
      <c r="B26" s="334">
        <v>80</v>
      </c>
    </row>
    <row r="27" spans="1:6">
      <c r="A27" s="348" t="s">
        <v>17</v>
      </c>
      <c r="B27" s="334">
        <v>0</v>
      </c>
    </row>
    <row r="28" spans="1:6" s="356" customFormat="1">
      <c r="A28" s="355" t="s">
        <v>18</v>
      </c>
      <c r="B28" s="355">
        <v>16061</v>
      </c>
    </row>
    <row r="29" spans="1:6">
      <c r="A29" s="355" t="s">
        <v>901</v>
      </c>
      <c r="B29" s="355">
        <v>101</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17150</v>
      </c>
    </row>
    <row r="37" spans="1:6">
      <c r="A37" s="348" t="s">
        <v>25</v>
      </c>
      <c r="B37" s="348" t="s">
        <v>28</v>
      </c>
      <c r="C37" s="334">
        <v>0</v>
      </c>
      <c r="D37" s="334">
        <v>0</v>
      </c>
      <c r="E37" s="334">
        <v>0</v>
      </c>
      <c r="F37" s="334">
        <v>0</v>
      </c>
    </row>
    <row r="38" spans="1:6">
      <c r="A38" s="348" t="s">
        <v>25</v>
      </c>
      <c r="B38" s="348" t="s">
        <v>29</v>
      </c>
      <c r="C38" s="334">
        <v>1</v>
      </c>
      <c r="D38" s="334">
        <v>312120</v>
      </c>
      <c r="E38" s="334">
        <v>0</v>
      </c>
      <c r="F38" s="334">
        <v>0</v>
      </c>
    </row>
    <row r="39" spans="1:6">
      <c r="A39" s="348" t="s">
        <v>30</v>
      </c>
      <c r="B39" s="348" t="s">
        <v>31</v>
      </c>
      <c r="C39" s="334">
        <v>3840</v>
      </c>
      <c r="D39" s="334">
        <v>58244648</v>
      </c>
      <c r="E39" s="334">
        <v>6153</v>
      </c>
      <c r="F39" s="334">
        <v>21624905</v>
      </c>
    </row>
    <row r="40" spans="1:6">
      <c r="A40" s="348" t="s">
        <v>30</v>
      </c>
      <c r="B40" s="348" t="s">
        <v>29</v>
      </c>
      <c r="C40" s="334">
        <v>0</v>
      </c>
      <c r="D40" s="334">
        <v>0</v>
      </c>
      <c r="E40" s="334">
        <v>0</v>
      </c>
      <c r="F40" s="334">
        <v>0</v>
      </c>
    </row>
    <row r="41" spans="1:6">
      <c r="A41" s="348" t="s">
        <v>32</v>
      </c>
      <c r="B41" s="348" t="s">
        <v>33</v>
      </c>
      <c r="C41" s="334">
        <v>72</v>
      </c>
      <c r="D41" s="334">
        <v>9139009</v>
      </c>
      <c r="E41" s="334">
        <v>141</v>
      </c>
      <c r="F41" s="334">
        <v>17172137</v>
      </c>
    </row>
    <row r="42" spans="1:6">
      <c r="A42" s="348" t="s">
        <v>32</v>
      </c>
      <c r="B42" s="348" t="s">
        <v>34</v>
      </c>
      <c r="C42" s="334">
        <v>3</v>
      </c>
      <c r="D42" s="334">
        <v>871512</v>
      </c>
      <c r="E42" s="334">
        <v>4</v>
      </c>
      <c r="F42" s="334">
        <v>1140059</v>
      </c>
    </row>
    <row r="43" spans="1:6">
      <c r="A43" s="348" t="s">
        <v>32</v>
      </c>
      <c r="B43" s="348" t="s">
        <v>35</v>
      </c>
      <c r="C43" s="334">
        <v>0</v>
      </c>
      <c r="D43" s="334">
        <v>0</v>
      </c>
      <c r="E43" s="334">
        <v>3</v>
      </c>
      <c r="F43" s="334">
        <v>4256707</v>
      </c>
    </row>
    <row r="44" spans="1:6">
      <c r="A44" s="348" t="s">
        <v>32</v>
      </c>
      <c r="B44" s="348" t="s">
        <v>36</v>
      </c>
      <c r="C44" s="334">
        <v>31</v>
      </c>
      <c r="D44" s="334">
        <v>55960429</v>
      </c>
      <c r="E44" s="334">
        <v>48</v>
      </c>
      <c r="F44" s="334">
        <v>29334539</v>
      </c>
    </row>
    <row r="45" spans="1:6">
      <c r="A45" s="348" t="s">
        <v>32</v>
      </c>
      <c r="B45" s="348" t="s">
        <v>37</v>
      </c>
      <c r="C45" s="334">
        <v>3</v>
      </c>
      <c r="D45" s="334">
        <v>1144120</v>
      </c>
      <c r="E45" s="334">
        <v>0</v>
      </c>
      <c r="F45" s="334">
        <v>0</v>
      </c>
    </row>
    <row r="46" spans="1:6">
      <c r="A46" s="348" t="s">
        <v>32</v>
      </c>
      <c r="B46" s="348" t="s">
        <v>38</v>
      </c>
      <c r="C46" s="334">
        <v>0</v>
      </c>
      <c r="D46" s="334">
        <v>0</v>
      </c>
      <c r="E46" s="334">
        <v>0</v>
      </c>
      <c r="F46" s="334">
        <v>0</v>
      </c>
    </row>
    <row r="47" spans="1:6">
      <c r="A47" s="348" t="s">
        <v>32</v>
      </c>
      <c r="B47" s="348" t="s">
        <v>39</v>
      </c>
      <c r="C47" s="334">
        <v>3</v>
      </c>
      <c r="D47" s="334">
        <v>2062167</v>
      </c>
      <c r="E47" s="334">
        <v>6</v>
      </c>
      <c r="F47" s="334">
        <v>5147515</v>
      </c>
    </row>
    <row r="48" spans="1:6">
      <c r="A48" s="348" t="s">
        <v>32</v>
      </c>
      <c r="B48" s="348" t="s">
        <v>29</v>
      </c>
      <c r="C48" s="334">
        <v>3</v>
      </c>
      <c r="D48" s="334">
        <v>63714701</v>
      </c>
      <c r="E48" s="334">
        <v>2</v>
      </c>
      <c r="F48" s="334">
        <v>33318</v>
      </c>
    </row>
    <row r="49" spans="1:6">
      <c r="A49" s="348" t="s">
        <v>32</v>
      </c>
      <c r="B49" s="348" t="s">
        <v>40</v>
      </c>
      <c r="C49" s="334">
        <v>3</v>
      </c>
      <c r="D49" s="334">
        <v>3602459</v>
      </c>
      <c r="E49" s="334">
        <v>4</v>
      </c>
      <c r="F49" s="334">
        <v>1465560</v>
      </c>
    </row>
    <row r="50" spans="1:6">
      <c r="A50" s="348" t="s">
        <v>32</v>
      </c>
      <c r="B50" s="348" t="s">
        <v>41</v>
      </c>
      <c r="C50" s="334">
        <v>7</v>
      </c>
      <c r="D50" s="334">
        <v>417567</v>
      </c>
      <c r="E50" s="334">
        <v>13</v>
      </c>
      <c r="F50" s="334">
        <v>248381</v>
      </c>
    </row>
    <row r="51" spans="1:6">
      <c r="A51" s="348" t="s">
        <v>42</v>
      </c>
      <c r="B51" s="348" t="s">
        <v>43</v>
      </c>
      <c r="C51" s="334">
        <v>16</v>
      </c>
      <c r="D51" s="334">
        <v>682123</v>
      </c>
      <c r="E51" s="334">
        <v>45</v>
      </c>
      <c r="F51" s="334">
        <v>660761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1012429</v>
      </c>
    </row>
    <row r="55" spans="1:6">
      <c r="A55" s="348" t="s">
        <v>46</v>
      </c>
      <c r="B55" s="348" t="s">
        <v>29</v>
      </c>
      <c r="C55" s="334">
        <v>0</v>
      </c>
      <c r="D55" s="334">
        <v>0</v>
      </c>
      <c r="E55" s="334">
        <v>0</v>
      </c>
      <c r="F55" s="334">
        <v>0</v>
      </c>
    </row>
    <row r="56" spans="1:6">
      <c r="A56" s="348" t="s">
        <v>48</v>
      </c>
      <c r="B56" s="348" t="s">
        <v>29</v>
      </c>
      <c r="C56" s="334">
        <v>36</v>
      </c>
      <c r="D56" s="334">
        <v>576815</v>
      </c>
      <c r="E56" s="334">
        <v>93</v>
      </c>
      <c r="F56" s="334">
        <v>433460</v>
      </c>
    </row>
    <row r="57" spans="1:6">
      <c r="A57" s="348" t="s">
        <v>49</v>
      </c>
      <c r="B57" s="348" t="s">
        <v>50</v>
      </c>
      <c r="C57" s="334">
        <v>32</v>
      </c>
      <c r="D57" s="334">
        <v>2698632</v>
      </c>
      <c r="E57" s="334">
        <v>70</v>
      </c>
      <c r="F57" s="334">
        <v>2856734</v>
      </c>
    </row>
    <row r="58" spans="1:6">
      <c r="A58" s="348" t="s">
        <v>49</v>
      </c>
      <c r="B58" s="348" t="s">
        <v>51</v>
      </c>
      <c r="C58" s="334">
        <v>27</v>
      </c>
      <c r="D58" s="334">
        <v>9999216</v>
      </c>
      <c r="E58" s="334">
        <v>41</v>
      </c>
      <c r="F58" s="334">
        <v>3077115</v>
      </c>
    </row>
    <row r="59" spans="1:6">
      <c r="A59" s="348" t="s">
        <v>49</v>
      </c>
      <c r="B59" s="348" t="s">
        <v>52</v>
      </c>
      <c r="C59" s="334">
        <v>94</v>
      </c>
      <c r="D59" s="334">
        <v>5804286</v>
      </c>
      <c r="E59" s="334">
        <v>161</v>
      </c>
      <c r="F59" s="334">
        <v>6421393</v>
      </c>
    </row>
    <row r="60" spans="1:6">
      <c r="A60" s="348" t="s">
        <v>49</v>
      </c>
      <c r="B60" s="348" t="s">
        <v>53</v>
      </c>
      <c r="C60" s="334">
        <v>33</v>
      </c>
      <c r="D60" s="334">
        <v>1784277</v>
      </c>
      <c r="E60" s="334">
        <v>52</v>
      </c>
      <c r="F60" s="334">
        <v>1394043</v>
      </c>
    </row>
    <row r="61" spans="1:6">
      <c r="A61" s="348" t="s">
        <v>49</v>
      </c>
      <c r="B61" s="348" t="s">
        <v>54</v>
      </c>
      <c r="C61" s="334">
        <v>91</v>
      </c>
      <c r="D61" s="334">
        <v>4379425</v>
      </c>
      <c r="E61" s="334">
        <v>238</v>
      </c>
      <c r="F61" s="334">
        <v>6629490</v>
      </c>
    </row>
    <row r="62" spans="1:6">
      <c r="A62" s="348" t="s">
        <v>49</v>
      </c>
      <c r="B62" s="348" t="s">
        <v>55</v>
      </c>
      <c r="C62" s="334">
        <v>21</v>
      </c>
      <c r="D62" s="334">
        <v>3552056</v>
      </c>
      <c r="E62" s="334">
        <v>24</v>
      </c>
      <c r="F62" s="334">
        <v>1085511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211237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408834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85085143</v>
      </c>
      <c r="E73" s="476">
        <v>87154434.00608319</v>
      </c>
    </row>
    <row r="74" spans="1:6">
      <c r="A74" s="348" t="s">
        <v>64</v>
      </c>
      <c r="B74" s="348" t="s">
        <v>714</v>
      </c>
      <c r="C74" s="1311" t="s">
        <v>716</v>
      </c>
      <c r="D74" s="476">
        <v>8643625.7502886672</v>
      </c>
      <c r="E74" s="476">
        <v>8807798.4291414563</v>
      </c>
    </row>
    <row r="75" spans="1:6">
      <c r="A75" s="348" t="s">
        <v>65</v>
      </c>
      <c r="B75" s="348" t="s">
        <v>713</v>
      </c>
      <c r="C75" s="1311" t="s">
        <v>717</v>
      </c>
      <c r="D75" s="476">
        <v>21979049</v>
      </c>
      <c r="E75" s="476">
        <v>22505694.08864674</v>
      </c>
    </row>
    <row r="76" spans="1:6">
      <c r="A76" s="348" t="s">
        <v>65</v>
      </c>
      <c r="B76" s="348" t="s">
        <v>714</v>
      </c>
      <c r="C76" s="1311" t="s">
        <v>718</v>
      </c>
      <c r="D76" s="476">
        <v>904403.75028866646</v>
      </c>
      <c r="E76" s="476">
        <v>909198.24303393962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590066.49942266697</v>
      </c>
      <c r="C83" s="476">
        <v>580007.69954063534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4527.5914395982054</v>
      </c>
    </row>
    <row r="92" spans="1:6">
      <c r="A92" s="341" t="s">
        <v>69</v>
      </c>
      <c r="B92" s="342">
        <v>14491.95562756761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0</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108536.32196409503</v>
      </c>
      <c r="C3" s="43" t="s">
        <v>170</v>
      </c>
      <c r="D3" s="43"/>
      <c r="E3" s="154"/>
      <c r="F3" s="43"/>
      <c r="G3" s="43"/>
      <c r="H3" s="43"/>
      <c r="I3" s="43"/>
      <c r="J3" s="43"/>
      <c r="K3" s="96"/>
    </row>
    <row r="4" spans="1:11">
      <c r="A4" s="384" t="s">
        <v>171</v>
      </c>
      <c r="B4" s="49">
        <f>IF(ISERROR('SEAP template'!B78+'SEAP template'!C78),0,'SEAP template'!B78+'SEAP template'!C78)</f>
        <v>19063.197067165816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0.18218380947866153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0.18218380947866153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184.4481720466718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21624.904999999999</v>
      </c>
      <c r="C5" s="17">
        <f>IF(ISERROR('Eigen informatie GS &amp; warmtenet'!B57),0,'Eigen informatie GS &amp; warmtenet'!B57)</f>
        <v>0</v>
      </c>
      <c r="D5" s="30">
        <f>(SUM(HH_hh_gas_kWh,HH_rest_gas_kWh)/1000)*0.902</f>
        <v>52536.672495999999</v>
      </c>
      <c r="E5" s="17">
        <f>B46*B57</f>
        <v>4900.5820391525021</v>
      </c>
      <c r="F5" s="17">
        <f>B51*B62</f>
        <v>16544.74020713209</v>
      </c>
      <c r="G5" s="18"/>
      <c r="H5" s="17"/>
      <c r="I5" s="17"/>
      <c r="J5" s="17">
        <f>B50*B61+C50*C61</f>
        <v>0</v>
      </c>
      <c r="K5" s="17"/>
      <c r="L5" s="17"/>
      <c r="M5" s="17"/>
      <c r="N5" s="17">
        <f>B48*B59+C48*C59</f>
        <v>12866.04327113221</v>
      </c>
      <c r="O5" s="17">
        <f>B69*B70*B71</f>
        <v>286.09000000000003</v>
      </c>
      <c r="P5" s="17">
        <f>B77*B78*B79/1000-B77*B78*B79/1000/B80</f>
        <v>667.33333333333337</v>
      </c>
    </row>
    <row r="6" spans="1:16">
      <c r="A6" s="16" t="s">
        <v>631</v>
      </c>
      <c r="B6" s="789">
        <f>kWh_PV_kleiner_dan_10kW</f>
        <v>4527.5914395982054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26152.496439598202</v>
      </c>
      <c r="C8" s="21">
        <f>C5</f>
        <v>0</v>
      </c>
      <c r="D8" s="21">
        <f>D5</f>
        <v>52536.672495999999</v>
      </c>
      <c r="E8" s="21">
        <f>E5</f>
        <v>4900.5820391525021</v>
      </c>
      <c r="F8" s="21">
        <f>F5</f>
        <v>16544.74020713209</v>
      </c>
      <c r="G8" s="21"/>
      <c r="H8" s="21"/>
      <c r="I8" s="21"/>
      <c r="J8" s="21">
        <f>J5</f>
        <v>0</v>
      </c>
      <c r="K8" s="21"/>
      <c r="L8" s="21">
        <f>L5</f>
        <v>0</v>
      </c>
      <c r="M8" s="21">
        <f>M5</f>
        <v>0</v>
      </c>
      <c r="N8" s="21">
        <f>N5</f>
        <v>12866.04327113221</v>
      </c>
      <c r="O8" s="21">
        <f>O5</f>
        <v>286.09000000000003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0.18218380947866153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4764.5614287431326</v>
      </c>
      <c r="C12" s="23">
        <f ca="1">C10*C8</f>
        <v>0</v>
      </c>
      <c r="D12" s="23">
        <f>D8*D10</f>
        <v>10612.407844192001</v>
      </c>
      <c r="E12" s="23">
        <f>E10*E8</f>
        <v>1112.4321228876181</v>
      </c>
      <c r="F12" s="23">
        <f>F10*F8</f>
        <v>4417.4456353042688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5983</v>
      </c>
      <c r="C28" s="36"/>
      <c r="D28" s="228"/>
    </row>
    <row r="29" spans="1:7" s="15" customFormat="1">
      <c r="A29" s="230" t="s">
        <v>741</v>
      </c>
      <c r="B29" s="37">
        <f>SUM(HH_hh_gas_aantal,HH_rest_gas_aantal)</f>
        <v>3840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3840</v>
      </c>
      <c r="C32" s="167">
        <f>IF(ISERROR(B32/SUM($B$32,$B$34,$B$35,$B$36,$B$38,$B$39)*100),0,B32/SUM($B$32,$B$34,$B$35,$B$36,$B$38,$B$39)*100)</f>
        <v>64.55951580363147</v>
      </c>
      <c r="D32" s="233"/>
      <c r="G32" s="15"/>
    </row>
    <row r="33" spans="1:7">
      <c r="A33" s="171" t="s">
        <v>72</v>
      </c>
      <c r="B33" s="34" t="s">
        <v>111</v>
      </c>
      <c r="C33" s="167"/>
      <c r="D33" s="233"/>
      <c r="G33" s="15"/>
    </row>
    <row r="34" spans="1:7">
      <c r="A34" s="171" t="s">
        <v>73</v>
      </c>
      <c r="B34" s="33">
        <f>IF((($B$28-$B$32-$B$39-$B$77-$B$38)*C20/100)&lt;0,0,($B$28-$B$32-$B$39-$B$77-$B$38)*C20/100)</f>
        <v>328.44633431085043</v>
      </c>
      <c r="C34" s="167">
        <f>IF(ISERROR(B34/SUM($B$32,$B$34,$B$35,$B$36,$B$38,$B$39)*100),0,B34/SUM($B$32,$B$34,$B$35,$B$36,$B$38,$B$39)*100)</f>
        <v>5.5219625808818158</v>
      </c>
      <c r="D34" s="233"/>
      <c r="G34" s="15"/>
    </row>
    <row r="35" spans="1:7">
      <c r="A35" s="171" t="s">
        <v>74</v>
      </c>
      <c r="B35" s="33">
        <f>IF((($B$28-$B$32-$B$39-$B$77-$B$38)*C21/100)&lt;0,0,($B$28-$B$32-$B$39-$B$77-$B$38)*C21/100)</f>
        <v>880.06774193548392</v>
      </c>
      <c r="C35" s="167">
        <f>IF(ISERROR(B35/SUM($B$32,$B$34,$B$35,$B$36,$B$38,$B$39)*100),0,B35/SUM($B$32,$B$34,$B$35,$B$36,$B$38,$B$39)*100)</f>
        <v>14.796027941080766</v>
      </c>
      <c r="D35" s="233"/>
      <c r="G35" s="15"/>
    </row>
    <row r="36" spans="1:7">
      <c r="A36" s="171" t="s">
        <v>75</v>
      </c>
      <c r="B36" s="33">
        <f>IF((($B$28-$B$32-$B$39-$B$77-$B$38)*C22/100)&lt;0,0,($B$28-$B$32-$B$39-$B$77-$B$38)*C22/100)</f>
        <v>227.38592375366571</v>
      </c>
      <c r="C36" s="167">
        <f>IF(ISERROR(B36/SUM($B$32,$B$34,$B$35,$B$36,$B$38,$B$39)*100),0,B36/SUM($B$32,$B$34,$B$35,$B$36,$B$38,$B$39)*100)</f>
        <v>3.8228971713797195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672.09999999999991</v>
      </c>
      <c r="C39" s="167">
        <f>IF(ISERROR(B39/SUM($B$32,$B$34,$B$35,$B$36,$B$38,$B$39)*100),0,B39/SUM($B$32,$B$34,$B$35,$B$36,$B$38,$B$39)*100)</f>
        <v>11.299596503026226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3840</v>
      </c>
      <c r="C44" s="34" t="s">
        <v>111</v>
      </c>
      <c r="D44" s="174"/>
    </row>
    <row r="45" spans="1:7">
      <c r="A45" s="171" t="s">
        <v>72</v>
      </c>
      <c r="B45" s="33" t="str">
        <f t="shared" si="0"/>
        <v>-</v>
      </c>
      <c r="C45" s="34" t="s">
        <v>111</v>
      </c>
      <c r="D45" s="174"/>
    </row>
    <row r="46" spans="1:7">
      <c r="A46" s="171" t="s">
        <v>73</v>
      </c>
      <c r="B46" s="33">
        <f t="shared" si="0"/>
        <v>328.44633431085043</v>
      </c>
      <c r="C46" s="34" t="s">
        <v>111</v>
      </c>
      <c r="D46" s="174"/>
    </row>
    <row r="47" spans="1:7">
      <c r="A47" s="171" t="s">
        <v>74</v>
      </c>
      <c r="B47" s="33">
        <f t="shared" si="0"/>
        <v>880.06774193548392</v>
      </c>
      <c r="C47" s="34" t="s">
        <v>111</v>
      </c>
      <c r="D47" s="174"/>
    </row>
    <row r="48" spans="1:7">
      <c r="A48" s="171" t="s">
        <v>75</v>
      </c>
      <c r="B48" s="33">
        <f t="shared" si="0"/>
        <v>227.38592375366571</v>
      </c>
      <c r="C48" s="33">
        <f>B48*10</f>
        <v>2273.859237536657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21464.285999999996</v>
      </c>
      <c r="C5" s="17">
        <f>IF(ISERROR('Eigen informatie GS &amp; warmtenet'!B58),0,'Eigen informatie GS &amp; warmtenet'!B58)</f>
        <v>0</v>
      </c>
      <c r="D5" s="30">
        <f>SUM(D6:D12)</f>
        <v>25452.538584000002</v>
      </c>
      <c r="E5" s="17">
        <f>SUM(E6:E12)</f>
        <v>159.68588104563526</v>
      </c>
      <c r="F5" s="17">
        <f>SUM(F6:F12)</f>
        <v>3177.4546217419388</v>
      </c>
      <c r="G5" s="18"/>
      <c r="H5" s="17"/>
      <c r="I5" s="17"/>
      <c r="J5" s="17">
        <f>SUM(J6:J12)</f>
        <v>0</v>
      </c>
      <c r="K5" s="17"/>
      <c r="L5" s="17"/>
      <c r="M5" s="17"/>
      <c r="N5" s="17">
        <f>SUM(N6:N12)</f>
        <v>2157.0419225213368</v>
      </c>
      <c r="O5" s="17">
        <f>B38*B39*B40</f>
        <v>0</v>
      </c>
      <c r="P5" s="17">
        <f>B46*B47*B48/1000-B46*B47*B48/1000/B49</f>
        <v>38.133333333333333</v>
      </c>
      <c r="R5" s="32"/>
    </row>
    <row r="6" spans="1:18">
      <c r="A6" s="32" t="s">
        <v>54</v>
      </c>
      <c r="B6" s="37">
        <f>B26</f>
        <v>6629.49</v>
      </c>
      <c r="C6" s="33"/>
      <c r="D6" s="37">
        <f>IF(ISERROR(TER_kantoor_gas_kWh/1000),0,TER_kantoor_gas_kWh/1000)*0.902</f>
        <v>3950.2413500000002</v>
      </c>
      <c r="E6" s="33">
        <f>$C$26*'E Balans VL '!I12/100/3.6*1000000</f>
        <v>19.206605214102403</v>
      </c>
      <c r="F6" s="33">
        <f>$C$26*('E Balans VL '!L12+'E Balans VL '!N12)/100/3.6*1000000</f>
        <v>750.31220901100403</v>
      </c>
      <c r="G6" s="34"/>
      <c r="H6" s="33"/>
      <c r="I6" s="33"/>
      <c r="J6" s="33">
        <f>$C$26*('E Balans VL '!D12+'E Balans VL '!E12)/100/3.6*1000000</f>
        <v>0</v>
      </c>
      <c r="K6" s="33"/>
      <c r="L6" s="33"/>
      <c r="M6" s="33"/>
      <c r="N6" s="33">
        <f>$C$26*'E Balans VL '!Y12/100/3.6*1000000</f>
        <v>66.356310073666521</v>
      </c>
      <c r="O6" s="33"/>
      <c r="P6" s="33"/>
      <c r="R6" s="32"/>
    </row>
    <row r="7" spans="1:18">
      <c r="A7" s="32" t="s">
        <v>53</v>
      </c>
      <c r="B7" s="37">
        <f t="shared" ref="B7:B12" si="0">B27</f>
        <v>1394.0429999999999</v>
      </c>
      <c r="C7" s="33"/>
      <c r="D7" s="37">
        <f>IF(ISERROR(TER_horeca_gas_kWh/1000),0,TER_horeca_gas_kWh/1000)*0.902</f>
        <v>1609.417854</v>
      </c>
      <c r="E7" s="33">
        <f>$C$27*'E Balans VL '!I9/100/3.6*1000000</f>
        <v>58.518030260835737</v>
      </c>
      <c r="F7" s="33">
        <f>$C$27*('E Balans VL '!L9+'E Balans VL '!N9)/100/3.6*1000000</f>
        <v>299.53872609417414</v>
      </c>
      <c r="G7" s="34"/>
      <c r="H7" s="33"/>
      <c r="I7" s="33"/>
      <c r="J7" s="33">
        <f>$C$27*('E Balans VL '!D9+'E Balans VL '!E9)/100/3.6*1000000</f>
        <v>0</v>
      </c>
      <c r="K7" s="33"/>
      <c r="L7" s="33"/>
      <c r="M7" s="33"/>
      <c r="N7" s="33">
        <f>$C$27*'E Balans VL '!Y9/100/3.6*1000000</f>
        <v>0.35923268975169559</v>
      </c>
      <c r="O7" s="33"/>
      <c r="P7" s="33"/>
      <c r="R7" s="32"/>
    </row>
    <row r="8" spans="1:18">
      <c r="A8" s="6" t="s">
        <v>52</v>
      </c>
      <c r="B8" s="37">
        <f t="shared" si="0"/>
        <v>6421.393</v>
      </c>
      <c r="C8" s="33"/>
      <c r="D8" s="37">
        <f>IF(ISERROR(TER_handel_gas_kWh/1000),0,TER_handel_gas_kWh/1000)*0.902</f>
        <v>5235.465972</v>
      </c>
      <c r="E8" s="33">
        <f>$C$28*'E Balans VL '!I13/100/3.6*1000000</f>
        <v>68.971105193471601</v>
      </c>
      <c r="F8" s="33">
        <f>$C$28*('E Balans VL '!L13+'E Balans VL '!N13)/100/3.6*1000000</f>
        <v>831.30235062025827</v>
      </c>
      <c r="G8" s="34"/>
      <c r="H8" s="33"/>
      <c r="I8" s="33"/>
      <c r="J8" s="33">
        <f>$C$28*('E Balans VL '!D13+'E Balans VL '!E13)/100/3.6*1000000</f>
        <v>0</v>
      </c>
      <c r="K8" s="33"/>
      <c r="L8" s="33"/>
      <c r="M8" s="33"/>
      <c r="N8" s="33">
        <f>$C$28*'E Balans VL '!Y13/100/3.6*1000000</f>
        <v>52.090690639302743</v>
      </c>
      <c r="O8" s="33"/>
      <c r="P8" s="33"/>
      <c r="R8" s="32"/>
    </row>
    <row r="9" spans="1:18">
      <c r="A9" s="32" t="s">
        <v>51</v>
      </c>
      <c r="B9" s="37">
        <f t="shared" si="0"/>
        <v>3077.1149999999998</v>
      </c>
      <c r="C9" s="33"/>
      <c r="D9" s="37">
        <f>IF(ISERROR(TER_gezond_gas_kWh/1000),0,TER_gezond_gas_kWh/1000)*0.902</f>
        <v>9019.292832000001</v>
      </c>
      <c r="E9" s="33">
        <f>$C$29*'E Balans VL '!I10/100/3.6*1000000</f>
        <v>2.4495825624662304</v>
      </c>
      <c r="F9" s="33">
        <f>$C$29*('E Balans VL '!L10+'E Balans VL '!N10)/100/3.6*1000000</f>
        <v>374.06779656702929</v>
      </c>
      <c r="G9" s="34"/>
      <c r="H9" s="33"/>
      <c r="I9" s="33"/>
      <c r="J9" s="33">
        <f>$C$29*('E Balans VL '!D10+'E Balans VL '!E10)/100/3.6*1000000</f>
        <v>0</v>
      </c>
      <c r="K9" s="33"/>
      <c r="L9" s="33"/>
      <c r="M9" s="33"/>
      <c r="N9" s="33">
        <f>$C$29*'E Balans VL '!Y10/100/3.6*1000000</f>
        <v>24.856119741944251</v>
      </c>
      <c r="O9" s="33"/>
      <c r="P9" s="33"/>
      <c r="R9" s="32"/>
    </row>
    <row r="10" spans="1:18">
      <c r="A10" s="32" t="s">
        <v>50</v>
      </c>
      <c r="B10" s="37">
        <f t="shared" si="0"/>
        <v>2856.7339999999999</v>
      </c>
      <c r="C10" s="33"/>
      <c r="D10" s="37">
        <f>IF(ISERROR(TER_ander_gas_kWh/1000),0,TER_ander_gas_kWh/1000)*0.902</f>
        <v>2434.166064</v>
      </c>
      <c r="E10" s="33">
        <f>$C$30*'E Balans VL '!I14/100/3.6*1000000</f>
        <v>9.7901774915670341</v>
      </c>
      <c r="F10" s="33">
        <f>$C$30*('E Balans VL '!L14+'E Balans VL '!N14)/100/3.6*1000000</f>
        <v>638.07829160452843</v>
      </c>
      <c r="G10" s="34"/>
      <c r="H10" s="33"/>
      <c r="I10" s="33"/>
      <c r="J10" s="33">
        <f>$C$30*('E Balans VL '!D14+'E Balans VL '!E14)/100/3.6*1000000</f>
        <v>0</v>
      </c>
      <c r="K10" s="33"/>
      <c r="L10" s="33"/>
      <c r="M10" s="33"/>
      <c r="N10" s="33">
        <f>$C$30*'E Balans VL '!Y14/100/3.6*1000000</f>
        <v>2012.2990356327862</v>
      </c>
      <c r="O10" s="33"/>
      <c r="P10" s="33"/>
      <c r="R10" s="32"/>
    </row>
    <row r="11" spans="1:18">
      <c r="A11" s="32" t="s">
        <v>55</v>
      </c>
      <c r="B11" s="37">
        <f t="shared" si="0"/>
        <v>1085.511</v>
      </c>
      <c r="C11" s="33"/>
      <c r="D11" s="37">
        <f>IF(ISERROR(TER_onderwijs_gas_kWh/1000),0,TER_onderwijs_gas_kWh/1000)*0.902</f>
        <v>3203.9545120000002</v>
      </c>
      <c r="E11" s="33">
        <f>$C$31*'E Balans VL '!I11/100/3.6*1000000</f>
        <v>0.75038032319226977</v>
      </c>
      <c r="F11" s="33">
        <f>$C$31*('E Balans VL '!L11+'E Balans VL '!N11)/100/3.6*1000000</f>
        <v>284.15524784494454</v>
      </c>
      <c r="G11" s="34"/>
      <c r="H11" s="33"/>
      <c r="I11" s="33"/>
      <c r="J11" s="33">
        <f>$C$31*('E Balans VL '!D11+'E Balans VL '!E11)/100/3.6*1000000</f>
        <v>0</v>
      </c>
      <c r="K11" s="33"/>
      <c r="L11" s="33"/>
      <c r="M11" s="33"/>
      <c r="N11" s="33">
        <f>$C$31*'E Balans VL '!Y11/100/3.6*1000000</f>
        <v>1.0805337438853997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21464.285999999996</v>
      </c>
      <c r="C16" s="21">
        <f t="shared" ca="1" si="1"/>
        <v>0</v>
      </c>
      <c r="D16" s="21">
        <f t="shared" ca="1" si="1"/>
        <v>25452.538584000002</v>
      </c>
      <c r="E16" s="21">
        <f t="shared" si="1"/>
        <v>159.68588104563526</v>
      </c>
      <c r="F16" s="21">
        <f t="shared" ca="1" si="1"/>
        <v>3177.4546217419388</v>
      </c>
      <c r="G16" s="21">
        <f t="shared" si="1"/>
        <v>0</v>
      </c>
      <c r="H16" s="21">
        <f t="shared" si="1"/>
        <v>0</v>
      </c>
      <c r="I16" s="21">
        <f t="shared" si="1"/>
        <v>0</v>
      </c>
      <c r="J16" s="21">
        <f t="shared" si="1"/>
        <v>0</v>
      </c>
      <c r="K16" s="21">
        <f t="shared" si="1"/>
        <v>0</v>
      </c>
      <c r="L16" s="21">
        <f t="shared" ca="1" si="1"/>
        <v>0</v>
      </c>
      <c r="M16" s="21">
        <f t="shared" si="1"/>
        <v>0</v>
      </c>
      <c r="N16" s="21">
        <f t="shared" ca="1" si="1"/>
        <v>2157.0419225213368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0.18218380947866153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3910.4453912195013</v>
      </c>
      <c r="C20" s="23">
        <f t="shared" ref="C20:P20" ca="1" si="2">C16*C18</f>
        <v>0</v>
      </c>
      <c r="D20" s="23">
        <f t="shared" ca="1" si="2"/>
        <v>5141.4127939680011</v>
      </c>
      <c r="E20" s="23">
        <f t="shared" si="2"/>
        <v>36.248694997359202</v>
      </c>
      <c r="F20" s="23">
        <f t="shared" ca="1" si="2"/>
        <v>848.38038400509765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6629.49</v>
      </c>
      <c r="C26" s="39">
        <f>IF(ISERROR(B26*3.6/1000000/'E Balans VL '!Z12*100),0,B26*3.6/1000000/'E Balans VL '!Z12*100)</f>
        <v>0.14562441230793768</v>
      </c>
      <c r="D26" s="237" t="s">
        <v>692</v>
      </c>
      <c r="F26" s="6"/>
    </row>
    <row r="27" spans="1:18">
      <c r="A27" s="231" t="s">
        <v>53</v>
      </c>
      <c r="B27" s="33">
        <f>IF(ISERROR(TER_horeca_ele_kWh/1000),0,TER_horeca_ele_kWh/1000)</f>
        <v>1394.0429999999999</v>
      </c>
      <c r="C27" s="39">
        <f>IF(ISERROR(B27*3.6/1000000/'E Balans VL '!Z9*100),0,B27*3.6/1000000/'E Balans VL '!Z9*100)</f>
        <v>0.11202525103475057</v>
      </c>
      <c r="D27" s="237" t="s">
        <v>692</v>
      </c>
      <c r="F27" s="6"/>
    </row>
    <row r="28" spans="1:18">
      <c r="A28" s="171" t="s">
        <v>52</v>
      </c>
      <c r="B28" s="33">
        <f>IF(ISERROR(TER_handel_ele_kWh/1000),0,TER_handel_ele_kWh/1000)</f>
        <v>6421.393</v>
      </c>
      <c r="C28" s="39">
        <f>IF(ISERROR(B28*3.6/1000000/'E Balans VL '!Z13*100),0,B28*3.6/1000000/'E Balans VL '!Z13*100)</f>
        <v>0.18987610493065793</v>
      </c>
      <c r="D28" s="237" t="s">
        <v>692</v>
      </c>
      <c r="F28" s="6"/>
    </row>
    <row r="29" spans="1:18">
      <c r="A29" s="231" t="s">
        <v>51</v>
      </c>
      <c r="B29" s="33">
        <f>IF(ISERROR(TER_gezond_ele_kWh/1000),0,TER_gezond_ele_kWh/1000)</f>
        <v>3077.1149999999998</v>
      </c>
      <c r="C29" s="39">
        <f>IF(ISERROR(B29*3.6/1000000/'E Balans VL '!Z10*100),0,B29*3.6/1000000/'E Balans VL '!Z10*100)</f>
        <v>0.34671141639371567</v>
      </c>
      <c r="D29" s="237" t="s">
        <v>692</v>
      </c>
      <c r="F29" s="6"/>
    </row>
    <row r="30" spans="1:18">
      <c r="A30" s="231" t="s">
        <v>50</v>
      </c>
      <c r="B30" s="33">
        <f>IF(ISERROR(TER_ander_ele_kWh/1000),0,TER_ander_ele_kWh/1000)</f>
        <v>2856.7339999999999</v>
      </c>
      <c r="C30" s="39">
        <f>IF(ISERROR(B30*3.6/1000000/'E Balans VL '!Z14*100),0,B30*3.6/1000000/'E Balans VL '!Z14*100)</f>
        <v>0.21604990905380894</v>
      </c>
      <c r="D30" s="237" t="s">
        <v>692</v>
      </c>
      <c r="F30" s="6"/>
    </row>
    <row r="31" spans="1:18">
      <c r="A31" s="231" t="s">
        <v>55</v>
      </c>
      <c r="B31" s="33">
        <f>IF(ISERROR(TER_onderwijs_ele_kWh/1000),0,TER_onderwijs_ele_kWh/1000)</f>
        <v>1085.511</v>
      </c>
      <c r="C31" s="39">
        <f>IF(ISERROR(B31*3.6/1000000/'E Balans VL '!Z11*100),0,B31*3.6/1000000/'E Balans VL '!Z11*100)</f>
        <v>0.22532688454394117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58798.216</v>
      </c>
      <c r="C5" s="17">
        <f>IF(ISERROR('Eigen informatie GS &amp; warmtenet'!B59),0,'Eigen informatie GS &amp; warmtenet'!B59)</f>
        <v>0</v>
      </c>
      <c r="D5" s="30">
        <f>SUM(D6:D15)</f>
        <v>123494.591528</v>
      </c>
      <c r="E5" s="17">
        <f>SUM(E6:E15)</f>
        <v>5478.8208696244837</v>
      </c>
      <c r="F5" s="17">
        <f>SUM(F6:F15)</f>
        <v>23385.81021533041</v>
      </c>
      <c r="G5" s="18"/>
      <c r="H5" s="17"/>
      <c r="I5" s="17"/>
      <c r="J5" s="17">
        <f>SUM(J6:J15)</f>
        <v>6.0843500532745587</v>
      </c>
      <c r="K5" s="17"/>
      <c r="L5" s="17"/>
      <c r="M5" s="17"/>
      <c r="N5" s="17">
        <f>SUM(N6:N15)</f>
        <v>8640.0355315179349</v>
      </c>
      <c r="O5" s="17">
        <f>B43*B44*B45</f>
        <v>0</v>
      </c>
      <c r="P5" s="17">
        <f>B51*B52*B53/1000-B51*B52*B53/1000/B54</f>
        <v>0</v>
      </c>
      <c r="R5" s="32"/>
    </row>
    <row r="6" spans="1:18">
      <c r="A6" s="6" t="s">
        <v>35</v>
      </c>
      <c r="B6" s="37">
        <f>IF( ISERROR(IND_ijzer_ele_kWh/1000),0,IND_ijzer_ele_kWh/1000)</f>
        <v>4256.7070000000003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29334.539000000001</v>
      </c>
      <c r="C8" s="33"/>
      <c r="D8" s="37">
        <f>IF( ISERROR(IND_metaal_Gas_kWH/1000),0,IND_metaal_Gas_kWH/1000)*0.902</f>
        <v>50476.306958000001</v>
      </c>
      <c r="E8" s="33">
        <f>C30*'E Balans VL '!I18/100/3.6*1000000</f>
        <v>734.14084248303311</v>
      </c>
      <c r="F8" s="33">
        <f>C30*'E Balans VL '!L18/100/3.6*1000000+C30*'E Balans VL '!N18/100/3.6*1000000</f>
        <v>9193.5904401012267</v>
      </c>
      <c r="G8" s="34"/>
      <c r="H8" s="33"/>
      <c r="I8" s="33"/>
      <c r="J8" s="40">
        <f>C30*'E Balans VL '!D18/100/3.6*1000000+C30*'E Balans VL '!E18/100/3.6*1000000</f>
        <v>0</v>
      </c>
      <c r="K8" s="33"/>
      <c r="L8" s="33"/>
      <c r="M8" s="33"/>
      <c r="N8" s="33">
        <f>C30*'E Balans VL '!Y18/100/3.6*1000000</f>
        <v>736.95974944727197</v>
      </c>
      <c r="O8" s="33"/>
      <c r="P8" s="33"/>
      <c r="R8" s="32"/>
    </row>
    <row r="9" spans="1:18">
      <c r="A9" s="6" t="s">
        <v>33</v>
      </c>
      <c r="B9" s="37">
        <f t="shared" si="0"/>
        <v>17172.136999999999</v>
      </c>
      <c r="C9" s="33"/>
      <c r="D9" s="37">
        <f>IF( ISERROR(IND_andere_gas_kWh/1000),0,IND_andere_gas_kWh/1000)*0.902</f>
        <v>8243.3861180000004</v>
      </c>
      <c r="E9" s="33">
        <f>C31*'E Balans VL '!I19/100/3.6*1000000</f>
        <v>4721.6333588462739</v>
      </c>
      <c r="F9" s="33">
        <f>C31*'E Balans VL '!L19/100/3.6*1000000+C31*'E Balans VL '!N19/100/3.6*1000000</f>
        <v>13534.632122382247</v>
      </c>
      <c r="G9" s="34"/>
      <c r="H9" s="33"/>
      <c r="I9" s="33"/>
      <c r="J9" s="40">
        <f>C31*'E Balans VL '!D19/100/3.6*1000000+C31*'E Balans VL '!E19/100/3.6*1000000</f>
        <v>0</v>
      </c>
      <c r="K9" s="33"/>
      <c r="L9" s="33"/>
      <c r="M9" s="33"/>
      <c r="N9" s="33">
        <f>C31*'E Balans VL '!Y19/100/3.6*1000000</f>
        <v>5559.0740154672249</v>
      </c>
      <c r="O9" s="33"/>
      <c r="P9" s="33"/>
      <c r="R9" s="32"/>
    </row>
    <row r="10" spans="1:18">
      <c r="A10" s="6" t="s">
        <v>41</v>
      </c>
      <c r="B10" s="37">
        <f t="shared" si="0"/>
        <v>248.381</v>
      </c>
      <c r="C10" s="33"/>
      <c r="D10" s="37">
        <f>IF( ISERROR(IND_voed_gas_kWh/1000),0,IND_voed_gas_kWh/1000)*0.902</f>
        <v>376.64543400000002</v>
      </c>
      <c r="E10" s="33">
        <f>C32*'E Balans VL '!I20/100/3.6*1000000</f>
        <v>2.5321074611263228</v>
      </c>
      <c r="F10" s="33">
        <f>C32*'E Balans VL '!L20/100/3.6*1000000+C32*'E Balans VL '!N20/100/3.6*1000000</f>
        <v>469.19015552680332</v>
      </c>
      <c r="G10" s="34"/>
      <c r="H10" s="33"/>
      <c r="I10" s="33"/>
      <c r="J10" s="40">
        <f>C32*'E Balans VL '!D20/100/3.6*1000000+C32*'E Balans VL '!E20/100/3.6*1000000</f>
        <v>5.9445700363114442</v>
      </c>
      <c r="K10" s="33"/>
      <c r="L10" s="33"/>
      <c r="M10" s="33"/>
      <c r="N10" s="33">
        <f>C32*'E Balans VL '!Y20/100/3.6*1000000</f>
        <v>130.92539698294189</v>
      </c>
      <c r="O10" s="33"/>
      <c r="P10" s="33"/>
      <c r="R10" s="32"/>
    </row>
    <row r="11" spans="1:18">
      <c r="A11" s="6" t="s">
        <v>40</v>
      </c>
      <c r="B11" s="37">
        <f t="shared" si="0"/>
        <v>1465.56</v>
      </c>
      <c r="C11" s="33"/>
      <c r="D11" s="37">
        <f>IF( ISERROR(IND_textiel_gas_kWh/1000),0,IND_textiel_gas_kWh/1000)*0.902</f>
        <v>3249.4180179999998</v>
      </c>
      <c r="E11" s="33">
        <f>C33*'E Balans VL '!I21/100/3.6*1000000</f>
        <v>3.8844509776028735</v>
      </c>
      <c r="F11" s="33">
        <f>C33*'E Balans VL '!L21/100/3.6*1000000+C33*'E Balans VL '!N21/100/3.6*1000000</f>
        <v>65.453421437714397</v>
      </c>
      <c r="G11" s="34"/>
      <c r="H11" s="33"/>
      <c r="I11" s="33"/>
      <c r="J11" s="40">
        <f>C33*'E Balans VL '!D21/100/3.6*1000000+C33*'E Balans VL '!E21/100/3.6*1000000</f>
        <v>0</v>
      </c>
      <c r="K11" s="33"/>
      <c r="L11" s="33"/>
      <c r="M11" s="33"/>
      <c r="N11" s="33">
        <f>C33*'E Balans VL '!Y21/100/3.6*1000000</f>
        <v>13.81185535599629</v>
      </c>
      <c r="O11" s="33"/>
      <c r="P11" s="33"/>
      <c r="R11" s="32"/>
    </row>
    <row r="12" spans="1:18">
      <c r="A12" s="6" t="s">
        <v>37</v>
      </c>
      <c r="B12" s="37">
        <f t="shared" si="0"/>
        <v>0</v>
      </c>
      <c r="C12" s="33"/>
      <c r="D12" s="37">
        <f>IF( ISERROR(IND_min_gas_kWh/1000),0,IND_min_gas_kWh/1000)*0.902</f>
        <v>1031.9962399999999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5147.5150000000003</v>
      </c>
      <c r="C13" s="33"/>
      <c r="D13" s="37">
        <f>IF( ISERROR(IND_papier_gas_kWh/1000),0,IND_papier_gas_kWh/1000)*0.902</f>
        <v>1860.0746340000001</v>
      </c>
      <c r="E13" s="33">
        <f>C35*'E Balans VL '!I23/100/3.6*1000000</f>
        <v>10.660851013896076</v>
      </c>
      <c r="F13" s="33">
        <f>C35*'E Balans VL '!L23/100/3.6*1000000+C35*'E Balans VL '!N23/100/3.6*1000000</f>
        <v>102.08625784505819</v>
      </c>
      <c r="G13" s="34"/>
      <c r="H13" s="33"/>
      <c r="I13" s="33"/>
      <c r="J13" s="40">
        <f>C35*'E Balans VL '!D23/100/3.6*1000000+C35*'E Balans VL '!E23/100/3.6*1000000</f>
        <v>0</v>
      </c>
      <c r="K13" s="33"/>
      <c r="L13" s="33"/>
      <c r="M13" s="33"/>
      <c r="N13" s="33">
        <f>C35*'E Balans VL '!Y23/100/3.6*1000000</f>
        <v>2173.5272382643911</v>
      </c>
      <c r="O13" s="33"/>
      <c r="P13" s="33"/>
      <c r="R13" s="32"/>
    </row>
    <row r="14" spans="1:18">
      <c r="A14" s="6" t="s">
        <v>34</v>
      </c>
      <c r="B14" s="37">
        <f t="shared" si="0"/>
        <v>1140.059</v>
      </c>
      <c r="C14" s="33"/>
      <c r="D14" s="37">
        <f>IF( ISERROR(IND_chemie_gas_kWh/1000),0,IND_chemie_gas_kWh/1000)*0.902</f>
        <v>786.10382399999992</v>
      </c>
      <c r="E14" s="33">
        <f>C36*'E Balans VL '!I24/100/3.6*1000000</f>
        <v>4.2742685519580359</v>
      </c>
      <c r="F14" s="33">
        <f>C36*'E Balans VL '!L24/100/3.6*1000000+C36*'E Balans VL '!N24/100/3.6*1000000</f>
        <v>13.263392273761244</v>
      </c>
      <c r="G14" s="34"/>
      <c r="H14" s="33"/>
      <c r="I14" s="33"/>
      <c r="J14" s="40">
        <f>C36*'E Balans VL '!D24/100/3.6*1000000+C36*'E Balans VL '!E24/100/3.6*1000000</f>
        <v>0</v>
      </c>
      <c r="K14" s="33"/>
      <c r="L14" s="33"/>
      <c r="M14" s="33"/>
      <c r="N14" s="33">
        <f>C36*'E Balans VL '!Y24/100/3.6*1000000</f>
        <v>19.477360878447239</v>
      </c>
      <c r="O14" s="33"/>
      <c r="P14" s="33"/>
      <c r="R14" s="32"/>
    </row>
    <row r="15" spans="1:18">
      <c r="A15" s="6" t="s">
        <v>270</v>
      </c>
      <c r="B15" s="37">
        <f t="shared" si="0"/>
        <v>33.317999999999998</v>
      </c>
      <c r="C15" s="33"/>
      <c r="D15" s="37">
        <f>IF( ISERROR(IND_rest_gas_kWh/1000),0,IND_rest_gas_kWh/1000)*0.902</f>
        <v>57470.660302000004</v>
      </c>
      <c r="E15" s="33">
        <f>C37*'E Balans VL '!I15/100/3.6*1000000</f>
        <v>1.694990290593805</v>
      </c>
      <c r="F15" s="33">
        <f>C37*'E Balans VL '!L15/100/3.6*1000000+C37*'E Balans VL '!N15/100/3.6*1000000</f>
        <v>7.594425763598152</v>
      </c>
      <c r="G15" s="34"/>
      <c r="H15" s="33"/>
      <c r="I15" s="33"/>
      <c r="J15" s="40">
        <f>C37*'E Balans VL '!D15/100/3.6*1000000+C37*'E Balans VL '!E15/100/3.6*1000000</f>
        <v>0.13978001696311457</v>
      </c>
      <c r="K15" s="33"/>
      <c r="L15" s="33"/>
      <c r="M15" s="33"/>
      <c r="N15" s="33">
        <f>C37*'E Balans VL '!Y15/100/3.6*1000000</f>
        <v>6.2599151216623294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58798.216</v>
      </c>
      <c r="C18" s="21">
        <f>C5+C16</f>
        <v>0</v>
      </c>
      <c r="D18" s="21">
        <f>MAX((D5+D16),0)</f>
        <v>123494.591528</v>
      </c>
      <c r="E18" s="21">
        <f>MAX((E5+E16),0)</f>
        <v>5478.8208696244837</v>
      </c>
      <c r="F18" s="21">
        <f>MAX((F5+F16),0)</f>
        <v>23385.81021533041</v>
      </c>
      <c r="G18" s="21"/>
      <c r="H18" s="21"/>
      <c r="I18" s="21"/>
      <c r="J18" s="21">
        <f>MAX((J5+J16),0)</f>
        <v>6.0843500532745587</v>
      </c>
      <c r="K18" s="21"/>
      <c r="L18" s="21">
        <f>MAX((L5+L16),0)</f>
        <v>0</v>
      </c>
      <c r="M18" s="21"/>
      <c r="N18" s="21">
        <f>MAX((N5+N16),0)</f>
        <v>8640.0355315179349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0.18218380947866153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10712.082981429188</v>
      </c>
      <c r="C22" s="23">
        <f ca="1">C18*C20</f>
        <v>0</v>
      </c>
      <c r="D22" s="23">
        <f>D18*D20</f>
        <v>24945.907488656001</v>
      </c>
      <c r="E22" s="23">
        <f>E18*E20</f>
        <v>1243.6923374047578</v>
      </c>
      <c r="F22" s="23">
        <f>F18*F20</f>
        <v>6244.0113274932201</v>
      </c>
      <c r="G22" s="23"/>
      <c r="H22" s="23"/>
      <c r="I22" s="23"/>
      <c r="J22" s="23">
        <f>J18*J20</f>
        <v>2.1538599188591938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29334.539000000001</v>
      </c>
      <c r="C30" s="39">
        <f>IF(ISERROR(B30*3.6/1000000/'E Balans VL '!Z18*100),0,B30*3.6/1000000/'E Balans VL '!Z18*100)</f>
        <v>4.1058578756881525</v>
      </c>
      <c r="D30" s="237" t="s">
        <v>692</v>
      </c>
    </row>
    <row r="31" spans="1:18">
      <c r="A31" s="6" t="s">
        <v>33</v>
      </c>
      <c r="B31" s="37">
        <f>IF( ISERROR(IND_ander_ele_kWh/1000),0,IND_ander_ele_kWh/1000)</f>
        <v>17172.136999999999</v>
      </c>
      <c r="C31" s="39">
        <f>IF(ISERROR(B31*3.6/1000000/'E Balans VL '!Z19*100),0,B31*3.6/1000000/'E Balans VL '!Z19*100)</f>
        <v>0.75162165077359977</v>
      </c>
      <c r="D31" s="237" t="s">
        <v>692</v>
      </c>
    </row>
    <row r="32" spans="1:18">
      <c r="A32" s="171" t="s">
        <v>41</v>
      </c>
      <c r="B32" s="37">
        <f>IF( ISERROR(IND_voed_ele_kWh/1000),0,IND_voed_ele_kWh/1000)</f>
        <v>248.381</v>
      </c>
      <c r="C32" s="39">
        <f>IF(ISERROR(B32*3.6/1000000/'E Balans VL '!Z20*100),0,B32*3.6/1000000/'E Balans VL '!Z20*100)</f>
        <v>6.1490887273842651E-2</v>
      </c>
      <c r="D32" s="237" t="s">
        <v>692</v>
      </c>
    </row>
    <row r="33" spans="1:5">
      <c r="A33" s="171" t="s">
        <v>40</v>
      </c>
      <c r="B33" s="37">
        <f>IF( ISERROR(IND_textiel_ele_kWh/1000),0,IND_textiel_ele_kWh/1000)</f>
        <v>1465.56</v>
      </c>
      <c r="C33" s="39">
        <f>IF(ISERROR(B33*3.6/1000000/'E Balans VL '!Z21*100),0,B33*3.6/1000000/'E Balans VL '!Z21*100)</f>
        <v>0.16514279592275588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5147.5150000000003</v>
      </c>
      <c r="C35" s="39">
        <f>IF(ISERROR(B35*3.6/1000000/'E Balans VL '!Z22*100),0,B35*3.6/1000000/'E Balans VL '!Z22*100)</f>
        <v>0.14606547496747294</v>
      </c>
      <c r="D35" s="237" t="s">
        <v>692</v>
      </c>
    </row>
    <row r="36" spans="1:5">
      <c r="A36" s="171" t="s">
        <v>34</v>
      </c>
      <c r="B36" s="37">
        <f>IF( ISERROR(IND_chemie_ele_kWh/1000),0,IND_chemie_ele_kWh/1000)</f>
        <v>1140.059</v>
      </c>
      <c r="C36" s="39">
        <f>IF(ISERROR(B36*3.6/1000000/'E Balans VL '!Z24*100),0,B36*3.6/1000000/'E Balans VL '!Z24*100)</f>
        <v>2.9069764385858517E-2</v>
      </c>
      <c r="D36" s="237" t="s">
        <v>692</v>
      </c>
    </row>
    <row r="37" spans="1:5">
      <c r="A37" s="171" t="s">
        <v>270</v>
      </c>
      <c r="B37" s="37">
        <f>IF( ISERROR(IND_rest_ele_kWh/1000),0,IND_rest_ele_kWh/1000)</f>
        <v>33.317999999999998</v>
      </c>
      <c r="C37" s="39">
        <f>IF(ISERROR(B37*3.6/1000000/'E Balans VL '!Z15*100),0,B37*3.6/1000000/'E Balans VL '!Z15*100)</f>
        <v>2.4704726571701504E-4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660.76099999999997</v>
      </c>
      <c r="C5" s="17">
        <f>'Eigen informatie GS &amp; warmtenet'!B60</f>
        <v>0</v>
      </c>
      <c r="D5" s="30">
        <f>IF(ISERROR(SUM(LB_lb_gas_kWh,LB_rest_gas_kWh)/1000),0,SUM(LB_lb_gas_kWh,LB_rest_gas_kWh)/1000)*0.902</f>
        <v>615.27494600000011</v>
      </c>
      <c r="E5" s="17">
        <f>B17*'E Balans VL '!I25/3.6*1000000/100</f>
        <v>6.1202451341463906</v>
      </c>
      <c r="F5" s="17">
        <f>B17*('E Balans VL '!L25/3.6*1000000+'E Balans VL '!N25/3.6*1000000)/100</f>
        <v>1676.4765318413251</v>
      </c>
      <c r="G5" s="18"/>
      <c r="H5" s="17"/>
      <c r="I5" s="17"/>
      <c r="J5" s="17">
        <f>('E Balans VL '!D25+'E Balans VL '!E25)/3.6*1000000*landbouw!B17/100</f>
        <v>101.30203541428207</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660.76099999999997</v>
      </c>
      <c r="C8" s="21">
        <f>C5+C6</f>
        <v>62.357142857142847</v>
      </c>
      <c r="D8" s="21">
        <f>MAX((D5+D6),0)</f>
        <v>615.27494600000011</v>
      </c>
      <c r="E8" s="21">
        <f>MAX((E5+E6),0)</f>
        <v>6.1202451341463906</v>
      </c>
      <c r="F8" s="21">
        <f>MAX((F5+F6),0)</f>
        <v>1676.4765318413251</v>
      </c>
      <c r="G8" s="21"/>
      <c r="H8" s="21"/>
      <c r="I8" s="21"/>
      <c r="J8" s="21">
        <f>MAX((J5+J6),0)</f>
        <v>101.30203541428207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0.18218380947866153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120.37995613492987</v>
      </c>
      <c r="C12" s="23">
        <f ca="1">C8*C10</f>
        <v>0</v>
      </c>
      <c r="D12" s="23">
        <f>D8*D10</f>
        <v>124.28553909200004</v>
      </c>
      <c r="E12" s="23">
        <f>E8*E10</f>
        <v>1.3892956454512306</v>
      </c>
      <c r="F12" s="23">
        <f>F8*F10</f>
        <v>447.61923400163386</v>
      </c>
      <c r="G12" s="23"/>
      <c r="H12" s="23"/>
      <c r="I12" s="23"/>
      <c r="J12" s="23">
        <f>J8*J10</f>
        <v>35.860920536655854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9.3946203645088627E-2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203.27966318193106</v>
      </c>
      <c r="C26" s="247">
        <f>B26*'GWP N2O_CH4'!B5</f>
        <v>4268.8729268205525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50.392535411622426</v>
      </c>
      <c r="C27" s="247">
        <f>B27*'GWP N2O_CH4'!B5</f>
        <v>1058.2432436440708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3.6048624828459443</v>
      </c>
      <c r="C28" s="247">
        <f>B28*'GWP N2O_CH4'!B4</f>
        <v>1117.5073696822428</v>
      </c>
      <c r="D28" s="50"/>
    </row>
    <row r="29" spans="1:4">
      <c r="A29" s="41" t="s">
        <v>277</v>
      </c>
      <c r="B29" s="247">
        <f>B34*'ha_N2O bodem landbouw'!B4</f>
        <v>7.6988124526464468</v>
      </c>
      <c r="C29" s="247">
        <f>B29*'GWP N2O_CH4'!B4</f>
        <v>2386.6318603203986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1.7267080007601673E-3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5.2824688188601382E-5</v>
      </c>
      <c r="C5" s="464" t="s">
        <v>211</v>
      </c>
      <c r="D5" s="449">
        <f>SUM(D6:D11)</f>
        <v>1.414716340672309E-4</v>
      </c>
      <c r="E5" s="449">
        <f>SUM(E6:E11)</f>
        <v>8.9890348952215734E-4</v>
      </c>
      <c r="F5" s="462" t="s">
        <v>211</v>
      </c>
      <c r="G5" s="449">
        <f>SUM(G6:G11)</f>
        <v>0.27452801603717153</v>
      </c>
      <c r="H5" s="449">
        <f>SUM(H6:H11)</f>
        <v>5.3414263515580554E-2</v>
      </c>
      <c r="I5" s="464" t="s">
        <v>211</v>
      </c>
      <c r="J5" s="464" t="s">
        <v>211</v>
      </c>
      <c r="K5" s="464" t="s">
        <v>211</v>
      </c>
      <c r="L5" s="464" t="s">
        <v>211</v>
      </c>
      <c r="M5" s="449">
        <f>SUM(M6:M11)</f>
        <v>1.7524488018642551E-2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4.1980386387799571E-5</v>
      </c>
      <c r="C6" s="450"/>
      <c r="D6" s="893">
        <f>vkm_2011_GW_PW*SUMIFS(TableVerdeelsleutelVkm[CNG],TableVerdeelsleutelVkm[Voertuigtype],"Lichte voertuigen")*SUMIFS(TableECFTransport[EnergieConsumptieFactor (PJ per km)],TableECFTransport[Index],CONCATENATE($A6,"_CNG_CNG"))</f>
        <v>9.7105255564063035E-5</v>
      </c>
      <c r="E6" s="893">
        <f>vkm_2011_GW_PW*SUMIFS(TableVerdeelsleutelVkm[LPG],TableVerdeelsleutelVkm[Voertuigtype],"Lichte voertuigen")*SUMIFS(TableECFTransport[EnergieConsumptieFactor (PJ per km)],TableECFTransport[Index],CONCATENATE($A6,"_LPG_LPG"))</f>
        <v>6.322907840118964E-4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0.13135373252058868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3.7025902691569273E-2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8.7380301989649807E-3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8.0635040279431539E-2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2.7575719375018982E-5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4.66519414031542E-3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1.0844301800801814E-5</v>
      </c>
      <c r="C8" s="450"/>
      <c r="D8" s="452">
        <f>vkm_2011_NGW_PW*SUMIFS(TableVerdeelsleutelVkm[CNG],TableVerdeelsleutelVkm[Voertuigtype],"Lichte voertuigen")*SUMIFS(TableECFTransport[EnergieConsumptieFactor (PJ per km)],TableECFTransport[Index],CONCATENATE($A8,"_CNG_CNG"))</f>
        <v>4.436637850316787E-5</v>
      </c>
      <c r="E8" s="452">
        <f>vkm_2011_NGW_PW*SUMIFS(TableVerdeelsleutelVkm[LPG],TableVerdeelsleutelVkm[Voertuigtype],"Lichte voertuigen")*SUMIFS(TableECFTransport[EnergieConsumptieFactor (PJ per km)],TableECFTransport[Index],CONCATENATE($A8,"_LPG_LPG"))</f>
        <v>2.66612705510261E-4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5.1775795738825368E-2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1.6357302178405805E-2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3.4985433263952388E-3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1.0763447498325963E-2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3.4829262304518245E-6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6.2272035296691394E-4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14.673524496833716</v>
      </c>
      <c r="C14" s="21"/>
      <c r="D14" s="21">
        <f t="shared" ref="D14:M14" si="0">((D5)*10^9/3600)+D12</f>
        <v>39.297676129786367</v>
      </c>
      <c r="E14" s="21">
        <f t="shared" si="0"/>
        <v>249.69541375615481</v>
      </c>
      <c r="F14" s="21"/>
      <c r="G14" s="21">
        <f t="shared" si="0"/>
        <v>76257.782232547645</v>
      </c>
      <c r="H14" s="21">
        <f t="shared" si="0"/>
        <v>14837.2954209946</v>
      </c>
      <c r="I14" s="21"/>
      <c r="J14" s="21"/>
      <c r="K14" s="21"/>
      <c r="L14" s="21"/>
      <c r="M14" s="21">
        <f t="shared" si="0"/>
        <v>4867.9133385118203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0.18218380947866153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2.6732785913116266</v>
      </c>
      <c r="C18" s="23"/>
      <c r="D18" s="23">
        <f t="shared" ref="D18:M18" si="1">D14*D16</f>
        <v>7.938130578216847</v>
      </c>
      <c r="E18" s="23">
        <f t="shared" si="1"/>
        <v>56.68085892264714</v>
      </c>
      <c r="F18" s="23"/>
      <c r="G18" s="23">
        <f t="shared" si="1"/>
        <v>20360.827856090222</v>
      </c>
      <c r="H18" s="23">
        <f t="shared" si="1"/>
        <v>3694.4865598276556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7.5204198502561081E-3</v>
      </c>
      <c r="H50" s="321">
        <f t="shared" si="2"/>
        <v>0</v>
      </c>
      <c r="I50" s="321">
        <f t="shared" si="2"/>
        <v>0</v>
      </c>
      <c r="J50" s="321">
        <f t="shared" si="2"/>
        <v>0</v>
      </c>
      <c r="K50" s="321">
        <f t="shared" si="2"/>
        <v>0</v>
      </c>
      <c r="L50" s="321">
        <f t="shared" si="2"/>
        <v>0</v>
      </c>
      <c r="M50" s="321">
        <f t="shared" si="2"/>
        <v>4.2886762085195615E-4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7.5204198502561081E-3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4.2886762085195615E-4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2089.0055139600299</v>
      </c>
      <c r="H54" s="21">
        <f t="shared" si="3"/>
        <v>0</v>
      </c>
      <c r="I54" s="21">
        <f t="shared" si="3"/>
        <v>0</v>
      </c>
      <c r="J54" s="21">
        <f t="shared" si="3"/>
        <v>0</v>
      </c>
      <c r="K54" s="21">
        <f t="shared" si="3"/>
        <v>0</v>
      </c>
      <c r="L54" s="21">
        <f t="shared" si="3"/>
        <v>0</v>
      </c>
      <c r="M54" s="21">
        <f t="shared" si="3"/>
        <v>119.12989468109893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0.18218380947866153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557.76447222732804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22476.714999999997</v>
      </c>
      <c r="D10" s="1025">
        <f ca="1">tertiair!C16</f>
        <v>0</v>
      </c>
      <c r="E10" s="1025">
        <f ca="1">tertiair!D16</f>
        <v>25452.538584000002</v>
      </c>
      <c r="F10" s="1025">
        <f>tertiair!E16</f>
        <v>159.68588104563526</v>
      </c>
      <c r="G10" s="1025">
        <f ca="1">tertiair!F16</f>
        <v>3177.4546217419388</v>
      </c>
      <c r="H10" s="1025">
        <f>tertiair!G16</f>
        <v>0</v>
      </c>
      <c r="I10" s="1025">
        <f>tertiair!H16</f>
        <v>0</v>
      </c>
      <c r="J10" s="1025">
        <f>tertiair!I16</f>
        <v>0</v>
      </c>
      <c r="K10" s="1025">
        <f>tertiair!J16</f>
        <v>0</v>
      </c>
      <c r="L10" s="1025">
        <f>tertiair!K16</f>
        <v>0</v>
      </c>
      <c r="M10" s="1025">
        <f ca="1">tertiair!L16</f>
        <v>0</v>
      </c>
      <c r="N10" s="1025">
        <f>tertiair!M16</f>
        <v>0</v>
      </c>
      <c r="O10" s="1025">
        <f ca="1">tertiair!N16</f>
        <v>2157.0419225213368</v>
      </c>
      <c r="P10" s="1025">
        <f>tertiair!O16</f>
        <v>0</v>
      </c>
      <c r="Q10" s="1026">
        <f>tertiair!P16</f>
        <v>38.133333333333333</v>
      </c>
      <c r="R10" s="701">
        <f ca="1">SUM(C10:Q10)</f>
        <v>53461.569342642237</v>
      </c>
      <c r="S10" s="67"/>
    </row>
    <row r="11" spans="1:19" s="474" customFormat="1">
      <c r="A11" s="810" t="s">
        <v>225</v>
      </c>
      <c r="B11" s="815"/>
      <c r="C11" s="1025">
        <f>huishoudens!B8</f>
        <v>26152.496439598202</v>
      </c>
      <c r="D11" s="1025">
        <f>huishoudens!C8</f>
        <v>0</v>
      </c>
      <c r="E11" s="1025">
        <f>huishoudens!D8</f>
        <v>52536.672495999999</v>
      </c>
      <c r="F11" s="1025">
        <f>huishoudens!E8</f>
        <v>4900.5820391525021</v>
      </c>
      <c r="G11" s="1025">
        <f>huishoudens!F8</f>
        <v>16544.74020713209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12866.04327113221</v>
      </c>
      <c r="P11" s="1025">
        <f>huishoudens!O8</f>
        <v>286.09000000000003</v>
      </c>
      <c r="Q11" s="1026">
        <f>huishoudens!P8</f>
        <v>667.33333333333337</v>
      </c>
      <c r="R11" s="701">
        <f>SUM(C11:Q11)</f>
        <v>113953.95778634833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58798.216</v>
      </c>
      <c r="D13" s="1025">
        <f>industrie!C18</f>
        <v>0</v>
      </c>
      <c r="E13" s="1025">
        <f>industrie!D18</f>
        <v>123494.591528</v>
      </c>
      <c r="F13" s="1025">
        <f>industrie!E18</f>
        <v>5478.8208696244837</v>
      </c>
      <c r="G13" s="1025">
        <f>industrie!F18</f>
        <v>23385.81021533041</v>
      </c>
      <c r="H13" s="1025">
        <f>industrie!G18</f>
        <v>0</v>
      </c>
      <c r="I13" s="1025">
        <f>industrie!H18</f>
        <v>0</v>
      </c>
      <c r="J13" s="1025">
        <f>industrie!I18</f>
        <v>0</v>
      </c>
      <c r="K13" s="1025">
        <f>industrie!J18</f>
        <v>6.0843500532745587</v>
      </c>
      <c r="L13" s="1025">
        <f>industrie!K18</f>
        <v>0</v>
      </c>
      <c r="M13" s="1025">
        <f>industrie!L18</f>
        <v>0</v>
      </c>
      <c r="N13" s="1025">
        <f>industrie!M18</f>
        <v>0</v>
      </c>
      <c r="O13" s="1025">
        <f>industrie!N18</f>
        <v>8640.0355315179349</v>
      </c>
      <c r="P13" s="1025">
        <f>industrie!O18</f>
        <v>0</v>
      </c>
      <c r="Q13" s="1026">
        <f>industrie!P18</f>
        <v>0</v>
      </c>
      <c r="R13" s="701">
        <f>SUM(C13:Q13)</f>
        <v>219803.55849452611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107427.42743959819</v>
      </c>
      <c r="D16" s="733">
        <f t="shared" ref="D16:R16" ca="1" si="0">SUM(D9:D15)</f>
        <v>0</v>
      </c>
      <c r="E16" s="733">
        <f t="shared" ca="1" si="0"/>
        <v>201483.802608</v>
      </c>
      <c r="F16" s="733">
        <f t="shared" si="0"/>
        <v>10539.088789822621</v>
      </c>
      <c r="G16" s="733">
        <f t="shared" ca="1" si="0"/>
        <v>43108.005044204438</v>
      </c>
      <c r="H16" s="733">
        <f t="shared" si="0"/>
        <v>0</v>
      </c>
      <c r="I16" s="733">
        <f t="shared" si="0"/>
        <v>0</v>
      </c>
      <c r="J16" s="733">
        <f t="shared" si="0"/>
        <v>0</v>
      </c>
      <c r="K16" s="733">
        <f t="shared" si="0"/>
        <v>6.0843500532745587</v>
      </c>
      <c r="L16" s="733">
        <f t="shared" si="0"/>
        <v>0</v>
      </c>
      <c r="M16" s="733">
        <f t="shared" ca="1" si="0"/>
        <v>0</v>
      </c>
      <c r="N16" s="733">
        <f t="shared" si="0"/>
        <v>0</v>
      </c>
      <c r="O16" s="733">
        <f t="shared" ca="1" si="0"/>
        <v>23663.12072517148</v>
      </c>
      <c r="P16" s="733">
        <f t="shared" si="0"/>
        <v>286.09000000000003</v>
      </c>
      <c r="Q16" s="733">
        <f t="shared" si="0"/>
        <v>705.4666666666667</v>
      </c>
      <c r="R16" s="733">
        <f t="shared" ca="1" si="0"/>
        <v>387219.0856235167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2089.0055139600299</v>
      </c>
      <c r="I19" s="1025">
        <f>transport!H54</f>
        <v>0</v>
      </c>
      <c r="J19" s="1025">
        <f>transport!I54</f>
        <v>0</v>
      </c>
      <c r="K19" s="1025">
        <f>transport!J54</f>
        <v>0</v>
      </c>
      <c r="L19" s="1025">
        <f>transport!K54</f>
        <v>0</v>
      </c>
      <c r="M19" s="1025">
        <f>transport!L54</f>
        <v>0</v>
      </c>
      <c r="N19" s="1025">
        <f>transport!M54</f>
        <v>119.12989468109893</v>
      </c>
      <c r="O19" s="1025">
        <f>transport!N54</f>
        <v>0</v>
      </c>
      <c r="P19" s="1025">
        <f>transport!O54</f>
        <v>0</v>
      </c>
      <c r="Q19" s="1026">
        <f>transport!P54</f>
        <v>0</v>
      </c>
      <c r="R19" s="701">
        <f>SUM(C19:Q19)</f>
        <v>2208.1354086411288</v>
      </c>
      <c r="S19" s="67"/>
    </row>
    <row r="20" spans="1:19" s="474" customFormat="1">
      <c r="A20" s="810" t="s">
        <v>307</v>
      </c>
      <c r="B20" s="815"/>
      <c r="C20" s="1025">
        <f>transport!B14</f>
        <v>14.673524496833716</v>
      </c>
      <c r="D20" s="1025">
        <f>transport!C14</f>
        <v>0</v>
      </c>
      <c r="E20" s="1025">
        <f>transport!D14</f>
        <v>39.297676129786367</v>
      </c>
      <c r="F20" s="1025">
        <f>transport!E14</f>
        <v>249.69541375615481</v>
      </c>
      <c r="G20" s="1025">
        <f>transport!F14</f>
        <v>0</v>
      </c>
      <c r="H20" s="1025">
        <f>transport!G14</f>
        <v>76257.782232547645</v>
      </c>
      <c r="I20" s="1025">
        <f>transport!H14</f>
        <v>14837.2954209946</v>
      </c>
      <c r="J20" s="1025">
        <f>transport!I14</f>
        <v>0</v>
      </c>
      <c r="K20" s="1025">
        <f>transport!J14</f>
        <v>0</v>
      </c>
      <c r="L20" s="1025">
        <f>transport!K14</f>
        <v>0</v>
      </c>
      <c r="M20" s="1025">
        <f>transport!L14</f>
        <v>0</v>
      </c>
      <c r="N20" s="1025">
        <f>transport!M14</f>
        <v>4867.9133385118203</v>
      </c>
      <c r="O20" s="1025">
        <f>transport!N14</f>
        <v>0</v>
      </c>
      <c r="P20" s="1025">
        <f>transport!O14</f>
        <v>0</v>
      </c>
      <c r="Q20" s="1026">
        <f>transport!P14</f>
        <v>0</v>
      </c>
      <c r="R20" s="701">
        <f>SUM(C20:Q20)</f>
        <v>96266.657606436842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14.673524496833716</v>
      </c>
      <c r="D22" s="813">
        <f t="shared" ref="D22:R22" si="1">SUM(D18:D21)</f>
        <v>0</v>
      </c>
      <c r="E22" s="813">
        <f t="shared" si="1"/>
        <v>39.297676129786367</v>
      </c>
      <c r="F22" s="813">
        <f t="shared" si="1"/>
        <v>249.69541375615481</v>
      </c>
      <c r="G22" s="813">
        <f t="shared" si="1"/>
        <v>0</v>
      </c>
      <c r="H22" s="813">
        <f t="shared" si="1"/>
        <v>78346.787746507674</v>
      </c>
      <c r="I22" s="813">
        <f t="shared" si="1"/>
        <v>14837.2954209946</v>
      </c>
      <c r="J22" s="813">
        <f t="shared" si="1"/>
        <v>0</v>
      </c>
      <c r="K22" s="813">
        <f t="shared" si="1"/>
        <v>0</v>
      </c>
      <c r="L22" s="813">
        <f t="shared" si="1"/>
        <v>0</v>
      </c>
      <c r="M22" s="813">
        <f t="shared" si="1"/>
        <v>0</v>
      </c>
      <c r="N22" s="813">
        <f t="shared" si="1"/>
        <v>4987.0432331929196</v>
      </c>
      <c r="O22" s="813">
        <f t="shared" si="1"/>
        <v>0</v>
      </c>
      <c r="P22" s="813">
        <f t="shared" si="1"/>
        <v>0</v>
      </c>
      <c r="Q22" s="813">
        <f t="shared" si="1"/>
        <v>0</v>
      </c>
      <c r="R22" s="813">
        <f t="shared" si="1"/>
        <v>98474.793015077972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660.76099999999997</v>
      </c>
      <c r="D24" s="1025">
        <f>+landbouw!C8</f>
        <v>62.357142857142847</v>
      </c>
      <c r="E24" s="1025">
        <f>+landbouw!D8</f>
        <v>615.27494600000011</v>
      </c>
      <c r="F24" s="1025">
        <f>+landbouw!E8</f>
        <v>6.1202451341463906</v>
      </c>
      <c r="G24" s="1025">
        <f>+landbouw!F8</f>
        <v>1676.4765318413251</v>
      </c>
      <c r="H24" s="1025">
        <f>+landbouw!G8</f>
        <v>0</v>
      </c>
      <c r="I24" s="1025">
        <f>+landbouw!H8</f>
        <v>0</v>
      </c>
      <c r="J24" s="1025">
        <f>+landbouw!I8</f>
        <v>0</v>
      </c>
      <c r="K24" s="1025">
        <f>+landbouw!J8</f>
        <v>101.30203541428207</v>
      </c>
      <c r="L24" s="1025">
        <f>+landbouw!K8</f>
        <v>0</v>
      </c>
      <c r="M24" s="1025">
        <f>+landbouw!L8</f>
        <v>0</v>
      </c>
      <c r="N24" s="1025">
        <f>+landbouw!M8</f>
        <v>0</v>
      </c>
      <c r="O24" s="1025">
        <f>+landbouw!N8</f>
        <v>0</v>
      </c>
      <c r="P24" s="1025">
        <f>+landbouw!O8</f>
        <v>0</v>
      </c>
      <c r="Q24" s="1026">
        <f>+landbouw!P8</f>
        <v>0</v>
      </c>
      <c r="R24" s="701">
        <f>SUM(C24:Q24)</f>
        <v>3122.2919012468969</v>
      </c>
      <c r="S24" s="67"/>
    </row>
    <row r="25" spans="1:19" s="474" customFormat="1" ht="15" thickBot="1">
      <c r="A25" s="832" t="s">
        <v>864</v>
      </c>
      <c r="B25" s="1028"/>
      <c r="C25" s="1029">
        <f>IF(Onbekend_ele_kWh="---",0,Onbekend_ele_kWh)/1000+IF(REST_rest_ele_kWh="---",0,REST_rest_ele_kWh)/1000</f>
        <v>433.46</v>
      </c>
      <c r="D25" s="1029"/>
      <c r="E25" s="1029">
        <f>IF(onbekend_gas_kWh="---",0,onbekend_gas_kWh)/1000+IF(REST_rest_gas_kWh="---",0,REST_rest_gas_kWh)/1000</f>
        <v>576.81500000000005</v>
      </c>
      <c r="F25" s="1029"/>
      <c r="G25" s="1029"/>
      <c r="H25" s="1029"/>
      <c r="I25" s="1029"/>
      <c r="J25" s="1029"/>
      <c r="K25" s="1029"/>
      <c r="L25" s="1029"/>
      <c r="M25" s="1029"/>
      <c r="N25" s="1029"/>
      <c r="O25" s="1029"/>
      <c r="P25" s="1029"/>
      <c r="Q25" s="1030"/>
      <c r="R25" s="701">
        <f>SUM(C25:Q25)</f>
        <v>1010.2750000000001</v>
      </c>
      <c r="S25" s="67"/>
    </row>
    <row r="26" spans="1:19" s="474" customFormat="1" ht="15.75" thickBot="1">
      <c r="A26" s="706" t="s">
        <v>865</v>
      </c>
      <c r="B26" s="818"/>
      <c r="C26" s="813">
        <f>SUM(C24:C25)</f>
        <v>1094.221</v>
      </c>
      <c r="D26" s="813">
        <f t="shared" ref="D26:R26" si="2">SUM(D24:D25)</f>
        <v>62.357142857142847</v>
      </c>
      <c r="E26" s="813">
        <f t="shared" si="2"/>
        <v>1192.0899460000001</v>
      </c>
      <c r="F26" s="813">
        <f t="shared" si="2"/>
        <v>6.1202451341463906</v>
      </c>
      <c r="G26" s="813">
        <f t="shared" si="2"/>
        <v>1676.4765318413251</v>
      </c>
      <c r="H26" s="813">
        <f t="shared" si="2"/>
        <v>0</v>
      </c>
      <c r="I26" s="813">
        <f t="shared" si="2"/>
        <v>0</v>
      </c>
      <c r="J26" s="813">
        <f t="shared" si="2"/>
        <v>0</v>
      </c>
      <c r="K26" s="813">
        <f t="shared" si="2"/>
        <v>101.30203541428207</v>
      </c>
      <c r="L26" s="813">
        <f t="shared" si="2"/>
        <v>0</v>
      </c>
      <c r="M26" s="813">
        <f t="shared" si="2"/>
        <v>0</v>
      </c>
      <c r="N26" s="813">
        <f t="shared" si="2"/>
        <v>0</v>
      </c>
      <c r="O26" s="813">
        <f t="shared" si="2"/>
        <v>0</v>
      </c>
      <c r="P26" s="813">
        <f t="shared" si="2"/>
        <v>0</v>
      </c>
      <c r="Q26" s="813">
        <f t="shared" si="2"/>
        <v>0</v>
      </c>
      <c r="R26" s="813">
        <f t="shared" si="2"/>
        <v>4132.566901246897</v>
      </c>
      <c r="S26" s="67"/>
    </row>
    <row r="27" spans="1:19" s="474" customFormat="1" ht="17.25" thickTop="1" thickBot="1">
      <c r="A27" s="707" t="s">
        <v>116</v>
      </c>
      <c r="B27" s="806"/>
      <c r="C27" s="708">
        <f ca="1">C22+C16+C26</f>
        <v>108536.32196409503</v>
      </c>
      <c r="D27" s="708">
        <f t="shared" ref="D27:R27" ca="1" si="3">D22+D16+D26</f>
        <v>62.357142857142847</v>
      </c>
      <c r="E27" s="708">
        <f t="shared" ca="1" si="3"/>
        <v>202715.19023012978</v>
      </c>
      <c r="F27" s="708">
        <f t="shared" si="3"/>
        <v>10794.904448712923</v>
      </c>
      <c r="G27" s="708">
        <f t="shared" ca="1" si="3"/>
        <v>44784.481576045764</v>
      </c>
      <c r="H27" s="708">
        <f t="shared" si="3"/>
        <v>78346.787746507674</v>
      </c>
      <c r="I27" s="708">
        <f t="shared" si="3"/>
        <v>14837.2954209946</v>
      </c>
      <c r="J27" s="708">
        <f t="shared" si="3"/>
        <v>0</v>
      </c>
      <c r="K27" s="708">
        <f t="shared" si="3"/>
        <v>107.38638546755664</v>
      </c>
      <c r="L27" s="708">
        <f t="shared" si="3"/>
        <v>0</v>
      </c>
      <c r="M27" s="708">
        <f t="shared" ca="1" si="3"/>
        <v>0</v>
      </c>
      <c r="N27" s="708">
        <f t="shared" si="3"/>
        <v>4987.0432331929196</v>
      </c>
      <c r="O27" s="708">
        <f t="shared" ca="1" si="3"/>
        <v>23663.12072517148</v>
      </c>
      <c r="P27" s="708">
        <f t="shared" si="3"/>
        <v>286.09000000000003</v>
      </c>
      <c r="Q27" s="708">
        <f t="shared" si="3"/>
        <v>705.4666666666667</v>
      </c>
      <c r="R27" s="708">
        <f t="shared" ca="1" si="3"/>
        <v>489826.44553984154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4094.8935632661733</v>
      </c>
      <c r="D40" s="1025">
        <f ca="1">tertiair!C20</f>
        <v>0</v>
      </c>
      <c r="E40" s="1025">
        <f ca="1">tertiair!D20</f>
        <v>5141.4127939680011</v>
      </c>
      <c r="F40" s="1025">
        <f>tertiair!E20</f>
        <v>36.248694997359202</v>
      </c>
      <c r="G40" s="1025">
        <f ca="1">tertiair!F20</f>
        <v>848.38038400509765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10120.93543623663</v>
      </c>
    </row>
    <row r="41" spans="1:18">
      <c r="A41" s="823" t="s">
        <v>225</v>
      </c>
      <c r="B41" s="830"/>
      <c r="C41" s="1025">
        <f ca="1">huishoudens!B12</f>
        <v>4764.5614287431326</v>
      </c>
      <c r="D41" s="1025">
        <f ca="1">huishoudens!C12</f>
        <v>0</v>
      </c>
      <c r="E41" s="1025">
        <f>huishoudens!D12</f>
        <v>10612.407844192001</v>
      </c>
      <c r="F41" s="1025">
        <f>huishoudens!E12</f>
        <v>1112.4321228876181</v>
      </c>
      <c r="G41" s="1025">
        <f>huishoudens!F12</f>
        <v>4417.4456353042688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20906.847031127021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10712.082981429188</v>
      </c>
      <c r="D43" s="1025">
        <f ca="1">industrie!C22</f>
        <v>0</v>
      </c>
      <c r="E43" s="1025">
        <f>industrie!D22</f>
        <v>24945.907488656001</v>
      </c>
      <c r="F43" s="1025">
        <f>industrie!E22</f>
        <v>1243.6923374047578</v>
      </c>
      <c r="G43" s="1025">
        <f>industrie!F22</f>
        <v>6244.0113274932201</v>
      </c>
      <c r="H43" s="1025">
        <f>industrie!G22</f>
        <v>0</v>
      </c>
      <c r="I43" s="1025">
        <f>industrie!H22</f>
        <v>0</v>
      </c>
      <c r="J43" s="1025">
        <f>industrie!I22</f>
        <v>0</v>
      </c>
      <c r="K43" s="1025">
        <f>industrie!J22</f>
        <v>2.1538599188591938</v>
      </c>
      <c r="L43" s="1025">
        <f>industrie!K22</f>
        <v>0</v>
      </c>
      <c r="M43" s="1025">
        <f>industrie!L22</f>
        <v>0</v>
      </c>
      <c r="N43" s="1025">
        <f>industrie!M22</f>
        <v>0</v>
      </c>
      <c r="O43" s="1025">
        <f>industrie!N22</f>
        <v>0</v>
      </c>
      <c r="P43" s="1025">
        <f>industrie!O22</f>
        <v>0</v>
      </c>
      <c r="Q43" s="775">
        <f>industrie!P22</f>
        <v>0</v>
      </c>
      <c r="R43" s="850">
        <f t="shared" ca="1" si="4"/>
        <v>43147.847994902026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19571.537973438491</v>
      </c>
      <c r="D46" s="733">
        <f t="shared" ref="D46:Q46" ca="1" si="5">SUM(D39:D45)</f>
        <v>0</v>
      </c>
      <c r="E46" s="733">
        <f t="shared" ca="1" si="5"/>
        <v>40699.728126816</v>
      </c>
      <c r="F46" s="733">
        <f t="shared" si="5"/>
        <v>2392.3731552897352</v>
      </c>
      <c r="G46" s="733">
        <f t="shared" ca="1" si="5"/>
        <v>11509.837346802586</v>
      </c>
      <c r="H46" s="733">
        <f t="shared" si="5"/>
        <v>0</v>
      </c>
      <c r="I46" s="733">
        <f t="shared" si="5"/>
        <v>0</v>
      </c>
      <c r="J46" s="733">
        <f t="shared" si="5"/>
        <v>0</v>
      </c>
      <c r="K46" s="733">
        <f t="shared" si="5"/>
        <v>2.1538599188591938</v>
      </c>
      <c r="L46" s="733">
        <f t="shared" si="5"/>
        <v>0</v>
      </c>
      <c r="M46" s="733">
        <f t="shared" ca="1" si="5"/>
        <v>0</v>
      </c>
      <c r="N46" s="733">
        <f t="shared" si="5"/>
        <v>0</v>
      </c>
      <c r="O46" s="733">
        <f t="shared" ca="1" si="5"/>
        <v>0</v>
      </c>
      <c r="P46" s="733">
        <f t="shared" si="5"/>
        <v>0</v>
      </c>
      <c r="Q46" s="733">
        <f t="shared" si="5"/>
        <v>0</v>
      </c>
      <c r="R46" s="733">
        <f ca="1">SUM(R39:R45)</f>
        <v>74175.630462265675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557.76447222732804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557.76447222732804</v>
      </c>
    </row>
    <row r="50" spans="1:18">
      <c r="A50" s="826" t="s">
        <v>307</v>
      </c>
      <c r="B50" s="836"/>
      <c r="C50" s="704">
        <f ca="1">transport!B18</f>
        <v>2.6732785913116266</v>
      </c>
      <c r="D50" s="704">
        <f>transport!C18</f>
        <v>0</v>
      </c>
      <c r="E50" s="704">
        <f>transport!D18</f>
        <v>7.938130578216847</v>
      </c>
      <c r="F50" s="704">
        <f>transport!E18</f>
        <v>56.68085892264714</v>
      </c>
      <c r="G50" s="704">
        <f>transport!F18</f>
        <v>0</v>
      </c>
      <c r="H50" s="704">
        <f>transport!G18</f>
        <v>20360.827856090222</v>
      </c>
      <c r="I50" s="704">
        <f>transport!H18</f>
        <v>3694.4865598276556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24122.606684010054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2.6732785913116266</v>
      </c>
      <c r="D52" s="733">
        <f t="shared" ref="D52:Q52" ca="1" si="6">SUM(D48:D51)</f>
        <v>0</v>
      </c>
      <c r="E52" s="733">
        <f t="shared" si="6"/>
        <v>7.938130578216847</v>
      </c>
      <c r="F52" s="733">
        <f t="shared" si="6"/>
        <v>56.68085892264714</v>
      </c>
      <c r="G52" s="733">
        <f t="shared" si="6"/>
        <v>0</v>
      </c>
      <c r="H52" s="733">
        <f t="shared" si="6"/>
        <v>20918.592328317551</v>
      </c>
      <c r="I52" s="733">
        <f t="shared" si="6"/>
        <v>3694.4865598276556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24680.371156237383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120.37995613492987</v>
      </c>
      <c r="D54" s="704">
        <f ca="1">+landbouw!C12</f>
        <v>0</v>
      </c>
      <c r="E54" s="704">
        <f>+landbouw!D12</f>
        <v>124.28553909200004</v>
      </c>
      <c r="F54" s="704">
        <f>+landbouw!E12</f>
        <v>1.3892956454512306</v>
      </c>
      <c r="G54" s="704">
        <f>+landbouw!F12</f>
        <v>447.61923400163386</v>
      </c>
      <c r="H54" s="704">
        <f>+landbouw!G12</f>
        <v>0</v>
      </c>
      <c r="I54" s="704">
        <f>+landbouw!H12</f>
        <v>0</v>
      </c>
      <c r="J54" s="704">
        <f>+landbouw!I12</f>
        <v>0</v>
      </c>
      <c r="K54" s="704">
        <f>+landbouw!J12</f>
        <v>35.860920536655854</v>
      </c>
      <c r="L54" s="704">
        <f>+landbouw!K12</f>
        <v>0</v>
      </c>
      <c r="M54" s="704">
        <f>+landbouw!L12</f>
        <v>0</v>
      </c>
      <c r="N54" s="704">
        <f>+landbouw!M12</f>
        <v>0</v>
      </c>
      <c r="O54" s="704">
        <f>+landbouw!N12</f>
        <v>0</v>
      </c>
      <c r="P54" s="704">
        <f>+landbouw!O12</f>
        <v>0</v>
      </c>
      <c r="Q54" s="705">
        <f>+landbouw!P12</f>
        <v>0</v>
      </c>
      <c r="R54" s="732">
        <f ca="1">SUM(C54:Q54)</f>
        <v>729.53494541067084</v>
      </c>
    </row>
    <row r="55" spans="1:18" ht="15" thickBot="1">
      <c r="A55" s="826" t="s">
        <v>864</v>
      </c>
      <c r="B55" s="836"/>
      <c r="C55" s="704">
        <f ca="1">C25*'EF ele_warmte'!B12</f>
        <v>78.969394056620629</v>
      </c>
      <c r="D55" s="704"/>
      <c r="E55" s="704">
        <f>E25*EF_CO2_aardgas</f>
        <v>116.51663000000002</v>
      </c>
      <c r="F55" s="704"/>
      <c r="G55" s="704"/>
      <c r="H55" s="704"/>
      <c r="I55" s="704"/>
      <c r="J55" s="704"/>
      <c r="K55" s="704"/>
      <c r="L55" s="704"/>
      <c r="M55" s="704"/>
      <c r="N55" s="704"/>
      <c r="O55" s="704"/>
      <c r="P55" s="704"/>
      <c r="Q55" s="705"/>
      <c r="R55" s="732">
        <f ca="1">SUM(C55:Q55)</f>
        <v>195.48602405662064</v>
      </c>
    </row>
    <row r="56" spans="1:18" ht="15.75" thickBot="1">
      <c r="A56" s="824" t="s">
        <v>865</v>
      </c>
      <c r="B56" s="837"/>
      <c r="C56" s="733">
        <f ca="1">SUM(C54:C55)</f>
        <v>199.34935019155051</v>
      </c>
      <c r="D56" s="733">
        <f t="shared" ref="D56:Q56" ca="1" si="7">SUM(D54:D55)</f>
        <v>0</v>
      </c>
      <c r="E56" s="733">
        <f t="shared" si="7"/>
        <v>240.80216909200004</v>
      </c>
      <c r="F56" s="733">
        <f t="shared" si="7"/>
        <v>1.3892956454512306</v>
      </c>
      <c r="G56" s="733">
        <f t="shared" si="7"/>
        <v>447.61923400163386</v>
      </c>
      <c r="H56" s="733">
        <f t="shared" si="7"/>
        <v>0</v>
      </c>
      <c r="I56" s="733">
        <f t="shared" si="7"/>
        <v>0</v>
      </c>
      <c r="J56" s="733">
        <f t="shared" si="7"/>
        <v>0</v>
      </c>
      <c r="K56" s="733">
        <f t="shared" si="7"/>
        <v>35.860920536655854</v>
      </c>
      <c r="L56" s="733">
        <f t="shared" si="7"/>
        <v>0</v>
      </c>
      <c r="M56" s="733">
        <f t="shared" si="7"/>
        <v>0</v>
      </c>
      <c r="N56" s="733">
        <f t="shared" si="7"/>
        <v>0</v>
      </c>
      <c r="O56" s="733">
        <f t="shared" si="7"/>
        <v>0</v>
      </c>
      <c r="P56" s="733">
        <f t="shared" si="7"/>
        <v>0</v>
      </c>
      <c r="Q56" s="734">
        <f t="shared" si="7"/>
        <v>0</v>
      </c>
      <c r="R56" s="735">
        <f ca="1">SUM(R54:R55)</f>
        <v>925.02096946729148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19773.560602221354</v>
      </c>
      <c r="D61" s="741">
        <f t="shared" ref="D61:Q61" ca="1" si="8">D46+D52+D56</f>
        <v>0</v>
      </c>
      <c r="E61" s="741">
        <f t="shared" ca="1" si="8"/>
        <v>40948.468426486215</v>
      </c>
      <c r="F61" s="741">
        <f t="shared" si="8"/>
        <v>2450.4433098578334</v>
      </c>
      <c r="G61" s="741">
        <f t="shared" ca="1" si="8"/>
        <v>11957.456580804219</v>
      </c>
      <c r="H61" s="741">
        <f t="shared" si="8"/>
        <v>20918.592328317551</v>
      </c>
      <c r="I61" s="741">
        <f t="shared" si="8"/>
        <v>3694.4865598276556</v>
      </c>
      <c r="J61" s="741">
        <f t="shared" si="8"/>
        <v>0</v>
      </c>
      <c r="K61" s="741">
        <f t="shared" si="8"/>
        <v>38.014780455515051</v>
      </c>
      <c r="L61" s="741">
        <f t="shared" si="8"/>
        <v>0</v>
      </c>
      <c r="M61" s="741">
        <f t="shared" ca="1" si="8"/>
        <v>0</v>
      </c>
      <c r="N61" s="741">
        <f t="shared" si="8"/>
        <v>0</v>
      </c>
      <c r="O61" s="741">
        <f t="shared" ca="1" si="8"/>
        <v>0</v>
      </c>
      <c r="P61" s="741">
        <f t="shared" si="8"/>
        <v>0</v>
      </c>
      <c r="Q61" s="741">
        <f t="shared" si="8"/>
        <v>0</v>
      </c>
      <c r="R61" s="741">
        <f ca="1">R46+R52+R56</f>
        <v>99781.02258797035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0.18218380947866153</v>
      </c>
      <c r="D63" s="782">
        <f t="shared" ca="1" si="9"/>
        <v>0</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19019.547067165815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19063.197067165816</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19019.547067165815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19063.197067165816</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72029</v>
      </c>
      <c r="C28" s="797">
        <v>3900</v>
      </c>
      <c r="D28" s="654" t="s">
        <v>907</v>
      </c>
      <c r="E28" s="653" t="s">
        <v>908</v>
      </c>
      <c r="F28" s="653" t="s">
        <v>909</v>
      </c>
      <c r="G28" s="653" t="s">
        <v>910</v>
      </c>
      <c r="H28" s="653" t="s">
        <v>911</v>
      </c>
      <c r="I28" s="653" t="s">
        <v>908</v>
      </c>
      <c r="J28" s="796">
        <v>41094</v>
      </c>
      <c r="K28" s="796">
        <v>41244</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26152.496439598202</v>
      </c>
      <c r="C4" s="478">
        <f>huishoudens!C8</f>
        <v>0</v>
      </c>
      <c r="D4" s="478">
        <f>huishoudens!D8</f>
        <v>52536.672495999999</v>
      </c>
      <c r="E4" s="478">
        <f>huishoudens!E8</f>
        <v>4900.5820391525021</v>
      </c>
      <c r="F4" s="478">
        <f>huishoudens!F8</f>
        <v>16544.74020713209</v>
      </c>
      <c r="G4" s="478">
        <f>huishoudens!G8</f>
        <v>0</v>
      </c>
      <c r="H4" s="478">
        <f>huishoudens!H8</f>
        <v>0</v>
      </c>
      <c r="I4" s="478">
        <f>huishoudens!I8</f>
        <v>0</v>
      </c>
      <c r="J4" s="478">
        <f>huishoudens!J8</f>
        <v>0</v>
      </c>
      <c r="K4" s="478">
        <f>huishoudens!K8</f>
        <v>0</v>
      </c>
      <c r="L4" s="478">
        <f>huishoudens!L8</f>
        <v>0</v>
      </c>
      <c r="M4" s="478">
        <f>huishoudens!M8</f>
        <v>0</v>
      </c>
      <c r="N4" s="478">
        <f>huishoudens!N8</f>
        <v>12866.04327113221</v>
      </c>
      <c r="O4" s="478">
        <f>huishoudens!O8</f>
        <v>286.09000000000003</v>
      </c>
      <c r="P4" s="479">
        <f>huishoudens!P8</f>
        <v>667.33333333333337</v>
      </c>
      <c r="Q4" s="480">
        <f>SUM(B4:P4)</f>
        <v>113953.95778634833</v>
      </c>
    </row>
    <row r="5" spans="1:17">
      <c r="A5" s="477" t="s">
        <v>156</v>
      </c>
      <c r="B5" s="478">
        <f ca="1">tertiair!B16</f>
        <v>21464.285999999996</v>
      </c>
      <c r="C5" s="478">
        <f ca="1">tertiair!C16</f>
        <v>0</v>
      </c>
      <c r="D5" s="478">
        <f ca="1">tertiair!D16</f>
        <v>25452.538584000002</v>
      </c>
      <c r="E5" s="478">
        <f>tertiair!E16</f>
        <v>159.68588104563526</v>
      </c>
      <c r="F5" s="478">
        <f ca="1">tertiair!F16</f>
        <v>3177.4546217419388</v>
      </c>
      <c r="G5" s="478">
        <f>tertiair!G16</f>
        <v>0</v>
      </c>
      <c r="H5" s="478">
        <f>tertiair!H16</f>
        <v>0</v>
      </c>
      <c r="I5" s="478">
        <f>tertiair!I16</f>
        <v>0</v>
      </c>
      <c r="J5" s="478">
        <f>tertiair!J16</f>
        <v>0</v>
      </c>
      <c r="K5" s="478">
        <f>tertiair!K16</f>
        <v>0</v>
      </c>
      <c r="L5" s="478">
        <f ca="1">tertiair!L16</f>
        <v>0</v>
      </c>
      <c r="M5" s="478">
        <f>tertiair!M16</f>
        <v>0</v>
      </c>
      <c r="N5" s="478">
        <f ca="1">tertiair!N16</f>
        <v>2157.0419225213368</v>
      </c>
      <c r="O5" s="478">
        <f>tertiair!O16</f>
        <v>0</v>
      </c>
      <c r="P5" s="479">
        <f>tertiair!P16</f>
        <v>38.133333333333333</v>
      </c>
      <c r="Q5" s="477">
        <f t="shared" ref="Q5:Q14" ca="1" si="0">SUM(B5:P5)</f>
        <v>52449.14034264224</v>
      </c>
    </row>
    <row r="6" spans="1:17">
      <c r="A6" s="477" t="s">
        <v>194</v>
      </c>
      <c r="B6" s="478">
        <f>'openbare verlichting'!B8</f>
        <v>1012.429</v>
      </c>
      <c r="C6" s="478"/>
      <c r="D6" s="478"/>
      <c r="E6" s="478"/>
      <c r="F6" s="478"/>
      <c r="G6" s="478"/>
      <c r="H6" s="478"/>
      <c r="I6" s="478"/>
      <c r="J6" s="478"/>
      <c r="K6" s="478"/>
      <c r="L6" s="478"/>
      <c r="M6" s="478"/>
      <c r="N6" s="478"/>
      <c r="O6" s="478"/>
      <c r="P6" s="479"/>
      <c r="Q6" s="477">
        <f t="shared" si="0"/>
        <v>1012.429</v>
      </c>
    </row>
    <row r="7" spans="1:17">
      <c r="A7" s="477" t="s">
        <v>112</v>
      </c>
      <c r="B7" s="478">
        <f>landbouw!B8</f>
        <v>660.76099999999997</v>
      </c>
      <c r="C7" s="478">
        <f>landbouw!C8</f>
        <v>62.357142857142847</v>
      </c>
      <c r="D7" s="478">
        <f>landbouw!D8</f>
        <v>615.27494600000011</v>
      </c>
      <c r="E7" s="478">
        <f>landbouw!E8</f>
        <v>6.1202451341463906</v>
      </c>
      <c r="F7" s="478">
        <f>landbouw!F8</f>
        <v>1676.4765318413251</v>
      </c>
      <c r="G7" s="478">
        <f>landbouw!G8</f>
        <v>0</v>
      </c>
      <c r="H7" s="478">
        <f>landbouw!H8</f>
        <v>0</v>
      </c>
      <c r="I7" s="478">
        <f>landbouw!I8</f>
        <v>0</v>
      </c>
      <c r="J7" s="478">
        <f>landbouw!J8</f>
        <v>101.30203541428207</v>
      </c>
      <c r="K7" s="478">
        <f>landbouw!K8</f>
        <v>0</v>
      </c>
      <c r="L7" s="478">
        <f>landbouw!L8</f>
        <v>0</v>
      </c>
      <c r="M7" s="478">
        <f>landbouw!M8</f>
        <v>0</v>
      </c>
      <c r="N7" s="478">
        <f>landbouw!N8</f>
        <v>0</v>
      </c>
      <c r="O7" s="478">
        <f>landbouw!O8</f>
        <v>0</v>
      </c>
      <c r="P7" s="479">
        <f>landbouw!P8</f>
        <v>0</v>
      </c>
      <c r="Q7" s="477">
        <f t="shared" si="0"/>
        <v>3122.2919012468969</v>
      </c>
    </row>
    <row r="8" spans="1:17">
      <c r="A8" s="477" t="s">
        <v>650</v>
      </c>
      <c r="B8" s="478">
        <f>industrie!B18</f>
        <v>58798.216</v>
      </c>
      <c r="C8" s="478">
        <f>industrie!C18</f>
        <v>0</v>
      </c>
      <c r="D8" s="478">
        <f>industrie!D18</f>
        <v>123494.591528</v>
      </c>
      <c r="E8" s="478">
        <f>industrie!E18</f>
        <v>5478.8208696244837</v>
      </c>
      <c r="F8" s="478">
        <f>industrie!F18</f>
        <v>23385.81021533041</v>
      </c>
      <c r="G8" s="478">
        <f>industrie!G18</f>
        <v>0</v>
      </c>
      <c r="H8" s="478">
        <f>industrie!H18</f>
        <v>0</v>
      </c>
      <c r="I8" s="478">
        <f>industrie!I18</f>
        <v>0</v>
      </c>
      <c r="J8" s="478">
        <f>industrie!J18</f>
        <v>6.0843500532745587</v>
      </c>
      <c r="K8" s="478">
        <f>industrie!K18</f>
        <v>0</v>
      </c>
      <c r="L8" s="478">
        <f>industrie!L18</f>
        <v>0</v>
      </c>
      <c r="M8" s="478">
        <f>industrie!M18</f>
        <v>0</v>
      </c>
      <c r="N8" s="478">
        <f>industrie!N18</f>
        <v>8640.0355315179349</v>
      </c>
      <c r="O8" s="478">
        <f>industrie!O18</f>
        <v>0</v>
      </c>
      <c r="P8" s="479">
        <f>industrie!P18</f>
        <v>0</v>
      </c>
      <c r="Q8" s="477">
        <f t="shared" si="0"/>
        <v>219803.55849452611</v>
      </c>
    </row>
    <row r="9" spans="1:17" s="483" customFormat="1">
      <c r="A9" s="481" t="s">
        <v>571</v>
      </c>
      <c r="B9" s="482">
        <f>transport!B14</f>
        <v>14.673524496833716</v>
      </c>
      <c r="C9" s="482">
        <f>transport!C14</f>
        <v>0</v>
      </c>
      <c r="D9" s="482">
        <f>transport!D14</f>
        <v>39.297676129786367</v>
      </c>
      <c r="E9" s="482">
        <f>transport!E14</f>
        <v>249.69541375615481</v>
      </c>
      <c r="F9" s="482">
        <f>transport!F14</f>
        <v>0</v>
      </c>
      <c r="G9" s="482">
        <f>transport!G14</f>
        <v>76257.782232547645</v>
      </c>
      <c r="H9" s="482">
        <f>transport!H14</f>
        <v>14837.2954209946</v>
      </c>
      <c r="I9" s="482">
        <f>transport!I14</f>
        <v>0</v>
      </c>
      <c r="J9" s="482">
        <f>transport!J14</f>
        <v>0</v>
      </c>
      <c r="K9" s="482">
        <f>transport!K14</f>
        <v>0</v>
      </c>
      <c r="L9" s="482">
        <f>transport!L14</f>
        <v>0</v>
      </c>
      <c r="M9" s="482">
        <f>transport!M14</f>
        <v>4867.9133385118203</v>
      </c>
      <c r="N9" s="482">
        <f>transport!N14</f>
        <v>0</v>
      </c>
      <c r="O9" s="482">
        <f>transport!O14</f>
        <v>0</v>
      </c>
      <c r="P9" s="482">
        <f>transport!P14</f>
        <v>0</v>
      </c>
      <c r="Q9" s="481">
        <f>SUM(B9:P9)</f>
        <v>96266.657606436842</v>
      </c>
    </row>
    <row r="10" spans="1:17">
      <c r="A10" s="477" t="s">
        <v>561</v>
      </c>
      <c r="B10" s="478">
        <f>transport!B54</f>
        <v>0</v>
      </c>
      <c r="C10" s="478">
        <f>transport!C54</f>
        <v>0</v>
      </c>
      <c r="D10" s="478">
        <f>transport!D54</f>
        <v>0</v>
      </c>
      <c r="E10" s="478">
        <f>transport!E54</f>
        <v>0</v>
      </c>
      <c r="F10" s="478">
        <f>transport!F54</f>
        <v>0</v>
      </c>
      <c r="G10" s="478">
        <f>transport!G54</f>
        <v>2089.0055139600299</v>
      </c>
      <c r="H10" s="478">
        <f>transport!H54</f>
        <v>0</v>
      </c>
      <c r="I10" s="478">
        <f>transport!I54</f>
        <v>0</v>
      </c>
      <c r="J10" s="478">
        <f>transport!J54</f>
        <v>0</v>
      </c>
      <c r="K10" s="478">
        <f>transport!K54</f>
        <v>0</v>
      </c>
      <c r="L10" s="478">
        <f>transport!L54</f>
        <v>0</v>
      </c>
      <c r="M10" s="478">
        <f>transport!M54</f>
        <v>119.12989468109893</v>
      </c>
      <c r="N10" s="478">
        <f>transport!N54</f>
        <v>0</v>
      </c>
      <c r="O10" s="478">
        <f>transport!O54</f>
        <v>0</v>
      </c>
      <c r="P10" s="479">
        <f>transport!P54</f>
        <v>0</v>
      </c>
      <c r="Q10" s="477">
        <f t="shared" si="0"/>
        <v>2208.1354086411288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433.46</v>
      </c>
      <c r="C14" s="485"/>
      <c r="D14" s="485">
        <f>'SEAP template'!E25</f>
        <v>576.81500000000005</v>
      </c>
      <c r="E14" s="485"/>
      <c r="F14" s="485"/>
      <c r="G14" s="485"/>
      <c r="H14" s="485"/>
      <c r="I14" s="485"/>
      <c r="J14" s="485"/>
      <c r="K14" s="485"/>
      <c r="L14" s="485"/>
      <c r="M14" s="485"/>
      <c r="N14" s="485"/>
      <c r="O14" s="485"/>
      <c r="P14" s="486"/>
      <c r="Q14" s="477">
        <f t="shared" si="0"/>
        <v>1010.2750000000001</v>
      </c>
    </row>
    <row r="15" spans="1:17" s="487" customFormat="1">
      <c r="A15" s="1051" t="s">
        <v>565</v>
      </c>
      <c r="B15" s="991">
        <f ca="1">SUM(B4:B14)</f>
        <v>108536.32196409503</v>
      </c>
      <c r="C15" s="991">
        <f t="shared" ref="C15:Q15" ca="1" si="1">SUM(C4:C14)</f>
        <v>62.357142857142847</v>
      </c>
      <c r="D15" s="991">
        <f t="shared" ca="1" si="1"/>
        <v>202715.19023012981</v>
      </c>
      <c r="E15" s="991">
        <f t="shared" si="1"/>
        <v>10794.904448712921</v>
      </c>
      <c r="F15" s="991">
        <f t="shared" ca="1" si="1"/>
        <v>44784.481576045764</v>
      </c>
      <c r="G15" s="991">
        <f t="shared" si="1"/>
        <v>78346.787746507674</v>
      </c>
      <c r="H15" s="991">
        <f t="shared" si="1"/>
        <v>14837.2954209946</v>
      </c>
      <c r="I15" s="991">
        <f t="shared" si="1"/>
        <v>0</v>
      </c>
      <c r="J15" s="991">
        <f t="shared" si="1"/>
        <v>107.38638546755664</v>
      </c>
      <c r="K15" s="991">
        <f t="shared" si="1"/>
        <v>0</v>
      </c>
      <c r="L15" s="991">
        <f t="shared" ca="1" si="1"/>
        <v>0</v>
      </c>
      <c r="M15" s="991">
        <f t="shared" si="1"/>
        <v>4987.0432331929196</v>
      </c>
      <c r="N15" s="991">
        <f t="shared" ca="1" si="1"/>
        <v>23663.12072517148</v>
      </c>
      <c r="O15" s="991">
        <f t="shared" si="1"/>
        <v>286.09000000000003</v>
      </c>
      <c r="P15" s="991">
        <f t="shared" si="1"/>
        <v>705.4666666666667</v>
      </c>
      <c r="Q15" s="991">
        <f t="shared" ca="1" si="1"/>
        <v>489826.4455398416</v>
      </c>
    </row>
    <row r="17" spans="1:17">
      <c r="A17" s="488" t="s">
        <v>566</v>
      </c>
      <c r="B17" s="787">
        <f ca="1">huishoudens!B10</f>
        <v>0.18218380947866153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4764.5614287431326</v>
      </c>
      <c r="C22" s="478">
        <f t="shared" ref="C22:C32" ca="1" si="3">C4*$C$17</f>
        <v>0</v>
      </c>
      <c r="D22" s="478">
        <f t="shared" ref="D22:D32" si="4">D4*$D$17</f>
        <v>10612.407844192001</v>
      </c>
      <c r="E22" s="478">
        <f t="shared" ref="E22:E32" si="5">E4*$E$17</f>
        <v>1112.4321228876181</v>
      </c>
      <c r="F22" s="478">
        <f t="shared" ref="F22:F32" si="6">F4*$F$17</f>
        <v>4417.4456353042688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20906.847031127021</v>
      </c>
    </row>
    <row r="23" spans="1:17">
      <c r="A23" s="477" t="s">
        <v>156</v>
      </c>
      <c r="B23" s="478">
        <f t="shared" ca="1" si="2"/>
        <v>3910.4453912195013</v>
      </c>
      <c r="C23" s="478">
        <f t="shared" ca="1" si="3"/>
        <v>0</v>
      </c>
      <c r="D23" s="478">
        <f t="shared" ca="1" si="4"/>
        <v>5141.4127939680011</v>
      </c>
      <c r="E23" s="478">
        <f t="shared" si="5"/>
        <v>36.248694997359202</v>
      </c>
      <c r="F23" s="478">
        <f t="shared" ca="1" si="6"/>
        <v>848.38038400509765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9936.4872641899583</v>
      </c>
    </row>
    <row r="24" spans="1:17">
      <c r="A24" s="477" t="s">
        <v>194</v>
      </c>
      <c r="B24" s="478">
        <f t="shared" ca="1" si="2"/>
        <v>184.4481720466718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184.4481720466718</v>
      </c>
    </row>
    <row r="25" spans="1:17">
      <c r="A25" s="477" t="s">
        <v>112</v>
      </c>
      <c r="B25" s="478">
        <f t="shared" ca="1" si="2"/>
        <v>120.37995613492987</v>
      </c>
      <c r="C25" s="478">
        <f t="shared" ca="1" si="3"/>
        <v>0</v>
      </c>
      <c r="D25" s="478">
        <f t="shared" si="4"/>
        <v>124.28553909200004</v>
      </c>
      <c r="E25" s="478">
        <f t="shared" si="5"/>
        <v>1.3892956454512306</v>
      </c>
      <c r="F25" s="478">
        <f t="shared" si="6"/>
        <v>447.61923400163386</v>
      </c>
      <c r="G25" s="478">
        <f t="shared" si="7"/>
        <v>0</v>
      </c>
      <c r="H25" s="478">
        <f t="shared" si="8"/>
        <v>0</v>
      </c>
      <c r="I25" s="478">
        <f t="shared" si="9"/>
        <v>0</v>
      </c>
      <c r="J25" s="478">
        <f t="shared" si="10"/>
        <v>35.860920536655854</v>
      </c>
      <c r="K25" s="478">
        <f t="shared" si="11"/>
        <v>0</v>
      </c>
      <c r="L25" s="478">
        <f t="shared" si="12"/>
        <v>0</v>
      </c>
      <c r="M25" s="478">
        <f t="shared" si="13"/>
        <v>0</v>
      </c>
      <c r="N25" s="478">
        <f t="shared" si="14"/>
        <v>0</v>
      </c>
      <c r="O25" s="478">
        <f t="shared" si="15"/>
        <v>0</v>
      </c>
      <c r="P25" s="479">
        <f t="shared" si="16"/>
        <v>0</v>
      </c>
      <c r="Q25" s="477">
        <f t="shared" ca="1" si="17"/>
        <v>729.53494541067084</v>
      </c>
    </row>
    <row r="26" spans="1:17">
      <c r="A26" s="477" t="s">
        <v>650</v>
      </c>
      <c r="B26" s="478">
        <f t="shared" ca="1" si="2"/>
        <v>10712.082981429188</v>
      </c>
      <c r="C26" s="478">
        <f t="shared" ca="1" si="3"/>
        <v>0</v>
      </c>
      <c r="D26" s="478">
        <f t="shared" si="4"/>
        <v>24945.907488656001</v>
      </c>
      <c r="E26" s="478">
        <f t="shared" si="5"/>
        <v>1243.6923374047578</v>
      </c>
      <c r="F26" s="478">
        <f t="shared" si="6"/>
        <v>6244.0113274932201</v>
      </c>
      <c r="G26" s="478">
        <f t="shared" si="7"/>
        <v>0</v>
      </c>
      <c r="H26" s="478">
        <f t="shared" si="8"/>
        <v>0</v>
      </c>
      <c r="I26" s="478">
        <f t="shared" si="9"/>
        <v>0</v>
      </c>
      <c r="J26" s="478">
        <f t="shared" si="10"/>
        <v>2.1538599188591938</v>
      </c>
      <c r="K26" s="478">
        <f t="shared" si="11"/>
        <v>0</v>
      </c>
      <c r="L26" s="478">
        <f t="shared" si="12"/>
        <v>0</v>
      </c>
      <c r="M26" s="478">
        <f t="shared" si="13"/>
        <v>0</v>
      </c>
      <c r="N26" s="478">
        <f t="shared" si="14"/>
        <v>0</v>
      </c>
      <c r="O26" s="478">
        <f t="shared" si="15"/>
        <v>0</v>
      </c>
      <c r="P26" s="479">
        <f t="shared" si="16"/>
        <v>0</v>
      </c>
      <c r="Q26" s="477">
        <f t="shared" ca="1" si="17"/>
        <v>43147.847994902026</v>
      </c>
    </row>
    <row r="27" spans="1:17" s="483" customFormat="1">
      <c r="A27" s="481" t="s">
        <v>571</v>
      </c>
      <c r="B27" s="781">
        <f t="shared" ca="1" si="2"/>
        <v>2.6732785913116266</v>
      </c>
      <c r="C27" s="482">
        <f t="shared" ca="1" si="3"/>
        <v>0</v>
      </c>
      <c r="D27" s="482">
        <f t="shared" si="4"/>
        <v>7.938130578216847</v>
      </c>
      <c r="E27" s="482">
        <f t="shared" si="5"/>
        <v>56.68085892264714</v>
      </c>
      <c r="F27" s="482">
        <f t="shared" si="6"/>
        <v>0</v>
      </c>
      <c r="G27" s="482">
        <f t="shared" si="7"/>
        <v>20360.827856090222</v>
      </c>
      <c r="H27" s="482">
        <f t="shared" si="8"/>
        <v>3694.4865598276556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24122.606684010054</v>
      </c>
    </row>
    <row r="28" spans="1:17">
      <c r="A28" s="477" t="s">
        <v>561</v>
      </c>
      <c r="B28" s="478">
        <f t="shared" ca="1" si="2"/>
        <v>0</v>
      </c>
      <c r="C28" s="478">
        <f t="shared" ca="1" si="3"/>
        <v>0</v>
      </c>
      <c r="D28" s="478">
        <f t="shared" si="4"/>
        <v>0</v>
      </c>
      <c r="E28" s="478">
        <f t="shared" si="5"/>
        <v>0</v>
      </c>
      <c r="F28" s="478">
        <f t="shared" si="6"/>
        <v>0</v>
      </c>
      <c r="G28" s="478">
        <f t="shared" si="7"/>
        <v>557.76447222732804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557.76447222732804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78.969394056620629</v>
      </c>
      <c r="C32" s="478">
        <f t="shared" ca="1" si="3"/>
        <v>0</v>
      </c>
      <c r="D32" s="478">
        <f t="shared" si="4"/>
        <v>116.51663000000002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195.48602405662064</v>
      </c>
    </row>
    <row r="33" spans="1:17" s="487" customFormat="1">
      <c r="A33" s="1051" t="s">
        <v>565</v>
      </c>
      <c r="B33" s="991">
        <f ca="1">SUM(B22:B32)</f>
        <v>19773.560602221354</v>
      </c>
      <c r="C33" s="991">
        <f t="shared" ref="C33:Q33" ca="1" si="18">SUM(C22:C32)</f>
        <v>0</v>
      </c>
      <c r="D33" s="991">
        <f t="shared" ca="1" si="18"/>
        <v>40948.468426486215</v>
      </c>
      <c r="E33" s="991">
        <f t="shared" si="18"/>
        <v>2450.4433098578334</v>
      </c>
      <c r="F33" s="991">
        <f t="shared" ca="1" si="18"/>
        <v>11957.456580804221</v>
      </c>
      <c r="G33" s="991">
        <f t="shared" si="18"/>
        <v>20918.592328317551</v>
      </c>
      <c r="H33" s="991">
        <f t="shared" si="18"/>
        <v>3694.4865598276556</v>
      </c>
      <c r="I33" s="991">
        <f t="shared" si="18"/>
        <v>0</v>
      </c>
      <c r="J33" s="991">
        <f t="shared" si="18"/>
        <v>38.014780455515051</v>
      </c>
      <c r="K33" s="991">
        <f t="shared" si="18"/>
        <v>0</v>
      </c>
      <c r="L33" s="991">
        <f t="shared" ca="1" si="18"/>
        <v>0</v>
      </c>
      <c r="M33" s="991">
        <f t="shared" si="18"/>
        <v>0</v>
      </c>
      <c r="N33" s="991">
        <f t="shared" ca="1" si="18"/>
        <v>0</v>
      </c>
      <c r="O33" s="991">
        <f t="shared" si="18"/>
        <v>0</v>
      </c>
      <c r="P33" s="991">
        <f t="shared" si="18"/>
        <v>0</v>
      </c>
      <c r="Q33" s="991">
        <f t="shared" ca="1" si="18"/>
        <v>99781.022587970336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19019.547067165815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19063.197067165816</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0.18218380947866153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0.18218380947866153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2019-08-12T08:10:33Z</dcterms:modified>
</cp:coreProperties>
</file>