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G18"/>
  <c r="H88" i="14" s="1"/>
  <c r="F18" i="18"/>
  <c r="F20" s="1"/>
  <c r="E18"/>
  <c r="D18"/>
  <c r="E88" i="14" s="1"/>
  <c r="E18" i="59" s="1"/>
  <c r="C18" i="18"/>
  <c r="B18"/>
  <c r="L9"/>
  <c r="O77" i="14" s="1"/>
  <c r="O9" i="59"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E77" i="14"/>
  <c r="E9" i="59" s="1"/>
  <c r="B6" i="18"/>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O89" i="14"/>
  <c r="O19" i="59" s="1"/>
  <c r="M89" i="14"/>
  <c r="M19" i="59" s="1"/>
  <c r="L89" i="14"/>
  <c r="L19" i="59" s="1"/>
  <c r="K89" i="14"/>
  <c r="K19" i="59" s="1"/>
  <c r="K20" s="1"/>
  <c r="H89" i="14"/>
  <c r="H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P52"/>
  <c r="R44"/>
  <c r="E25"/>
  <c r="E55" s="1"/>
  <c r="C25"/>
  <c r="B14" i="48" s="1"/>
  <c r="Q26" i="14"/>
  <c r="L26"/>
  <c r="J26"/>
  <c r="I26"/>
  <c r="H26"/>
  <c r="K22"/>
  <c r="G22"/>
  <c r="R12"/>
  <c r="N78" l="1"/>
  <c r="N9" i="59"/>
  <c r="N10" s="1"/>
  <c r="Q14" i="48"/>
  <c r="H90" i="14"/>
  <c r="H18" i="59"/>
  <c r="O10"/>
  <c r="H20"/>
  <c r="M22" i="14"/>
  <c r="G20" i="59"/>
  <c r="C98" i="18"/>
  <c r="E101" s="1"/>
  <c r="E8" s="1"/>
  <c r="D13" i="15"/>
  <c r="C16" i="16"/>
  <c r="P22" i="14"/>
  <c r="E20" i="59"/>
  <c r="L10" i="18"/>
  <c r="D20"/>
  <c r="L78" i="14"/>
  <c r="D14" i="48"/>
  <c r="K10" i="18"/>
  <c r="K78" i="14"/>
  <c r="B17" i="18"/>
  <c r="B20" s="1"/>
  <c r="M77" i="14"/>
  <c r="M9" i="59" s="1"/>
  <c r="H9" i="18"/>
  <c r="L90" i="14"/>
  <c r="L18" i="59"/>
  <c r="L20" s="1"/>
  <c r="D22" i="14"/>
  <c r="L22"/>
  <c r="E10" i="59"/>
  <c r="B8" i="18"/>
  <c r="B10" s="1"/>
  <c r="F13" i="15"/>
  <c r="G77" i="14"/>
  <c r="G9" i="59" s="1"/>
  <c r="G10" s="1"/>
  <c r="I77" i="14"/>
  <c r="I9" i="59" s="1"/>
  <c r="B13" i="15"/>
  <c r="N13"/>
  <c r="L13"/>
  <c r="F77" i="14"/>
  <c r="F9" i="59" s="1"/>
  <c r="F101" i="18"/>
  <c r="H101"/>
  <c r="D101"/>
  <c r="G101"/>
  <c r="C101"/>
  <c r="B101"/>
  <c r="C8" s="1"/>
  <c r="O9"/>
  <c r="I102"/>
  <c r="H17" s="1"/>
  <c r="E102"/>
  <c r="E17" s="1"/>
  <c r="C102"/>
  <c r="F102"/>
  <c r="H102"/>
  <c r="D102"/>
  <c r="G102"/>
  <c r="B102"/>
  <c r="C17" s="1"/>
  <c r="O19"/>
  <c r="O78" i="14"/>
  <c r="N88"/>
  <c r="D10" i="18"/>
  <c r="E78" i="14"/>
  <c r="D77"/>
  <c r="D9" i="59" s="1"/>
  <c r="H77" i="14"/>
  <c r="O88"/>
  <c r="G89"/>
  <c r="G19" i="59" s="1"/>
  <c r="G20" i="18"/>
  <c r="O18"/>
  <c r="O25" i="48"/>
  <c r="O27"/>
  <c r="Q11"/>
  <c r="O29"/>
  <c r="P31"/>
  <c r="O28"/>
  <c r="Q12"/>
  <c r="O24"/>
  <c r="O30"/>
  <c r="P24"/>
  <c r="P30"/>
  <c r="Q77" i="14"/>
  <c r="P9" i="59" s="1"/>
  <c r="E90" i="14"/>
  <c r="R9"/>
  <c r="R25"/>
  <c r="K90"/>
  <c r="O90" l="1"/>
  <c r="O18" i="59"/>
  <c r="O20" s="1"/>
  <c r="N90" i="14"/>
  <c r="N18" i="59"/>
  <c r="N20" s="1"/>
  <c r="H78" i="14"/>
  <c r="H9" i="59"/>
  <c r="H10" s="1"/>
  <c r="B89" i="14"/>
  <c r="B19" i="59" s="1"/>
  <c r="J17" i="18"/>
  <c r="J20" s="1"/>
  <c r="I8"/>
  <c r="I76" i="14" s="1"/>
  <c r="I8" i="59" s="1"/>
  <c r="I10" s="1"/>
  <c r="G78" i="14"/>
  <c r="Q89"/>
  <c r="P19" i="59" s="1"/>
  <c r="I101" i="18"/>
  <c r="H8" s="1"/>
  <c r="G90" i="14"/>
  <c r="C89"/>
  <c r="C19" i="59" s="1"/>
  <c r="C77" i="14"/>
  <c r="C9" i="59" s="1"/>
  <c r="H20" i="18"/>
  <c r="M87" i="14"/>
  <c r="F76"/>
  <c r="E10" i="18"/>
  <c r="C20"/>
  <c r="D87" i="14"/>
  <c r="D17" i="59" s="1"/>
  <c r="D20" s="1"/>
  <c r="H10" i="18"/>
  <c r="M76" i="14"/>
  <c r="B88"/>
  <c r="B18" i="59" s="1"/>
  <c r="I17" i="18"/>
  <c r="D76" i="14"/>
  <c r="D8" i="59" s="1"/>
  <c r="D10" s="1"/>
  <c r="C10" i="18"/>
  <c r="J8"/>
  <c r="O8" s="1"/>
  <c r="O10" s="1"/>
  <c r="C88" i="14"/>
  <c r="C18" i="59" s="1"/>
  <c r="B77" i="14"/>
  <c r="B9" i="59" s="1"/>
  <c r="E20" i="18"/>
  <c r="F87" i="14"/>
  <c r="Q88"/>
  <c r="P18" i="59" s="1"/>
  <c r="H14" i="15"/>
  <c r="H16" s="1"/>
  <c r="G14"/>
  <c r="G16" s="1"/>
  <c r="I10" i="14" l="1"/>
  <c r="I16" s="1"/>
  <c r="H5" i="48"/>
  <c r="F90" i="14"/>
  <c r="F17" i="59"/>
  <c r="F20" s="1"/>
  <c r="H10" i="14"/>
  <c r="H16" s="1"/>
  <c r="G5" i="48"/>
  <c r="M78" i="14"/>
  <c r="M8" i="59"/>
  <c r="M10" s="1"/>
  <c r="M90" i="14"/>
  <c r="M17" i="59"/>
  <c r="M20" s="1"/>
  <c r="F78" i="14"/>
  <c r="F8" i="59"/>
  <c r="F10" s="1"/>
  <c r="O17" i="18"/>
  <c r="O2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5"/>
  <c r="K27"/>
  <c r="K30"/>
  <c r="K31"/>
  <c r="K24"/>
  <c r="K29"/>
  <c r="B7"/>
  <c r="C24" i="14"/>
  <c r="C26" s="1"/>
  <c r="J32" i="48"/>
  <c r="J30"/>
  <c r="J27"/>
  <c r="J24"/>
  <c r="J29"/>
  <c r="J31"/>
  <c r="J28"/>
  <c r="Q11" i="14"/>
  <c r="P4" i="48"/>
  <c r="O4"/>
  <c r="P11" i="14"/>
  <c r="I32" i="48"/>
  <c r="I28"/>
  <c r="I22"/>
  <c r="I26"/>
  <c r="I31"/>
  <c r="I25"/>
  <c r="I27"/>
  <c r="I29"/>
  <c r="I30"/>
  <c r="I24"/>
  <c r="D4"/>
  <c r="D22" s="1"/>
  <c r="E11" i="14"/>
  <c r="H29" i="48"/>
  <c r="H28"/>
  <c r="H26"/>
  <c r="H32"/>
  <c r="H22"/>
  <c r="H30"/>
  <c r="H25"/>
  <c r="H24"/>
  <c r="H23"/>
  <c r="D11" i="14"/>
  <c r="C4" i="48"/>
  <c r="G29"/>
  <c r="G26"/>
  <c r="G32"/>
  <c r="G22"/>
  <c r="G25"/>
  <c r="G30"/>
  <c r="G24"/>
  <c r="G23"/>
  <c r="C11" i="14"/>
  <c r="B4" i="48"/>
  <c r="F24"/>
  <c r="F30"/>
  <c r="F31"/>
  <c r="F32"/>
  <c r="F29"/>
  <c r="F28"/>
  <c r="F27"/>
  <c r="N31"/>
  <c r="N24"/>
  <c r="N32"/>
  <c r="N30"/>
  <c r="N29"/>
  <c r="N28"/>
  <c r="N27"/>
  <c r="C19" i="14"/>
  <c r="B10" i="48"/>
  <c r="E32"/>
  <c r="E31"/>
  <c r="E29"/>
  <c r="E30"/>
  <c r="E24"/>
  <c r="E28"/>
  <c r="M26"/>
  <c r="M25"/>
  <c r="M32"/>
  <c r="M22"/>
  <c r="M30"/>
  <c r="M29"/>
  <c r="M24"/>
  <c r="M23"/>
  <c r="L10" i="14"/>
  <c r="L16" s="1"/>
  <c r="L27" s="1"/>
  <c r="K5" i="48"/>
  <c r="D30"/>
  <c r="D28"/>
  <c r="D29"/>
  <c r="D31"/>
  <c r="D24"/>
  <c r="D32"/>
  <c r="L32"/>
  <c r="L28"/>
  <c r="L27"/>
  <c r="L29"/>
  <c r="L30"/>
  <c r="L24"/>
  <c r="L31"/>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P8" i="48"/>
  <c r="P26" s="1"/>
  <c r="Q13" i="14"/>
  <c r="J10"/>
  <c r="J16" s="1"/>
  <c r="J27" s="1"/>
  <c r="I5" i="48"/>
  <c r="F20" i="14"/>
  <c r="F22" s="1"/>
  <c r="E9" i="48"/>
  <c r="E27" s="1"/>
  <c r="P15"/>
  <c r="P22"/>
  <c r="P33" s="1"/>
  <c r="D9"/>
  <c r="D27" s="1"/>
  <c r="E20" i="14"/>
  <c r="E22" s="1"/>
  <c r="O5" i="48"/>
  <c r="O23" s="1"/>
  <c r="P10" i="14"/>
  <c r="J7" i="48"/>
  <c r="J25" s="1"/>
  <c r="K24" i="14"/>
  <c r="K26" s="1"/>
  <c r="O22" i="48"/>
  <c r="C20" i="14"/>
  <c r="B9" i="48"/>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F24" i="14"/>
  <c r="F26" s="1"/>
  <c r="E7" i="48"/>
  <c r="E25" s="1"/>
  <c r="Q46" i="14"/>
  <c r="Q61" s="1"/>
  <c r="Q63" s="1"/>
  <c r="P16"/>
  <c r="P27"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H63"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13"/>
  <c r="K16" s="1"/>
  <c r="K27" s="1"/>
  <c r="J8" i="48"/>
  <c r="E8"/>
  <c r="F13" i="14"/>
  <c r="F16" s="1"/>
  <c r="F27" s="1"/>
  <c r="H27" i="48"/>
  <c r="H33" s="1"/>
  <c r="H15"/>
  <c r="R20" i="14"/>
  <c r="R22" s="1"/>
  <c r="I22"/>
  <c r="I27" s="1"/>
  <c r="I63" s="1"/>
  <c r="E22" i="16"/>
  <c r="F43" i="14" s="1"/>
  <c r="F46" s="1"/>
  <c r="F61" s="1"/>
  <c r="F63" s="1"/>
  <c r="G33" i="48"/>
  <c r="Q9"/>
  <c r="O13" i="14"/>
  <c r="N8" i="48"/>
  <c r="N26" s="1"/>
  <c r="F8"/>
  <c r="G13" i="14"/>
  <c r="K63" l="1"/>
  <c r="J26" i="48"/>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<sst xmlns="http://schemas.openxmlformats.org/spreadsheetml/2006/main" count="2419" uniqueCount="907">
  <si>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</si>
  <si>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</si>
  <si>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</si>
  <si>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</si>
  <si>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</si>
  <si>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</si>
  <si>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</si>
  <si>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</si>
  <si>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</si>
  <si>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</si>
  <si>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</si>
  <si>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</si>
  <si>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</si>
  <si>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</si>
  <si>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</si>
  <si>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</si>
  <si>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</si>
  <si>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</si>
  <si>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</si>
  <si>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</si>
  <si>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</si>
  <si>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</si>
  <si>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</si>
  <si>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</si>
  <si>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</si>
  <si>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</si>
  <si>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</si>
  <si>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</si>
  <si>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</si>
  <si>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</si>
  <si>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</si>
  <si>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</si>
  <si>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</si>
  <si>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</si>
  <si>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</si>
  <si>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</si>
  <si>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</si>
  <si>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</si>
  <si>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</si>
  <si>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</si>
  <si>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</si>
  <si>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</si>
  <si>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</si>
  <si>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</si>
  <si>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</si>
  <si>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</si>
  <si>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</si>
  <si>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</si>
  <si>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</si>
  <si>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</si>
  <si>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</si>
  <si>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</si>
  <si>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</si>
  <si>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</si>
  <si>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</si>
  <si>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</si>
  <si>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</si>
  <si>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</si>
  <si>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</si>
  <si>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</si>
  <si>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</si>
  <si>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</si>
  <si>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</si>
  <si>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</si>
  <si>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</si>
  <si>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</si>
  <si>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</si>
  <si>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</si>
  <si>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</si>
  <si>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</si>
  <si>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</si>
  <si>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</si>
  <si>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</si>
  <si>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</si>
  <si>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</si>
  <si>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</si>
  <si>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</si>
  <si>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</si>
  <si>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</si>
  <si>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</si>
  <si>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</si>
  <si>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</si>
  <si>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</si>
  <si>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</si>
  <si>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</si>
  <si>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</si>
  <si>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</si>
  <si>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</si>
  <si>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</si>
  <si>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</si>
  <si>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</si>
  <si>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</si>
  <si>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</si>
  <si>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</si>
  <si>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</si>
  <si>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</si>
  <si>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</si>
  <si>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</si>
  <si>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</si>
  <si>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</si>
  <si>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</si>
  <si>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</si>
  <si>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</si>
  <si>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</si>
  <si>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</si>
  <si>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</si>
  <si>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</si>
  <si>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</si>
  <si>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</si>
  <si>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</si>
  <si>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</si>
  <si>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</si>
  <si>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</si>
  <si>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</si>
  <si>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</si>
  <si>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</si>
  <si>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</si>
  <si>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</si>
  <si>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</si>
  <si>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</si>
  <si>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</si>
  <si>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</si>
  <si>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</si>
  <si>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</si>
  <si>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</si>
  <si>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</si>
  <si>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</si>
  <si>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</si>
  <si>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</si>
  <si>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</si>
  <si>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</si>
  <si>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</si>
  <si>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</si>
  <si>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</si>
  <si>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</si>
  <si>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</si>
  <si>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</si>
  <si>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</si>
  <si>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</si>
  <si>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</si>
  <si>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</si>
  <si>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</si>
  <si>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</si>
  <si>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</si>
  <si>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</si>
  <si>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</si>
  <si>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</si>
  <si>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</si>
  <si>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</si>
  <si>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</si>
  <si>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</si>
  <si>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</si>
  <si>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</si>
  <si>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</si>
  <si>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</si>
  <si>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</si>
  <si>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</si>
  <si>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</si>
  <si>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</si>
  <si>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</si>
  <si>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</si>
  <si>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</si>
  <si>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</si>
  <si>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</si>
  <si>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</si>
  <si>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</si>
  <si>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</si>
  <si>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</si>
  <si>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</si>
  <si>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</si>
  <si>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</si>
  <si>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</si>
  <si>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</si>
  <si>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</si>
  <si>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</si>
  <si>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</si>
  <si>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</si>
  <si>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</si>
  <si>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</si>
  <si>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</si>
  <si>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</si>
  <si>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</si>
  <si>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</si>
  <si>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</si>
  <si>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</si>
  <si>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</si>
  <si>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</si>
  <si>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</si>
  <si>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</si>
  <si>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</si>
  <si>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</si>
  <si>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</si>
  <si>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</si>
  <si>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</si>
  <si>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</si>
  <si>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</si>
  <si>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</si>
  <si>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</si>
  <si>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</si>
  <si>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</si>
  <si>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</si>
  <si>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</si>
  <si>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</si>
  <si>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</si>
  <si>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</si>
  <si>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</si>
  <si>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</si>
  <si>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</si>
  <si>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</si>
  <si>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</si>
  <si>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</si>
  <si>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</si>
  <si>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</si>
  <si>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</si>
  <si>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</si>
  <si>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</si>
  <si>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</si>
  <si>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</si>
  <si>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</si>
  <si>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</si>
  <si>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</si>
  <si>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</si>
  <si>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</si>
  <si>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</si>
  <si>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</si>
  <si>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</si>
  <si>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</si>
  <si>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</si>
  <si>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</si>
  <si>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</si>
  <si>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</si>
  <si>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</si>
  <si>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</si>
  <si>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</si>
  <si>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</si>
  <si>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</si>
  <si>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</si>
  <si>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</si>
  <si>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</si>
  <si>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</si>
  <si>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</si>
  <si>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</si>
  <si>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</si>
  <si>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</si>
  <si>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</si>
  <si>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</si>
  <si>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</si>
  <si>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</si>
  <si>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</si>
  <si>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</si>
  <si>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</si>
  <si>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</si>
  <si>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</si>
  <si>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</si>
  <si>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</si>
  <si>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</si>
  <si>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</si>
  <si>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</si>
  <si>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</si>
  <si>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</si>
  <si>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</si>
  <si>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</si>
  <si>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</si>
  <si>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</si>
  <si>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</si>
  <si>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</si>
  <si>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</si>
  <si>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</si>
  <si>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</si>
  <si>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</si>
  <si>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</si>
  <si>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</si>
  <si>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</si>
  <si>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</si>
  <si>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</si>
  <si>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</si>
  <si>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</si>
  <si>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</si>
  <si>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</si>
  <si>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</si>
  <si>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</si>
  <si>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</si>
  <si>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</si>
  <si>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</si>
  <si>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</si>
  <si>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</si>
  <si>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</si>
  <si>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</si>
  <si>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</si>
  <si>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</si>
  <si>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</si>
  <si>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</si>
  <si>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</si>
  <si>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</si>
  <si>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</si>
  <si>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</si>
  <si>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</si>
  <si>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</si>
  <si>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</si>
  <si>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</si>
  <si>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</si>
  <si>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</si>
  <si>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</si>
  <si>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</si>
  <si>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</si>
  <si>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</si>
  <si>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</si>
  <si>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</si>
  <si>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</si>
  <si>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</si>
  <si>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</si>
  <si>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</si>
  <si>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</si>
  <si>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</si>
  <si>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</si>
  <si>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</si>
  <si>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</si>
  <si>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</si>
  <si>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</si>
  <si>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</si>
  <si>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</si>
  <si>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</si>
  <si>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</si>
  <si>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</si>
  <si>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</si>
  <si>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</si>
  <si>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</si>
  <si>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</si>
  <si>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</si>
  <si>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</si>
  <si>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</si>
  <si>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</si>
  <si>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</si>
  <si>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</si>
  <si>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</si>
  <si>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</si>
  <si>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</si>
  <si>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</si>
  <si>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</si>
  <si>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</si>
  <si>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</si>
  <si>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</si>
  <si>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</si>
  <si>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</si>
  <si>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</si>
  <si>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</si>
  <si>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</si>
  <si>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</si>
  <si>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</si>
  <si>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</si>
  <si>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</si>
  <si>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</si>
  <si>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</si>
  <si>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</si>
  <si>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</si>
  <si>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</si>
  <si>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</si>
  <si>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</si>
  <si>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</si>
  <si>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</si>
  <si>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</si>
  <si>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</si>
  <si>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</si>
  <si>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</si>
  <si>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</si>
  <si>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</si>
  <si>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</si>
  <si>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</si>
  <si>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</si>
  <si>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</si>
  <si>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</si>
  <si>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</si>
  <si>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</si>
  <si>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</si>
  <si>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</si>
  <si>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</si>
  <si>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</si>
  <si>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</si>
  <si>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</si>
  <si>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</si>
  <si>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</si>
  <si>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</si>
  <si>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</si>
  <si>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</si>
  <si>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</si>
  <si>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</si>
  <si>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</si>
  <si>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</si>
  <si>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</si>
  <si>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</si>
  <si>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</si>
  <si>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</si>
  <si>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</si>
  <si>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</si>
  <si>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</si>
  <si>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</si>
  <si>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</si>
  <si>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</si>
  <si>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</si>
  <si>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</si>
  <si>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</si>
  <si>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</si>
  <si>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</si>
  <si>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</si>
  <si>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</si>
  <si>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</si>
  <si>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</si>
  <si>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</si>
  <si>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</si>
  <si>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</si>
  <si>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</si>
  <si>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</si>
  <si>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</si>
  <si>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</si>
  <si>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</si>
  <si>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</si>
  <si>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</si>
  <si>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</si>
  <si>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</si>
  <si>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</si>
  <si>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</si>
  <si>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</si>
  <si>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</si>
  <si>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</si>
  <si>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</si>
  <si>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</si>
  <si>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</si>
  <si>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</si>
  <si>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</si>
  <si>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</si>
  <si>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</si>
  <si>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</si>
  <si>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</si>
  <si>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</si>
  <si>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</si>
  <si>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</si>
  <si>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</si>
  <si>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</si>
  <si>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</si>
  <si>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</si>
  <si>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</si>
  <si>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</si>
  <si>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</si>
  <si>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</si>
  <si>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</si>
  <si>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</si>
  <si>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</si>
  <si>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</si>
  <si>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</si>
  <si>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</si>
  <si>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</si>
  <si>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</si>
  <si>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</si>
  <si>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</si>
  <si>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</si>
  <si>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</si>
  <si>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</si>
  <si>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</si>
  <si>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</si>
  <si>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</si>
  <si>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</si>
  <si>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</si>
  <si>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</si>
  <si>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</si>
  <si>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</si>
  <si>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</si>
  <si>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</si>
  <si>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</si>
  <si>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</si>
  <si>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</si>
  <si>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</si>
  <si>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</si>
  <si>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</si>
  <si>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</si>
  <si>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</si>
  <si>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</si>
  <si>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</si>
  <si>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</si>
  <si>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</si>
  <si>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</si>
  <si>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</si>
  <si>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</si>
  <si>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</si>
  <si>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</si>
  <si>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</si>
  <si>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</si>
  <si>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</si>
  <si>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</si>
  <si>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</si>
  <si>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</si>
  <si>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</si>
  <si>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</si>
  <si>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</si>
  <si>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</si>
  <si>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</si>
  <si>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</si>
  <si>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</si>
  <si>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</si>
  <si>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</si>
  <si>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</si>
  <si>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</si>
  <si>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</si>
  <si>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</si>
  <si>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</si>
  <si>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</si>
  <si>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</si>
  <si>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</si>
  <si>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</si>
  <si>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</si>
  <si>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</si>
  <si>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</si>
  <si>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</si>
  <si>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</si>
  <si>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</si>
  <si>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</si>
  <si>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</si>
  <si>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</si>
  <si>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</si>
  <si>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</si>
  <si>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</si>
  <si>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</si>
  <si>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</si>
  <si>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</si>
  <si>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</si>
  <si>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</si>
  <si>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</si>
  <si>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</si>
  <si>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</si>
  <si>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</si>
  <si>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</si>
  <si>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</si>
  <si>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</si>
  <si>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</si>
  <si>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</si>
  <si>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</si>
  <si>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</si>
  <si>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</si>
  <si>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</si>
  <si>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</si>
  <si>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</si>
  <si>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</si>
  <si>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</si>
  <si>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</si>
  <si>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</si>
  <si>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</si>
  <si>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</si>
  <si>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</si>
  <si>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</si>
  <si>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</si>
  <si>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</si>
  <si>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</si>
  <si>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</si>
  <si>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</si>
  <si>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</si>
  <si>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</si>
  <si>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</si>
  <si>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</si>
  <si>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</si>
  <si>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</si>
  <si>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</si>
  <si>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</si>
  <si>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</si>
  <si>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</si>
  <si>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</si>
  <si>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</si>
  <si>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</si>
  <si>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</si>
  <si>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</si>
  <si>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</si>
  <si>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</si>
  <si>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</si>
  <si>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</si>
  <si>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</si>
  <si>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</si>
  <si>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</si>
  <si>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</si>
  <si>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</si>
  <si>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</si>
  <si>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</si>
  <si>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</si>
  <si>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</si>
  <si>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</si>
  <si>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</si>
  <si>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</si>
  <si>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</si>
  <si>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</si>
  <si>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</si>
  <si>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</si>
  <si>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</si>
  <si>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</si>
  <si>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</si>
  <si>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</si>
  <si>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</si>
  <si>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</si>
  <si>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</si>
  <si>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</si>
  <si>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</si>
  <si>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</si>
  <si>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</si>
  <si>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</si>
  <si>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</si>
  <si>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</si>
  <si>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</si>
  <si>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</si>
  <si>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</si>
  <si>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</si>
  <si>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</si>
  <si>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</si>
  <si>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</si>
  <si>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</si>
  <si>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</si>
  <si>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</si>
  <si>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</si>
  <si>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</si>
  <si>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</si>
  <si>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</si>
  <si>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</si>
  <si>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</si>
  <si>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</si>
  <si>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</si>
  <si>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</si>
  <si>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</si>
  <si>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</si>
  <si>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</si>
  <si>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</si>
  <si>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</si>
  <si>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</si>
  <si>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</si>
  <si>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</si>
  <si>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</si>
  <si>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</si>
  <si>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</si>
  <si>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</si>
  <si>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</si>
  <si>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</si>
  <si>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</si>
  <si>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</si>
  <si>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</si>
  <si>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</si>
  <si>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</si>
  <si>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</si>
  <si>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</si>
  <si>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</si>
  <si>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</si>
  <si>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</si>
  <si>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</si>
  <si>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</si>
  <si>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</si>
  <si>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</si>
  <si>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</si>
  <si>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</si>
  <si>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</si>
  <si>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</si>
  <si>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</si>
  <si>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</si>
  <si>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</si>
  <si>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</si>
  <si>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</si>
  <si>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</si>
  <si>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</si>
  <si>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</si>
  <si>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</si>
  <si>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</si>
  <si>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</si>
  <si>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</si>
  <si>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</si>
  <si>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</si>
  <si>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</si>
  <si>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</si>
  <si>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</si>
  <si>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</si>
  <si>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</si>
  <si>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</si>
  <si>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</si>
  <si>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</si>
  <si>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</si>
  <si>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</si>
  <si>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</si>
  <si>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</si>
  <si>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</si>
  <si>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</si>
  <si>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</si>
  <si>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</si>
  <si>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</si>
  <si>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</si>
  <si>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</si>
  <si>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</si>
  <si>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</si>
  <si>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</si>
  <si>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</si>
  <si>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</si>
  <si>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</si>
  <si>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</si>
  <si>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</si>
  <si>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</si>
  <si>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</si>
  <si>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</si>
  <si>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</si>
  <si>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</si>
  <si>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</si>
  <si>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</si>
  <si>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</si>
  <si>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</si>
  <si>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</si>
  <si>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</si>
  <si>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</si>
  <si>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</si>
  <si>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</si>
  <si>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</si>
  <si>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</si>
  <si>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</si>
  <si>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</si>
  <si>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</si>
  <si>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</si>
  <si>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</si>
  <si>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</si>
  <si>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</si>
  <si>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</si>
  <si>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</si>
  <si>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</si>
  <si>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</si>
  <si>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</si>
  <si>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</si>
  <si>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</si>
  <si>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</si>
  <si>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</si>
  <si>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</si>
  <si>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</si>
  <si>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</si>
  <si>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</si>
  <si>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</si>
  <si>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</si>
  <si>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</si>
  <si>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</si>
  <si>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</si>
  <si>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</si>
  <si>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</si>
  <si>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</si>
  <si>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</si>
  <si>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</si>
  <si>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</si>
  <si>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</si>
  <si>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</si>
  <si>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</si>
  <si>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</si>
  <si>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</si>
  <si>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</si>
  <si>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</si>
  <si>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</si>
  <si>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</si>
  <si>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</si>
  <si>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</si>
  <si>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</si>
  <si>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</si>
  <si>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</si>
  <si>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</si>
  <si>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</si>
  <si>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</si>
  <si>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</si>
  <si>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</si>
  <si>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</si>
  <si>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</si>
  <si>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</si>
  <si>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</si>
  <si>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</si>
  <si>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</si>
  <si>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</si>
  <si>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</si>
  <si>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</si>
  <si>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</si>
  <si>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</si>
  <si>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</si>
  <si>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</si>
  <si>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</si>
  <si>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</si>
  <si>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</si>
  <si>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</si>
  <si>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</si>
  <si>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</si>
  <si>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</si>
  <si>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</si>
  <si>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</si>
  <si>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</si>
  <si>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</si>
  <si>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</si>
  <si>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</si>
  <si>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</si>
  <si>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</si>
  <si>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</si>
  <si>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</si>
  <si>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</si>
  <si>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</si>
  <si>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</si>
  <si>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</si>
  <si>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</si>
  <si>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</si>
  <si>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</si>
  <si>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</si>
  <si>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</si>
  <si>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</si>
  <si>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</si>
  <si>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</si>
  <si>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</si>
  <si>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</si>
  <si>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</si>
  <si>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</si>
  <si>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</si>
  <si>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</si>
  <si>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</si>
  <si>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</si>
  <si>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</si>
  <si>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</si>
  <si>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</si>
  <si>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</si>
  <si>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</si>
  <si>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</si>
  <si>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</si>
  <si>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</si>
  <si>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</si>
  <si>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</si>
  <si>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</si>
  <si>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</si>
  <si>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</si>
  <si>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</si>
  <si>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</si>
  <si>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</si>
  <si>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</si>
  <si>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</si>
  <si>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</si>
  <si>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</si>
  <si>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</si>
  <si>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</si>
  <si>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</si>
  <si>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</si>
  <si>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</si>
  <si>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</si>
  <si>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</si>
  <si>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</si>
  <si>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</si>
  <si>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</si>
  <si>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</si>
  <si>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</si>
  <si>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</si>
  <si>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</si>
  <si>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</si>
  <si>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</si>
  <si>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</si>
  <si>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</si>
  <si>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</si>
  <si>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</si>
  <si>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</si>
  <si>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</si>
  <si>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</si>
  <si>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</si>
  <si>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</si>
  <si>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</si>
  <si>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</si>
  <si>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</si>
  <si>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</si>
  <si>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</si>
  <si>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</si>
  <si>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</si>
  <si>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</si>
  <si>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</si>
  <si>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</si>
  <si>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</si>
  <si>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</si>
  <si>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</si>
  <si>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</si>
  <si>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</si>
  <si>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</si>
  <si>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</si>
  <si>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</si>
  <si>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</si>
  <si>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</si>
  <si>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</si>
  <si>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</si>
  <si>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</si>
  <si>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</si>
  <si>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</si>
  <si>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</si>
  <si>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</si>
  <si>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</si>
  <si>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</si>
  <si>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</si>
  <si>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</si>
  <si>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</si>
  <si>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</si>
  <si>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</si>
  <si>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</si>
  <si>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</si>
  <si>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</si>
  <si>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</si>
  <si>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</si>
  <si>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</si>
  <si>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</si>
  <si>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</si>
  <si>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</si>
  <si>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</si>
  <si>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72025</t>
  </si>
  <si>
    <t>NEERPELT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</si>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</sst>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138754.78950790892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138754.78950790892</c:v>
                </c:pt>
                <c:pt idx="1">
                  <c:v>35646.297191310128</c:v>
                </c:pt>
                <c:pt idx="2">
                  <c:v>1140.1199999999999</c:v>
                </c:pt>
                <c:pt idx="3">
                  <c:v>5600.9452709165143</c:v>
                </c:pt>
                <c:pt idx="4">
                  <c:v>5258.1009229925266</c:v>
                </c:pt>
                <c:pt idx="5">
                  <c:v>54137.320361553866</c:v>
                </c:pt>
                <c:pt idx="6">
                  <c:v>1781.3414997017583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26118.848095569996</c:v>
                </c:pt>
                <c:pt idx="2">
                  <c:v>6783.5640996741013</c:v>
                </c:pt>
                <c:pt idx="3">
                  <c:v>218.65245138994783</c:v>
                </c:pt>
                <c:pt idx="4">
                  <c:v>1351.9796208755672</c:v>
                </c:pt>
                <c:pt idx="5">
                  <c:v>1044.5042911707098</c:v>
                </c:pt>
                <c:pt idx="6">
                  <c:v>13554.372197957226</c:v>
                </c:pt>
                <c:pt idx="7">
                  <c:v>449.9583664795374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26118.848095569996</c:v>
                </c:pt>
                <c:pt idx="2">
                  <c:v>6783.5640996741013</c:v>
                </c:pt>
                <c:pt idx="3">
                  <c:v>218.65245138994783</c:v>
                </c:pt>
                <c:pt idx="4">
                  <c:v>1351.9796208755672</c:v>
                </c:pt>
                <c:pt idx="5">
                  <c:v>1044.5042911707098</c:v>
                </c:pt>
                <c:pt idx="6">
                  <c:v>13554.372197957226</c:v>
                </c:pt>
                <c:pt idx="7">
                  <c:v>449.9583664795374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72025</v>
      </c>
      <c r="B6" s="416"/>
      <c r="C6" s="417"/>
    </row>
    <row r="7" spans="1:7" s="414" customFormat="1" ht="15.75" customHeight="1">
      <c r="A7" s="418" t="str">
        <f>txtMunicipality</f>
        <v>NEERPELT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15581.973999999998</v>
      </c>
      <c r="D10" s="1025">
        <f ca="1">tertiair!C16</f>
        <v>0</v>
      </c>
      <c r="E10" s="1025">
        <f ca="1">tertiair!D16</f>
        <v>16621.764653999999</v>
      </c>
      <c r="F10" s="1025">
        <f>tertiair!E16</f>
        <v>151.72295732502667</v>
      </c>
      <c r="G10" s="1025">
        <f ca="1">tertiair!F16</f>
        <v>2329.0814833619993</v>
      </c>
      <c r="H10" s="1025">
        <f>tertiair!G16</f>
        <v>0</v>
      </c>
      <c r="I10" s="1025">
        <f>tertiair!H16</f>
        <v>0</v>
      </c>
      <c r="J10" s="1025">
        <f>tertiair!I16</f>
        <v>0</v>
      </c>
      <c r="K10" s="1025">
        <f>tertiair!J16</f>
        <v>0</v>
      </c>
      <c r="L10" s="1025">
        <f>tertiair!K16</f>
        <v>0</v>
      </c>
      <c r="M10" s="1025">
        <f ca="1">tertiair!L16</f>
        <v>0</v>
      </c>
      <c r="N10" s="1025">
        <f>tertiair!M16</f>
        <v>0</v>
      </c>
      <c r="O10" s="1025">
        <f ca="1">tertiair!N16</f>
        <v>2082.8074299564428</v>
      </c>
      <c r="P10" s="1025">
        <f>tertiair!O16</f>
        <v>0</v>
      </c>
      <c r="Q10" s="1026">
        <f>tertiair!P16</f>
        <v>19.066666666666666</v>
      </c>
      <c r="R10" s="701">
        <f ca="1">SUM(C10:Q10)</f>
        <v>36786.417191310131</v>
      </c>
      <c r="S10" s="67"/>
    </row>
    <row r="11" spans="1:19" s="474" customFormat="1">
      <c r="A11" s="810" t="s">
        <v>225</v>
      </c>
      <c r="B11" s="815"/>
      <c r="C11" s="1025">
        <f>huishoudens!B8</f>
        <v>32370.949190373933</v>
      </c>
      <c r="D11" s="1025">
        <f>huishoudens!C8</f>
        <v>0</v>
      </c>
      <c r="E11" s="1025">
        <f>huishoudens!D8</f>
        <v>66335.226760000005</v>
      </c>
      <c r="F11" s="1025">
        <f>huishoudens!E8</f>
        <v>3860.4996638125622</v>
      </c>
      <c r="G11" s="1025">
        <f>huishoudens!F8</f>
        <v>21103.713405109862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13925.873821945885</v>
      </c>
      <c r="P11" s="1025">
        <f>huishoudens!O8</f>
        <v>472.12666666666672</v>
      </c>
      <c r="Q11" s="1026">
        <f>huishoudens!P8</f>
        <v>686.4</v>
      </c>
      <c r="R11" s="701">
        <f>SUM(C11:Q11)</f>
        <v>138754.78950790892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1489.8469999999998</v>
      </c>
      <c r="D13" s="1025">
        <f>industrie!C18</f>
        <v>0</v>
      </c>
      <c r="E13" s="1025">
        <f>industrie!D18</f>
        <v>1743.752714</v>
      </c>
      <c r="F13" s="1025">
        <f>industrie!E18</f>
        <v>304.05067138202713</v>
      </c>
      <c r="G13" s="1025">
        <f>industrie!F18</f>
        <v>1258.0302702554432</v>
      </c>
      <c r="H13" s="1025">
        <f>industrie!G18</f>
        <v>0</v>
      </c>
      <c r="I13" s="1025">
        <f>industrie!H18</f>
        <v>0</v>
      </c>
      <c r="J13" s="1025">
        <f>industrie!I18</f>
        <v>0</v>
      </c>
      <c r="K13" s="1025">
        <f>industrie!J18</f>
        <v>4.6030790671617625</v>
      </c>
      <c r="L13" s="1025">
        <f>industrie!K18</f>
        <v>0</v>
      </c>
      <c r="M13" s="1025">
        <f>industrie!L18</f>
        <v>0</v>
      </c>
      <c r="N13" s="1025">
        <f>industrie!M18</f>
        <v>0</v>
      </c>
      <c r="O13" s="1025">
        <f>industrie!N18</f>
        <v>457.81718828789406</v>
      </c>
      <c r="P13" s="1025">
        <f>industrie!O18</f>
        <v>0</v>
      </c>
      <c r="Q13" s="1026">
        <f>industrie!P18</f>
        <v>0</v>
      </c>
      <c r="R13" s="701">
        <f>SUM(C13:Q13)</f>
        <v>5258.1009229925266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49442.770190373929</v>
      </c>
      <c r="D16" s="733">
        <f t="shared" ref="D16:R16" ca="1" si="0">SUM(D9:D15)</f>
        <v>0</v>
      </c>
      <c r="E16" s="733">
        <f t="shared" ca="1" si="0"/>
        <v>84700.744128000006</v>
      </c>
      <c r="F16" s="733">
        <f t="shared" si="0"/>
        <v>4316.273292519616</v>
      </c>
      <c r="G16" s="733">
        <f t="shared" ca="1" si="0"/>
        <v>24690.825158727304</v>
      </c>
      <c r="H16" s="733">
        <f t="shared" si="0"/>
        <v>0</v>
      </c>
      <c r="I16" s="733">
        <f t="shared" si="0"/>
        <v>0</v>
      </c>
      <c r="J16" s="733">
        <f t="shared" si="0"/>
        <v>0</v>
      </c>
      <c r="K16" s="733">
        <f t="shared" si="0"/>
        <v>4.6030790671617625</v>
      </c>
      <c r="L16" s="733">
        <f t="shared" si="0"/>
        <v>0</v>
      </c>
      <c r="M16" s="733">
        <f t="shared" ca="1" si="0"/>
        <v>0</v>
      </c>
      <c r="N16" s="733">
        <f t="shared" si="0"/>
        <v>0</v>
      </c>
      <c r="O16" s="733">
        <f t="shared" ca="1" si="0"/>
        <v>16466.498440190222</v>
      </c>
      <c r="P16" s="733">
        <f t="shared" si="0"/>
        <v>472.12666666666672</v>
      </c>
      <c r="Q16" s="733">
        <f t="shared" si="0"/>
        <v>705.4666666666667</v>
      </c>
      <c r="R16" s="733">
        <f t="shared" ca="1" si="0"/>
        <v>180799.30762221161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1685.2373276387168</v>
      </c>
      <c r="I19" s="1025">
        <f>transport!H54</f>
        <v>0</v>
      </c>
      <c r="J19" s="1025">
        <f>transport!I54</f>
        <v>0</v>
      </c>
      <c r="K19" s="1025">
        <f>transport!J54</f>
        <v>0</v>
      </c>
      <c r="L19" s="1025">
        <f>transport!K54</f>
        <v>0</v>
      </c>
      <c r="M19" s="1025">
        <f>transport!L54</f>
        <v>0</v>
      </c>
      <c r="N19" s="1025">
        <f>transport!M54</f>
        <v>96.104172063041418</v>
      </c>
      <c r="O19" s="1025">
        <f>transport!N54</f>
        <v>0</v>
      </c>
      <c r="P19" s="1025">
        <f>transport!O54</f>
        <v>0</v>
      </c>
      <c r="Q19" s="1026">
        <f>transport!P54</f>
        <v>0</v>
      </c>
      <c r="R19" s="701">
        <f>SUM(C19:Q19)</f>
        <v>1781.3414997017583</v>
      </c>
      <c r="S19" s="67"/>
    </row>
    <row r="20" spans="1:19" s="474" customFormat="1">
      <c r="A20" s="810" t="s">
        <v>307</v>
      </c>
      <c r="B20" s="815"/>
      <c r="C20" s="1025">
        <f>transport!B14</f>
        <v>8.330302694251472</v>
      </c>
      <c r="D20" s="1025">
        <f>transport!C14</f>
        <v>0</v>
      </c>
      <c r="E20" s="1025">
        <f>transport!D14</f>
        <v>24.875985043875872</v>
      </c>
      <c r="F20" s="1025">
        <f>transport!E14</f>
        <v>155.50026207220188</v>
      </c>
      <c r="G20" s="1025">
        <f>transport!F14</f>
        <v>0</v>
      </c>
      <c r="H20" s="1025">
        <f>transport!G14</f>
        <v>41911.083923836188</v>
      </c>
      <c r="I20" s="1025">
        <f>transport!H14</f>
        <v>9326.0710627935387</v>
      </c>
      <c r="J20" s="1025">
        <f>transport!I14</f>
        <v>0</v>
      </c>
      <c r="K20" s="1025">
        <f>transport!J14</f>
        <v>0</v>
      </c>
      <c r="L20" s="1025">
        <f>transport!K14</f>
        <v>0</v>
      </c>
      <c r="M20" s="1025">
        <f>transport!L14</f>
        <v>0</v>
      </c>
      <c r="N20" s="1025">
        <f>transport!M14</f>
        <v>2711.4588251138157</v>
      </c>
      <c r="O20" s="1025">
        <f>transport!N14</f>
        <v>0</v>
      </c>
      <c r="P20" s="1025">
        <f>transport!O14</f>
        <v>0</v>
      </c>
      <c r="Q20" s="1026">
        <f>transport!P14</f>
        <v>0</v>
      </c>
      <c r="R20" s="701">
        <f>SUM(C20:Q20)</f>
        <v>54137.320361553866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8.330302694251472</v>
      </c>
      <c r="D22" s="813">
        <f t="shared" ref="D22:R22" si="1">SUM(D18:D21)</f>
        <v>0</v>
      </c>
      <c r="E22" s="813">
        <f t="shared" si="1"/>
        <v>24.875985043875872</v>
      </c>
      <c r="F22" s="813">
        <f t="shared" si="1"/>
        <v>155.50026207220188</v>
      </c>
      <c r="G22" s="813">
        <f t="shared" si="1"/>
        <v>0</v>
      </c>
      <c r="H22" s="813">
        <f t="shared" si="1"/>
        <v>43596.321251474903</v>
      </c>
      <c r="I22" s="813">
        <f t="shared" si="1"/>
        <v>9326.0710627935387</v>
      </c>
      <c r="J22" s="813">
        <f t="shared" si="1"/>
        <v>0</v>
      </c>
      <c r="K22" s="813">
        <f t="shared" si="1"/>
        <v>0</v>
      </c>
      <c r="L22" s="813">
        <f t="shared" si="1"/>
        <v>0</v>
      </c>
      <c r="M22" s="813">
        <f t="shared" si="1"/>
        <v>0</v>
      </c>
      <c r="N22" s="813">
        <f t="shared" si="1"/>
        <v>2807.5629971768572</v>
      </c>
      <c r="O22" s="813">
        <f t="shared" si="1"/>
        <v>0</v>
      </c>
      <c r="P22" s="813">
        <f t="shared" si="1"/>
        <v>0</v>
      </c>
      <c r="Q22" s="813">
        <f t="shared" si="1"/>
        <v>0</v>
      </c>
      <c r="R22" s="813">
        <f t="shared" si="1"/>
        <v>55918.661861255627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1237.646</v>
      </c>
      <c r="D24" s="1025">
        <f>+landbouw!C8</f>
        <v>0</v>
      </c>
      <c r="E24" s="1025">
        <f>+landbouw!D8</f>
        <v>1021.9470580000001</v>
      </c>
      <c r="F24" s="1025">
        <f>+landbouw!E8</f>
        <v>11.463595625794715</v>
      </c>
      <c r="G24" s="1025">
        <f>+landbouw!F8</f>
        <v>3140.1436733210471</v>
      </c>
      <c r="H24" s="1025">
        <f>+landbouw!G8</f>
        <v>0</v>
      </c>
      <c r="I24" s="1025">
        <f>+landbouw!H8</f>
        <v>0</v>
      </c>
      <c r="J24" s="1025">
        <f>+landbouw!I8</f>
        <v>0</v>
      </c>
      <c r="K24" s="1025">
        <f>+landbouw!J8</f>
        <v>189.74494396967214</v>
      </c>
      <c r="L24" s="1025">
        <f>+landbouw!K8</f>
        <v>0</v>
      </c>
      <c r="M24" s="1025">
        <f>+landbouw!L8</f>
        <v>0</v>
      </c>
      <c r="N24" s="1025">
        <f>+landbouw!M8</f>
        <v>0</v>
      </c>
      <c r="O24" s="1025">
        <f>+landbouw!N8</f>
        <v>0</v>
      </c>
      <c r="P24" s="1025">
        <f>+landbouw!O8</f>
        <v>0</v>
      </c>
      <c r="Q24" s="1026">
        <f>+landbouw!P8</f>
        <v>0</v>
      </c>
      <c r="R24" s="701">
        <f>SUM(C24:Q24)</f>
        <v>5600.9452709165143</v>
      </c>
      <c r="S24" s="67"/>
    </row>
    <row r="25" spans="1:19" s="474" customFormat="1" ht="15" thickBot="1">
      <c r="A25" s="832" t="s">
        <v>864</v>
      </c>
      <c r="B25" s="1028"/>
      <c r="C25" s="1029">
        <f>IF(Onbekend_ele_kWh="---",0,Onbekend_ele_kWh)/1000+IF(REST_rest_ele_kWh="---",0,REST_rest_ele_kWh)/1000</f>
        <v>654.72</v>
      </c>
      <c r="D25" s="1029"/>
      <c r="E25" s="1029">
        <f>IF(onbekend_gas_kWh="---",0,onbekend_gas_kWh)/1000+IF(REST_rest_gas_kWh="---",0,REST_rest_gas_kWh)/1000</f>
        <v>1151.874</v>
      </c>
      <c r="F25" s="1029"/>
      <c r="G25" s="1029"/>
      <c r="H25" s="1029"/>
      <c r="I25" s="1029"/>
      <c r="J25" s="1029"/>
      <c r="K25" s="1029"/>
      <c r="L25" s="1029"/>
      <c r="M25" s="1029"/>
      <c r="N25" s="1029"/>
      <c r="O25" s="1029"/>
      <c r="P25" s="1029"/>
      <c r="Q25" s="1030"/>
      <c r="R25" s="701">
        <f>SUM(C25:Q25)</f>
        <v>1806.5940000000001</v>
      </c>
      <c r="S25" s="67"/>
    </row>
    <row r="26" spans="1:19" s="474" customFormat="1" ht="15.75" thickBot="1">
      <c r="A26" s="706" t="s">
        <v>865</v>
      </c>
      <c r="B26" s="818"/>
      <c r="C26" s="813">
        <f>SUM(C24:C25)</f>
        <v>1892.366</v>
      </c>
      <c r="D26" s="813">
        <f t="shared" ref="D26:R26" si="2">SUM(D24:D25)</f>
        <v>0</v>
      </c>
      <c r="E26" s="813">
        <f t="shared" si="2"/>
        <v>2173.821058</v>
      </c>
      <c r="F26" s="813">
        <f t="shared" si="2"/>
        <v>11.463595625794715</v>
      </c>
      <c r="G26" s="813">
        <f t="shared" si="2"/>
        <v>3140.1436733210471</v>
      </c>
      <c r="H26" s="813">
        <f t="shared" si="2"/>
        <v>0</v>
      </c>
      <c r="I26" s="813">
        <f t="shared" si="2"/>
        <v>0</v>
      </c>
      <c r="J26" s="813">
        <f t="shared" si="2"/>
        <v>0</v>
      </c>
      <c r="K26" s="813">
        <f t="shared" si="2"/>
        <v>189.74494396967214</v>
      </c>
      <c r="L26" s="813">
        <f t="shared" si="2"/>
        <v>0</v>
      </c>
      <c r="M26" s="813">
        <f t="shared" si="2"/>
        <v>0</v>
      </c>
      <c r="N26" s="813">
        <f t="shared" si="2"/>
        <v>0</v>
      </c>
      <c r="O26" s="813">
        <f t="shared" si="2"/>
        <v>0</v>
      </c>
      <c r="P26" s="813">
        <f t="shared" si="2"/>
        <v>0</v>
      </c>
      <c r="Q26" s="813">
        <f t="shared" si="2"/>
        <v>0</v>
      </c>
      <c r="R26" s="813">
        <f t="shared" si="2"/>
        <v>7407.5392709165144</v>
      </c>
      <c r="S26" s="67"/>
    </row>
    <row r="27" spans="1:19" s="474" customFormat="1" ht="17.25" thickTop="1" thickBot="1">
      <c r="A27" s="707" t="s">
        <v>116</v>
      </c>
      <c r="B27" s="806"/>
      <c r="C27" s="708">
        <f ca="1">C22+C16+C26</f>
        <v>51343.466493068183</v>
      </c>
      <c r="D27" s="708">
        <f t="shared" ref="D27:R27" ca="1" si="3">D22+D16+D26</f>
        <v>0</v>
      </c>
      <c r="E27" s="708">
        <f t="shared" ca="1" si="3"/>
        <v>86899.441171043887</v>
      </c>
      <c r="F27" s="708">
        <f t="shared" si="3"/>
        <v>4483.237150217612</v>
      </c>
      <c r="G27" s="708">
        <f t="shared" ca="1" si="3"/>
        <v>27830.968832048351</v>
      </c>
      <c r="H27" s="708">
        <f t="shared" si="3"/>
        <v>43596.321251474903</v>
      </c>
      <c r="I27" s="708">
        <f t="shared" si="3"/>
        <v>9326.0710627935387</v>
      </c>
      <c r="J27" s="708">
        <f t="shared" si="3"/>
        <v>0</v>
      </c>
      <c r="K27" s="708">
        <f t="shared" si="3"/>
        <v>194.34802303683389</v>
      </c>
      <c r="L27" s="708">
        <f t="shared" si="3"/>
        <v>0</v>
      </c>
      <c r="M27" s="708">
        <f t="shared" ca="1" si="3"/>
        <v>0</v>
      </c>
      <c r="N27" s="708">
        <f t="shared" si="3"/>
        <v>2807.5629971768572</v>
      </c>
      <c r="O27" s="708">
        <f t="shared" ca="1" si="3"/>
        <v>16466.498440190222</v>
      </c>
      <c r="P27" s="708">
        <f t="shared" si="3"/>
        <v>472.12666666666672</v>
      </c>
      <c r="Q27" s="708">
        <f t="shared" si="3"/>
        <v>705.4666666666667</v>
      </c>
      <c r="R27" s="708">
        <f t="shared" ca="1" si="3"/>
        <v>244125.50875438374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2988.3142235856149</v>
      </c>
      <c r="D40" s="1025">
        <f ca="1">tertiair!C20</f>
        <v>0</v>
      </c>
      <c r="E40" s="1025">
        <f ca="1">tertiair!D20</f>
        <v>3357.596460108</v>
      </c>
      <c r="F40" s="1025">
        <f>tertiair!E20</f>
        <v>34.441111312781054</v>
      </c>
      <c r="G40" s="1025">
        <f ca="1">tertiair!F20</f>
        <v>621.86475605765384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7002.2165510640498</v>
      </c>
    </row>
    <row r="41" spans="1:18">
      <c r="A41" s="823" t="s">
        <v>225</v>
      </c>
      <c r="B41" s="830"/>
      <c r="C41" s="1025">
        <f ca="1">huishoudens!B12</f>
        <v>6208.1073872002135</v>
      </c>
      <c r="D41" s="1025">
        <f ca="1">huishoudens!C12</f>
        <v>0</v>
      </c>
      <c r="E41" s="1025">
        <f>huishoudens!D12</f>
        <v>13399.715805520002</v>
      </c>
      <c r="F41" s="1025">
        <f>huishoudens!E12</f>
        <v>876.33342368545163</v>
      </c>
      <c r="G41" s="1025">
        <f>huishoudens!F12</f>
        <v>5634.691479164333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26118.848095569996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285.72316839101109</v>
      </c>
      <c r="D43" s="1025">
        <f ca="1">industrie!C22</f>
        <v>0</v>
      </c>
      <c r="E43" s="1025">
        <f>industrie!D22</f>
        <v>352.23804822800003</v>
      </c>
      <c r="F43" s="1025">
        <f>industrie!E22</f>
        <v>69.019502403720168</v>
      </c>
      <c r="G43" s="1025">
        <f>industrie!F22</f>
        <v>335.89408215820333</v>
      </c>
      <c r="H43" s="1025">
        <f>industrie!G22</f>
        <v>0</v>
      </c>
      <c r="I43" s="1025">
        <f>industrie!H22</f>
        <v>0</v>
      </c>
      <c r="J43" s="1025">
        <f>industrie!I22</f>
        <v>0</v>
      </c>
      <c r="K43" s="1025">
        <f>industrie!J22</f>
        <v>1.6294899897752639</v>
      </c>
      <c r="L43" s="1025">
        <f>industrie!K22</f>
        <v>0</v>
      </c>
      <c r="M43" s="1025">
        <f>industrie!L22</f>
        <v>0</v>
      </c>
      <c r="N43" s="1025">
        <f>industrie!M22</f>
        <v>0</v>
      </c>
      <c r="O43" s="1025">
        <f>industrie!N22</f>
        <v>0</v>
      </c>
      <c r="P43" s="1025">
        <f>industrie!O22</f>
        <v>0</v>
      </c>
      <c r="Q43" s="775">
        <f>industrie!P22</f>
        <v>0</v>
      </c>
      <c r="R43" s="850">
        <f t="shared" ca="1" si="4"/>
        <v>1044.5042911707098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9482.1447791768387</v>
      </c>
      <c r="D46" s="733">
        <f t="shared" ref="D46:Q46" ca="1" si="5">SUM(D39:D45)</f>
        <v>0</v>
      </c>
      <c r="E46" s="733">
        <f t="shared" ca="1" si="5"/>
        <v>17109.550313856002</v>
      </c>
      <c r="F46" s="733">
        <f t="shared" si="5"/>
        <v>979.79403740195278</v>
      </c>
      <c r="G46" s="733">
        <f t="shared" ca="1" si="5"/>
        <v>6592.4503173801904</v>
      </c>
      <c r="H46" s="733">
        <f t="shared" si="5"/>
        <v>0</v>
      </c>
      <c r="I46" s="733">
        <f t="shared" si="5"/>
        <v>0</v>
      </c>
      <c r="J46" s="733">
        <f t="shared" si="5"/>
        <v>0</v>
      </c>
      <c r="K46" s="733">
        <f t="shared" si="5"/>
        <v>1.6294899897752639</v>
      </c>
      <c r="L46" s="733">
        <f t="shared" si="5"/>
        <v>0</v>
      </c>
      <c r="M46" s="733">
        <f t="shared" ca="1" si="5"/>
        <v>0</v>
      </c>
      <c r="N46" s="733">
        <f t="shared" si="5"/>
        <v>0</v>
      </c>
      <c r="O46" s="733">
        <f t="shared" ca="1" si="5"/>
        <v>0</v>
      </c>
      <c r="P46" s="733">
        <f t="shared" si="5"/>
        <v>0</v>
      </c>
      <c r="Q46" s="733">
        <f t="shared" si="5"/>
        <v>0</v>
      </c>
      <c r="R46" s="733">
        <f ca="1">SUM(R39:R45)</f>
        <v>34165.568937804761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449.9583664795374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449.9583664795374</v>
      </c>
    </row>
    <row r="50" spans="1:18">
      <c r="A50" s="826" t="s">
        <v>307</v>
      </c>
      <c r="B50" s="836"/>
      <c r="C50" s="704">
        <f ca="1">transport!B18</f>
        <v>1.5975871881191204</v>
      </c>
      <c r="D50" s="704">
        <f>transport!C18</f>
        <v>0</v>
      </c>
      <c r="E50" s="704">
        <f>transport!D18</f>
        <v>5.024948978862926</v>
      </c>
      <c r="F50" s="704">
        <f>transport!E18</f>
        <v>35.298559490389827</v>
      </c>
      <c r="G50" s="704">
        <f>transport!F18</f>
        <v>0</v>
      </c>
      <c r="H50" s="704">
        <f>transport!G18</f>
        <v>11190.259407664264</v>
      </c>
      <c r="I50" s="704">
        <f>transport!H18</f>
        <v>2322.1916946355909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13554.372197957226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1.5975871881191204</v>
      </c>
      <c r="D52" s="733">
        <f t="shared" ref="D52:Q52" ca="1" si="6">SUM(D48:D51)</f>
        <v>0</v>
      </c>
      <c r="E52" s="733">
        <f t="shared" si="6"/>
        <v>5.024948978862926</v>
      </c>
      <c r="F52" s="733">
        <f t="shared" si="6"/>
        <v>35.298559490389827</v>
      </c>
      <c r="G52" s="733">
        <f t="shared" si="6"/>
        <v>0</v>
      </c>
      <c r="H52" s="733">
        <f t="shared" si="6"/>
        <v>11640.217774143801</v>
      </c>
      <c r="I52" s="733">
        <f t="shared" si="6"/>
        <v>2322.1916946355909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14004.330564436763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237.35600801052817</v>
      </c>
      <c r="D54" s="704">
        <f ca="1">+landbouw!C12</f>
        <v>0</v>
      </c>
      <c r="E54" s="704">
        <f>+landbouw!D12</f>
        <v>206.43330571600004</v>
      </c>
      <c r="F54" s="704">
        <f>+landbouw!E12</f>
        <v>2.6022362070554004</v>
      </c>
      <c r="G54" s="704">
        <f>+landbouw!F12</f>
        <v>838.41836077671962</v>
      </c>
      <c r="H54" s="704">
        <f>+landbouw!G12</f>
        <v>0</v>
      </c>
      <c r="I54" s="704">
        <f>+landbouw!H12</f>
        <v>0</v>
      </c>
      <c r="J54" s="704">
        <f>+landbouw!I12</f>
        <v>0</v>
      </c>
      <c r="K54" s="704">
        <f>+landbouw!J12</f>
        <v>67.169710165263936</v>
      </c>
      <c r="L54" s="704">
        <f>+landbouw!K12</f>
        <v>0</v>
      </c>
      <c r="M54" s="704">
        <f>+landbouw!L12</f>
        <v>0</v>
      </c>
      <c r="N54" s="704">
        <f>+landbouw!M12</f>
        <v>0</v>
      </c>
      <c r="O54" s="704">
        <f>+landbouw!N12</f>
        <v>0</v>
      </c>
      <c r="P54" s="704">
        <f>+landbouw!O12</f>
        <v>0</v>
      </c>
      <c r="Q54" s="705">
        <f>+landbouw!P12</f>
        <v>0</v>
      </c>
      <c r="R54" s="732">
        <f ca="1">SUM(C54:Q54)</f>
        <v>1351.9796208755672</v>
      </c>
    </row>
    <row r="55" spans="1:18" ht="15" thickBot="1">
      <c r="A55" s="826" t="s">
        <v>864</v>
      </c>
      <c r="B55" s="836"/>
      <c r="C55" s="704">
        <f ca="1">C25*'EF ele_warmte'!B12</f>
        <v>125.56233815214772</v>
      </c>
      <c r="D55" s="704"/>
      <c r="E55" s="704">
        <f>E25*EF_CO2_aardgas</f>
        <v>232.67854800000001</v>
      </c>
      <c r="F55" s="704"/>
      <c r="G55" s="704"/>
      <c r="H55" s="704"/>
      <c r="I55" s="704"/>
      <c r="J55" s="704"/>
      <c r="K55" s="704"/>
      <c r="L55" s="704"/>
      <c r="M55" s="704"/>
      <c r="N55" s="704"/>
      <c r="O55" s="704"/>
      <c r="P55" s="704"/>
      <c r="Q55" s="705"/>
      <c r="R55" s="732">
        <f ca="1">SUM(C55:Q55)</f>
        <v>358.24088615214771</v>
      </c>
    </row>
    <row r="56" spans="1:18" ht="15.75" thickBot="1">
      <c r="A56" s="824" t="s">
        <v>865</v>
      </c>
      <c r="B56" s="837"/>
      <c r="C56" s="733">
        <f ca="1">SUM(C54:C55)</f>
        <v>362.9183461626759</v>
      </c>
      <c r="D56" s="733">
        <f t="shared" ref="D56:Q56" ca="1" si="7">SUM(D54:D55)</f>
        <v>0</v>
      </c>
      <c r="E56" s="733">
        <f t="shared" si="7"/>
        <v>439.11185371600004</v>
      </c>
      <c r="F56" s="733">
        <f t="shared" si="7"/>
        <v>2.6022362070554004</v>
      </c>
      <c r="G56" s="733">
        <f t="shared" si="7"/>
        <v>838.41836077671962</v>
      </c>
      <c r="H56" s="733">
        <f t="shared" si="7"/>
        <v>0</v>
      </c>
      <c r="I56" s="733">
        <f t="shared" si="7"/>
        <v>0</v>
      </c>
      <c r="J56" s="733">
        <f t="shared" si="7"/>
        <v>0</v>
      </c>
      <c r="K56" s="733">
        <f t="shared" si="7"/>
        <v>67.169710165263936</v>
      </c>
      <c r="L56" s="733">
        <f t="shared" si="7"/>
        <v>0</v>
      </c>
      <c r="M56" s="733">
        <f t="shared" si="7"/>
        <v>0</v>
      </c>
      <c r="N56" s="733">
        <f t="shared" si="7"/>
        <v>0</v>
      </c>
      <c r="O56" s="733">
        <f t="shared" si="7"/>
        <v>0</v>
      </c>
      <c r="P56" s="733">
        <f t="shared" si="7"/>
        <v>0</v>
      </c>
      <c r="Q56" s="734">
        <f t="shared" si="7"/>
        <v>0</v>
      </c>
      <c r="R56" s="735">
        <f ca="1">SUM(R54:R55)</f>
        <v>1710.220507027715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9846.6607125276332</v>
      </c>
      <c r="D61" s="741">
        <f t="shared" ref="D61:Q61" ca="1" si="8">D46+D52+D56</f>
        <v>0</v>
      </c>
      <c r="E61" s="741">
        <f t="shared" ca="1" si="8"/>
        <v>17553.687116550864</v>
      </c>
      <c r="F61" s="741">
        <f t="shared" si="8"/>
        <v>1017.694833099398</v>
      </c>
      <c r="G61" s="741">
        <f t="shared" ca="1" si="8"/>
        <v>7430.8686781569104</v>
      </c>
      <c r="H61" s="741">
        <f t="shared" si="8"/>
        <v>11640.217774143801</v>
      </c>
      <c r="I61" s="741">
        <f t="shared" si="8"/>
        <v>2322.1916946355909</v>
      </c>
      <c r="J61" s="741">
        <f t="shared" si="8"/>
        <v>0</v>
      </c>
      <c r="K61" s="741">
        <f t="shared" si="8"/>
        <v>68.799200155039202</v>
      </c>
      <c r="L61" s="741">
        <f t="shared" si="8"/>
        <v>0</v>
      </c>
      <c r="M61" s="741">
        <f t="shared" ca="1" si="8"/>
        <v>0</v>
      </c>
      <c r="N61" s="741">
        <f t="shared" si="8"/>
        <v>0</v>
      </c>
      <c r="O61" s="741">
        <f t="shared" ca="1" si="8"/>
        <v>0</v>
      </c>
      <c r="P61" s="741">
        <f t="shared" si="8"/>
        <v>0</v>
      </c>
      <c r="Q61" s="741">
        <f t="shared" si="8"/>
        <v>0</v>
      </c>
      <c r="R61" s="741">
        <f ca="1">R46+R52+R56</f>
        <v>49880.120009269238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0.19178020856571923</v>
      </c>
      <c r="D63" s="782">
        <f t="shared" ca="1" si="9"/>
        <v>0</v>
      </c>
      <c r="E63" s="1036">
        <f t="shared" ca="1" si="9"/>
        <v>0.20199999999999999</v>
      </c>
      <c r="F63" s="782">
        <f t="shared" si="9"/>
        <v>0.22700000000000001</v>
      </c>
      <c r="G63" s="782">
        <f t="shared" ca="1" si="9"/>
        <v>0.26700000000000002</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6788.4406445268478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6788.4406445268478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32370.949190373933</v>
      </c>
      <c r="C4" s="478">
        <f>huishoudens!C8</f>
        <v>0</v>
      </c>
      <c r="D4" s="478">
        <f>huishoudens!D8</f>
        <v>66335.226760000005</v>
      </c>
      <c r="E4" s="478">
        <f>huishoudens!E8</f>
        <v>3860.4996638125622</v>
      </c>
      <c r="F4" s="478">
        <f>huishoudens!F8</f>
        <v>21103.713405109862</v>
      </c>
      <c r="G4" s="478">
        <f>huishoudens!G8</f>
        <v>0</v>
      </c>
      <c r="H4" s="478">
        <f>huishoudens!H8</f>
        <v>0</v>
      </c>
      <c r="I4" s="478">
        <f>huishoudens!I8</f>
        <v>0</v>
      </c>
      <c r="J4" s="478">
        <f>huishoudens!J8</f>
        <v>0</v>
      </c>
      <c r="K4" s="478">
        <f>huishoudens!K8</f>
        <v>0</v>
      </c>
      <c r="L4" s="478">
        <f>huishoudens!L8</f>
        <v>0</v>
      </c>
      <c r="M4" s="478">
        <f>huishoudens!M8</f>
        <v>0</v>
      </c>
      <c r="N4" s="478">
        <f>huishoudens!N8</f>
        <v>13925.873821945885</v>
      </c>
      <c r="O4" s="478">
        <f>huishoudens!O8</f>
        <v>472.12666666666672</v>
      </c>
      <c r="P4" s="479">
        <f>huishoudens!P8</f>
        <v>686.4</v>
      </c>
      <c r="Q4" s="480">
        <f>SUM(B4:P4)</f>
        <v>138754.78950790892</v>
      </c>
    </row>
    <row r="5" spans="1:17">
      <c r="A5" s="477" t="s">
        <v>156</v>
      </c>
      <c r="B5" s="478">
        <f ca="1">tertiair!B16</f>
        <v>14441.853999999999</v>
      </c>
      <c r="C5" s="478">
        <f ca="1">tertiair!C16</f>
        <v>0</v>
      </c>
      <c r="D5" s="478">
        <f ca="1">tertiair!D16</f>
        <v>16621.764653999999</v>
      </c>
      <c r="E5" s="478">
        <f>tertiair!E16</f>
        <v>151.72295732502667</v>
      </c>
      <c r="F5" s="478">
        <f ca="1">tertiair!F16</f>
        <v>2329.0814833619993</v>
      </c>
      <c r="G5" s="478">
        <f>tertiair!G16</f>
        <v>0</v>
      </c>
      <c r="H5" s="478">
        <f>tertiair!H16</f>
        <v>0</v>
      </c>
      <c r="I5" s="478">
        <f>tertiair!I16</f>
        <v>0</v>
      </c>
      <c r="J5" s="478">
        <f>tertiair!J16</f>
        <v>0</v>
      </c>
      <c r="K5" s="478">
        <f>tertiair!K16</f>
        <v>0</v>
      </c>
      <c r="L5" s="478">
        <f ca="1">tertiair!L16</f>
        <v>0</v>
      </c>
      <c r="M5" s="478">
        <f>tertiair!M16</f>
        <v>0</v>
      </c>
      <c r="N5" s="478">
        <f ca="1">tertiair!N16</f>
        <v>2082.8074299564428</v>
      </c>
      <c r="O5" s="478">
        <f>tertiair!O16</f>
        <v>0</v>
      </c>
      <c r="P5" s="479">
        <f>tertiair!P16</f>
        <v>19.066666666666666</v>
      </c>
      <c r="Q5" s="477">
        <f t="shared" ref="Q5:Q14" ca="1" si="0">SUM(B5:P5)</f>
        <v>35646.297191310128</v>
      </c>
    </row>
    <row r="6" spans="1:17">
      <c r="A6" s="477" t="s">
        <v>194</v>
      </c>
      <c r="B6" s="478">
        <f>'openbare verlichting'!B8</f>
        <v>1140.1199999999999</v>
      </c>
      <c r="C6" s="478"/>
      <c r="D6" s="478"/>
      <c r="E6" s="478"/>
      <c r="F6" s="478"/>
      <c r="G6" s="478"/>
      <c r="H6" s="478"/>
      <c r="I6" s="478"/>
      <c r="J6" s="478"/>
      <c r="K6" s="478"/>
      <c r="L6" s="478"/>
      <c r="M6" s="478"/>
      <c r="N6" s="478"/>
      <c r="O6" s="478"/>
      <c r="P6" s="479"/>
      <c r="Q6" s="477">
        <f t="shared" si="0"/>
        <v>1140.1199999999999</v>
      </c>
    </row>
    <row r="7" spans="1:17">
      <c r="A7" s="477" t="s">
        <v>112</v>
      </c>
      <c r="B7" s="478">
        <f>landbouw!B8</f>
        <v>1237.646</v>
      </c>
      <c r="C7" s="478">
        <f>landbouw!C8</f>
        <v>0</v>
      </c>
      <c r="D7" s="478">
        <f>landbouw!D8</f>
        <v>1021.9470580000001</v>
      </c>
      <c r="E7" s="478">
        <f>landbouw!E8</f>
        <v>11.463595625794715</v>
      </c>
      <c r="F7" s="478">
        <f>landbouw!F8</f>
        <v>3140.1436733210471</v>
      </c>
      <c r="G7" s="478">
        <f>landbouw!G8</f>
        <v>0</v>
      </c>
      <c r="H7" s="478">
        <f>landbouw!H8</f>
        <v>0</v>
      </c>
      <c r="I7" s="478">
        <f>landbouw!I8</f>
        <v>0</v>
      </c>
      <c r="J7" s="478">
        <f>landbouw!J8</f>
        <v>189.74494396967214</v>
      </c>
      <c r="K7" s="478">
        <f>landbouw!K8</f>
        <v>0</v>
      </c>
      <c r="L7" s="478">
        <f>landbouw!L8</f>
        <v>0</v>
      </c>
      <c r="M7" s="478">
        <f>landbouw!M8</f>
        <v>0</v>
      </c>
      <c r="N7" s="478">
        <f>landbouw!N8</f>
        <v>0</v>
      </c>
      <c r="O7" s="478">
        <f>landbouw!O8</f>
        <v>0</v>
      </c>
      <c r="P7" s="479">
        <f>landbouw!P8</f>
        <v>0</v>
      </c>
      <c r="Q7" s="477">
        <f t="shared" si="0"/>
        <v>5600.9452709165143</v>
      </c>
    </row>
    <row r="8" spans="1:17">
      <c r="A8" s="477" t="s">
        <v>650</v>
      </c>
      <c r="B8" s="478">
        <f>industrie!B18</f>
        <v>1489.8469999999998</v>
      </c>
      <c r="C8" s="478">
        <f>industrie!C18</f>
        <v>0</v>
      </c>
      <c r="D8" s="478">
        <f>industrie!D18</f>
        <v>1743.752714</v>
      </c>
      <c r="E8" s="478">
        <f>industrie!E18</f>
        <v>304.05067138202713</v>
      </c>
      <c r="F8" s="478">
        <f>industrie!F18</f>
        <v>1258.0302702554432</v>
      </c>
      <c r="G8" s="478">
        <f>industrie!G18</f>
        <v>0</v>
      </c>
      <c r="H8" s="478">
        <f>industrie!H18</f>
        <v>0</v>
      </c>
      <c r="I8" s="478">
        <f>industrie!I18</f>
        <v>0</v>
      </c>
      <c r="J8" s="478">
        <f>industrie!J18</f>
        <v>4.6030790671617625</v>
      </c>
      <c r="K8" s="478">
        <f>industrie!K18</f>
        <v>0</v>
      </c>
      <c r="L8" s="478">
        <f>industrie!L18</f>
        <v>0</v>
      </c>
      <c r="M8" s="478">
        <f>industrie!M18</f>
        <v>0</v>
      </c>
      <c r="N8" s="478">
        <f>industrie!N18</f>
        <v>457.81718828789406</v>
      </c>
      <c r="O8" s="478">
        <f>industrie!O18</f>
        <v>0</v>
      </c>
      <c r="P8" s="479">
        <f>industrie!P18</f>
        <v>0</v>
      </c>
      <c r="Q8" s="477">
        <f t="shared" si="0"/>
        <v>5258.1009229925266</v>
      </c>
    </row>
    <row r="9" spans="1:17" s="483" customFormat="1">
      <c r="A9" s="481" t="s">
        <v>571</v>
      </c>
      <c r="B9" s="482">
        <f>transport!B14</f>
        <v>8.330302694251472</v>
      </c>
      <c r="C9" s="482">
        <f>transport!C14</f>
        <v>0</v>
      </c>
      <c r="D9" s="482">
        <f>transport!D14</f>
        <v>24.875985043875872</v>
      </c>
      <c r="E9" s="482">
        <f>transport!E14</f>
        <v>155.50026207220188</v>
      </c>
      <c r="F9" s="482">
        <f>transport!F14</f>
        <v>0</v>
      </c>
      <c r="G9" s="482">
        <f>transport!G14</f>
        <v>41911.083923836188</v>
      </c>
      <c r="H9" s="482">
        <f>transport!H14</f>
        <v>9326.0710627935387</v>
      </c>
      <c r="I9" s="482">
        <f>transport!I14</f>
        <v>0</v>
      </c>
      <c r="J9" s="482">
        <f>transport!J14</f>
        <v>0</v>
      </c>
      <c r="K9" s="482">
        <f>transport!K14</f>
        <v>0</v>
      </c>
      <c r="L9" s="482">
        <f>transport!L14</f>
        <v>0</v>
      </c>
      <c r="M9" s="482">
        <f>transport!M14</f>
        <v>2711.4588251138157</v>
      </c>
      <c r="N9" s="482">
        <f>transport!N14</f>
        <v>0</v>
      </c>
      <c r="O9" s="482">
        <f>transport!O14</f>
        <v>0</v>
      </c>
      <c r="P9" s="482">
        <f>transport!P14</f>
        <v>0</v>
      </c>
      <c r="Q9" s="481">
        <f>SUM(B9:P9)</f>
        <v>54137.320361553866</v>
      </c>
    </row>
    <row r="10" spans="1:17">
      <c r="A10" s="477" t="s">
        <v>561</v>
      </c>
      <c r="B10" s="478">
        <f>transport!B54</f>
        <v>0</v>
      </c>
      <c r="C10" s="478">
        <f>transport!C54</f>
        <v>0</v>
      </c>
      <c r="D10" s="478">
        <f>transport!D54</f>
        <v>0</v>
      </c>
      <c r="E10" s="478">
        <f>transport!E54</f>
        <v>0</v>
      </c>
      <c r="F10" s="478">
        <f>transport!F54</f>
        <v>0</v>
      </c>
      <c r="G10" s="478">
        <f>transport!G54</f>
        <v>1685.2373276387168</v>
      </c>
      <c r="H10" s="478">
        <f>transport!H54</f>
        <v>0</v>
      </c>
      <c r="I10" s="478">
        <f>transport!I54</f>
        <v>0</v>
      </c>
      <c r="J10" s="478">
        <f>transport!J54</f>
        <v>0</v>
      </c>
      <c r="K10" s="478">
        <f>transport!K54</f>
        <v>0</v>
      </c>
      <c r="L10" s="478">
        <f>transport!L54</f>
        <v>0</v>
      </c>
      <c r="M10" s="478">
        <f>transport!M54</f>
        <v>96.104172063041418</v>
      </c>
      <c r="N10" s="478">
        <f>transport!N54</f>
        <v>0</v>
      </c>
      <c r="O10" s="478">
        <f>transport!O54</f>
        <v>0</v>
      </c>
      <c r="P10" s="479">
        <f>transport!P54</f>
        <v>0</v>
      </c>
      <c r="Q10" s="477">
        <f t="shared" si="0"/>
        <v>1781.3414997017583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654.72</v>
      </c>
      <c r="C14" s="485"/>
      <c r="D14" s="485">
        <f>'SEAP template'!E25</f>
        <v>1151.874</v>
      </c>
      <c r="E14" s="485"/>
      <c r="F14" s="485"/>
      <c r="G14" s="485"/>
      <c r="H14" s="485"/>
      <c r="I14" s="485"/>
      <c r="J14" s="485"/>
      <c r="K14" s="485"/>
      <c r="L14" s="485"/>
      <c r="M14" s="485"/>
      <c r="N14" s="485"/>
      <c r="O14" s="485"/>
      <c r="P14" s="486"/>
      <c r="Q14" s="477">
        <f t="shared" si="0"/>
        <v>1806.5940000000001</v>
      </c>
    </row>
    <row r="15" spans="1:17" s="487" customFormat="1">
      <c r="A15" s="1051" t="s">
        <v>565</v>
      </c>
      <c r="B15" s="991">
        <f ca="1">SUM(B4:B14)</f>
        <v>51343.46649306819</v>
      </c>
      <c r="C15" s="991">
        <f t="shared" ref="C15:Q15" ca="1" si="1">SUM(C4:C14)</f>
        <v>0</v>
      </c>
      <c r="D15" s="991">
        <f t="shared" ca="1" si="1"/>
        <v>86899.441171043887</v>
      </c>
      <c r="E15" s="991">
        <f t="shared" si="1"/>
        <v>4483.237150217612</v>
      </c>
      <c r="F15" s="991">
        <f t="shared" ca="1" si="1"/>
        <v>27830.968832048351</v>
      </c>
      <c r="G15" s="991">
        <f t="shared" si="1"/>
        <v>43596.321251474903</v>
      </c>
      <c r="H15" s="991">
        <f t="shared" si="1"/>
        <v>9326.0710627935387</v>
      </c>
      <c r="I15" s="991">
        <f t="shared" si="1"/>
        <v>0</v>
      </c>
      <c r="J15" s="991">
        <f t="shared" si="1"/>
        <v>194.34802303683389</v>
      </c>
      <c r="K15" s="991">
        <f t="shared" si="1"/>
        <v>0</v>
      </c>
      <c r="L15" s="991">
        <f t="shared" ca="1" si="1"/>
        <v>0</v>
      </c>
      <c r="M15" s="991">
        <f t="shared" si="1"/>
        <v>2807.5629971768572</v>
      </c>
      <c r="N15" s="991">
        <f t="shared" ca="1" si="1"/>
        <v>16466.498440190222</v>
      </c>
      <c r="O15" s="991">
        <f t="shared" si="1"/>
        <v>472.12666666666672</v>
      </c>
      <c r="P15" s="991">
        <f t="shared" si="1"/>
        <v>705.4666666666667</v>
      </c>
      <c r="Q15" s="991">
        <f t="shared" ca="1" si="1"/>
        <v>244125.50875438371</v>
      </c>
    </row>
    <row r="17" spans="1:17">
      <c r="A17" s="488" t="s">
        <v>566</v>
      </c>
      <c r="B17" s="787">
        <f ca="1">huishoudens!B10</f>
        <v>0.19178020856571926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6208.1073872002135</v>
      </c>
      <c r="C22" s="478">
        <f t="shared" ref="C22:C32" ca="1" si="3">C4*$C$17</f>
        <v>0</v>
      </c>
      <c r="D22" s="478">
        <f t="shared" ref="D22:D32" si="4">D4*$D$17</f>
        <v>13399.715805520002</v>
      </c>
      <c r="E22" s="478">
        <f t="shared" ref="E22:E32" si="5">E4*$E$17</f>
        <v>876.33342368545163</v>
      </c>
      <c r="F22" s="478">
        <f t="shared" ref="F22:F32" si="6">F4*$F$17</f>
        <v>5634.691479164333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26118.848095569996</v>
      </c>
    </row>
    <row r="23" spans="1:17">
      <c r="A23" s="477" t="s">
        <v>156</v>
      </c>
      <c r="B23" s="478">
        <f t="shared" ca="1" si="2"/>
        <v>2769.6617721956668</v>
      </c>
      <c r="C23" s="478">
        <f t="shared" ca="1" si="3"/>
        <v>0</v>
      </c>
      <c r="D23" s="478">
        <f t="shared" ca="1" si="4"/>
        <v>3357.596460108</v>
      </c>
      <c r="E23" s="478">
        <f t="shared" si="5"/>
        <v>34.441111312781054</v>
      </c>
      <c r="F23" s="478">
        <f t="shared" ca="1" si="6"/>
        <v>621.86475605765384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6783.5640996741013</v>
      </c>
    </row>
    <row r="24" spans="1:17">
      <c r="A24" s="477" t="s">
        <v>194</v>
      </c>
      <c r="B24" s="478">
        <f t="shared" ca="1" si="2"/>
        <v>218.65245138994783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218.65245138994783</v>
      </c>
    </row>
    <row r="25" spans="1:17">
      <c r="A25" s="477" t="s">
        <v>112</v>
      </c>
      <c r="B25" s="478">
        <f t="shared" ca="1" si="2"/>
        <v>237.35600801052817</v>
      </c>
      <c r="C25" s="478">
        <f t="shared" ca="1" si="3"/>
        <v>0</v>
      </c>
      <c r="D25" s="478">
        <f t="shared" si="4"/>
        <v>206.43330571600004</v>
      </c>
      <c r="E25" s="478">
        <f t="shared" si="5"/>
        <v>2.6022362070554004</v>
      </c>
      <c r="F25" s="478">
        <f t="shared" si="6"/>
        <v>838.41836077671962</v>
      </c>
      <c r="G25" s="478">
        <f t="shared" si="7"/>
        <v>0</v>
      </c>
      <c r="H25" s="478">
        <f t="shared" si="8"/>
        <v>0</v>
      </c>
      <c r="I25" s="478">
        <f t="shared" si="9"/>
        <v>0</v>
      </c>
      <c r="J25" s="478">
        <f t="shared" si="10"/>
        <v>67.169710165263936</v>
      </c>
      <c r="K25" s="478">
        <f t="shared" si="11"/>
        <v>0</v>
      </c>
      <c r="L25" s="478">
        <f t="shared" si="12"/>
        <v>0</v>
      </c>
      <c r="M25" s="478">
        <f t="shared" si="13"/>
        <v>0</v>
      </c>
      <c r="N25" s="478">
        <f t="shared" si="14"/>
        <v>0</v>
      </c>
      <c r="O25" s="478">
        <f t="shared" si="15"/>
        <v>0</v>
      </c>
      <c r="P25" s="479">
        <f t="shared" si="16"/>
        <v>0</v>
      </c>
      <c r="Q25" s="477">
        <f t="shared" ca="1" si="17"/>
        <v>1351.9796208755672</v>
      </c>
    </row>
    <row r="26" spans="1:17">
      <c r="A26" s="477" t="s">
        <v>650</v>
      </c>
      <c r="B26" s="478">
        <f t="shared" ca="1" si="2"/>
        <v>285.72316839101109</v>
      </c>
      <c r="C26" s="478">
        <f t="shared" ca="1" si="3"/>
        <v>0</v>
      </c>
      <c r="D26" s="478">
        <f t="shared" si="4"/>
        <v>352.23804822800003</v>
      </c>
      <c r="E26" s="478">
        <f t="shared" si="5"/>
        <v>69.019502403720168</v>
      </c>
      <c r="F26" s="478">
        <f t="shared" si="6"/>
        <v>335.89408215820333</v>
      </c>
      <c r="G26" s="478">
        <f t="shared" si="7"/>
        <v>0</v>
      </c>
      <c r="H26" s="478">
        <f t="shared" si="8"/>
        <v>0</v>
      </c>
      <c r="I26" s="478">
        <f t="shared" si="9"/>
        <v>0</v>
      </c>
      <c r="J26" s="478">
        <f t="shared" si="10"/>
        <v>1.6294899897752639</v>
      </c>
      <c r="K26" s="478">
        <f t="shared" si="11"/>
        <v>0</v>
      </c>
      <c r="L26" s="478">
        <f t="shared" si="12"/>
        <v>0</v>
      </c>
      <c r="M26" s="478">
        <f t="shared" si="13"/>
        <v>0</v>
      </c>
      <c r="N26" s="478">
        <f t="shared" si="14"/>
        <v>0</v>
      </c>
      <c r="O26" s="478">
        <f t="shared" si="15"/>
        <v>0</v>
      </c>
      <c r="P26" s="479">
        <f t="shared" si="16"/>
        <v>0</v>
      </c>
      <c r="Q26" s="477">
        <f t="shared" ca="1" si="17"/>
        <v>1044.5042911707098</v>
      </c>
    </row>
    <row r="27" spans="1:17" s="483" customFormat="1">
      <c r="A27" s="481" t="s">
        <v>571</v>
      </c>
      <c r="B27" s="781">
        <f t="shared" ca="1" si="2"/>
        <v>1.5975871881191204</v>
      </c>
      <c r="C27" s="482">
        <f t="shared" ca="1" si="3"/>
        <v>0</v>
      </c>
      <c r="D27" s="482">
        <f t="shared" si="4"/>
        <v>5.024948978862926</v>
      </c>
      <c r="E27" s="482">
        <f t="shared" si="5"/>
        <v>35.298559490389827</v>
      </c>
      <c r="F27" s="482">
        <f t="shared" si="6"/>
        <v>0</v>
      </c>
      <c r="G27" s="482">
        <f t="shared" si="7"/>
        <v>11190.259407664264</v>
      </c>
      <c r="H27" s="482">
        <f t="shared" si="8"/>
        <v>2322.1916946355909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13554.372197957226</v>
      </c>
    </row>
    <row r="28" spans="1:17">
      <c r="A28" s="477" t="s">
        <v>561</v>
      </c>
      <c r="B28" s="478">
        <f t="shared" ca="1" si="2"/>
        <v>0</v>
      </c>
      <c r="C28" s="478">
        <f t="shared" ca="1" si="3"/>
        <v>0</v>
      </c>
      <c r="D28" s="478">
        <f t="shared" si="4"/>
        <v>0</v>
      </c>
      <c r="E28" s="478">
        <f t="shared" si="5"/>
        <v>0</v>
      </c>
      <c r="F28" s="478">
        <f t="shared" si="6"/>
        <v>0</v>
      </c>
      <c r="G28" s="478">
        <f t="shared" si="7"/>
        <v>449.9583664795374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449.9583664795374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125.56233815214772</v>
      </c>
      <c r="C32" s="478">
        <f t="shared" ca="1" si="3"/>
        <v>0</v>
      </c>
      <c r="D32" s="478">
        <f t="shared" si="4"/>
        <v>232.67854800000001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358.24088615214771</v>
      </c>
    </row>
    <row r="33" spans="1:17" s="487" customFormat="1">
      <c r="A33" s="1051" t="s">
        <v>565</v>
      </c>
      <c r="B33" s="991">
        <f ca="1">SUM(B22:B32)</f>
        <v>9846.6607125276332</v>
      </c>
      <c r="C33" s="991">
        <f t="shared" ref="C33:Q33" ca="1" si="18">SUM(C22:C32)</f>
        <v>0</v>
      </c>
      <c r="D33" s="991">
        <f t="shared" ca="1" si="18"/>
        <v>17553.687116550864</v>
      </c>
      <c r="E33" s="991">
        <f t="shared" si="18"/>
        <v>1017.694833099398</v>
      </c>
      <c r="F33" s="991">
        <f t="shared" ca="1" si="18"/>
        <v>7430.8686781569104</v>
      </c>
      <c r="G33" s="991">
        <f t="shared" si="18"/>
        <v>11640.217774143801</v>
      </c>
      <c r="H33" s="991">
        <f t="shared" si="18"/>
        <v>2322.1916946355909</v>
      </c>
      <c r="I33" s="991">
        <f t="shared" si="18"/>
        <v>0</v>
      </c>
      <c r="J33" s="991">
        <f t="shared" si="18"/>
        <v>68.799200155039202</v>
      </c>
      <c r="K33" s="991">
        <f t="shared" si="18"/>
        <v>0</v>
      </c>
      <c r="L33" s="991">
        <f t="shared" ca="1" si="18"/>
        <v>0</v>
      </c>
      <c r="M33" s="991">
        <f t="shared" si="18"/>
        <v>0</v>
      </c>
      <c r="N33" s="991">
        <f t="shared" ca="1" si="18"/>
        <v>0</v>
      </c>
      <c r="O33" s="991">
        <f t="shared" si="18"/>
        <v>0</v>
      </c>
      <c r="P33" s="991">
        <f t="shared" si="18"/>
        <v>0</v>
      </c>
      <c r="Q33" s="991">
        <f t="shared" ca="1" si="18"/>
        <v>49880.120009269238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6788.4406445268478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6788.4406445268478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0.19178020856571926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0.19178020856571926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0.19178020856571926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0.19178020856571926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6888</v>
      </c>
      <c r="C9" s="342">
        <v>6883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1726</v>
      </c>
    </row>
    <row r="15" spans="1:6">
      <c r="A15" s="348" t="s">
        <v>184</v>
      </c>
      <c r="B15" s="334">
        <v>1645</v>
      </c>
    </row>
    <row r="16" spans="1:6">
      <c r="A16" s="348" t="s">
        <v>6</v>
      </c>
      <c r="B16" s="334">
        <v>1469</v>
      </c>
    </row>
    <row r="17" spans="1:6">
      <c r="A17" s="348" t="s">
        <v>7</v>
      </c>
      <c r="B17" s="334">
        <v>204</v>
      </c>
    </row>
    <row r="18" spans="1:6">
      <c r="A18" s="348" t="s">
        <v>8</v>
      </c>
      <c r="B18" s="334">
        <v>847</v>
      </c>
    </row>
    <row r="19" spans="1:6">
      <c r="A19" s="348" t="s">
        <v>9</v>
      </c>
      <c r="B19" s="334">
        <v>746</v>
      </c>
    </row>
    <row r="20" spans="1:6">
      <c r="A20" s="348" t="s">
        <v>10</v>
      </c>
      <c r="B20" s="334">
        <v>507</v>
      </c>
    </row>
    <row r="21" spans="1:6">
      <c r="A21" s="348" t="s">
        <v>11</v>
      </c>
      <c r="B21" s="334">
        <v>4025</v>
      </c>
    </row>
    <row r="22" spans="1:6">
      <c r="A22" s="348" t="s">
        <v>12</v>
      </c>
      <c r="B22" s="334">
        <v>11238</v>
      </c>
    </row>
    <row r="23" spans="1:6">
      <c r="A23" s="348" t="s">
        <v>13</v>
      </c>
      <c r="B23" s="334">
        <v>234</v>
      </c>
    </row>
    <row r="24" spans="1:6">
      <c r="A24" s="348" t="s">
        <v>14</v>
      </c>
      <c r="B24" s="334">
        <v>11</v>
      </c>
    </row>
    <row r="25" spans="1:6">
      <c r="A25" s="348" t="s">
        <v>15</v>
      </c>
      <c r="B25" s="334">
        <v>1121</v>
      </c>
    </row>
    <row r="26" spans="1:6">
      <c r="A26" s="348" t="s">
        <v>16</v>
      </c>
      <c r="B26" s="334">
        <v>167</v>
      </c>
    </row>
    <row r="27" spans="1:6">
      <c r="A27" s="348" t="s">
        <v>17</v>
      </c>
      <c r="B27" s="334">
        <v>4</v>
      </c>
    </row>
    <row r="28" spans="1:6" s="356" customFormat="1">
      <c r="A28" s="355" t="s">
        <v>18</v>
      </c>
      <c r="B28" s="355">
        <v>175090</v>
      </c>
    </row>
    <row r="29" spans="1:6">
      <c r="A29" s="355" t="s">
        <v>901</v>
      </c>
      <c r="B29" s="355">
        <v>74</v>
      </c>
      <c r="C29" s="356"/>
      <c r="D29" s="356"/>
      <c r="E29" s="356"/>
      <c r="F29" s="356"/>
    </row>
    <row r="30" spans="1:6">
      <c r="A30" s="341" t="s">
        <v>902</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52892</v>
      </c>
    </row>
    <row r="39" spans="1:6">
      <c r="A39" s="348" t="s">
        <v>30</v>
      </c>
      <c r="B39" s="348" t="s">
        <v>31</v>
      </c>
      <c r="C39" s="334">
        <v>4518</v>
      </c>
      <c r="D39" s="334">
        <v>73542380</v>
      </c>
      <c r="E39" s="334">
        <v>6959</v>
      </c>
      <c r="F39" s="334">
        <v>26582473</v>
      </c>
    </row>
    <row r="40" spans="1:6">
      <c r="A40" s="348" t="s">
        <v>30</v>
      </c>
      <c r="B40" s="348" t="s">
        <v>29</v>
      </c>
      <c r="C40" s="334">
        <v>0</v>
      </c>
      <c r="D40" s="334">
        <v>0</v>
      </c>
      <c r="E40" s="334">
        <v>0</v>
      </c>
      <c r="F40" s="334">
        <v>0</v>
      </c>
    </row>
    <row r="41" spans="1:6">
      <c r="A41" s="348" t="s">
        <v>32</v>
      </c>
      <c r="B41" s="348" t="s">
        <v>33</v>
      </c>
      <c r="C41" s="334">
        <v>41</v>
      </c>
      <c r="D41" s="334">
        <v>869875</v>
      </c>
      <c r="E41" s="334">
        <v>106</v>
      </c>
      <c r="F41" s="334">
        <v>1080927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264439</v>
      </c>
      <c r="E44" s="334">
        <v>15</v>
      </c>
      <c r="F44" s="334">
        <v>136918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167527</v>
      </c>
      <c r="E48" s="334">
        <v>3</v>
      </c>
      <c r="F48" s="334">
        <v>26474</v>
      </c>
    </row>
    <row r="49" spans="1:6">
      <c r="A49" s="348" t="s">
        <v>32</v>
      </c>
      <c r="B49" s="348" t="s">
        <v>40</v>
      </c>
      <c r="C49" s="334">
        <v>3</v>
      </c>
      <c r="D49" s="334">
        <v>102542</v>
      </c>
      <c r="E49" s="334">
        <v>4</v>
      </c>
      <c r="F49" s="334">
        <v>57839</v>
      </c>
    </row>
    <row r="50" spans="1:6">
      <c r="A50" s="348" t="s">
        <v>32</v>
      </c>
      <c r="B50" s="348" t="s">
        <v>41</v>
      </c>
      <c r="C50" s="334">
        <v>5</v>
      </c>
      <c r="D50" s="334">
        <v>528824</v>
      </c>
      <c r="E50" s="334">
        <v>9</v>
      </c>
      <c r="F50" s="334">
        <v>187689</v>
      </c>
    </row>
    <row r="51" spans="1:6">
      <c r="A51" s="348" t="s">
        <v>42</v>
      </c>
      <c r="B51" s="348" t="s">
        <v>43</v>
      </c>
      <c r="C51" s="334">
        <v>15</v>
      </c>
      <c r="D51" s="334">
        <v>1132979</v>
      </c>
      <c r="E51" s="334">
        <v>53</v>
      </c>
      <c r="F51" s="334">
        <v>1237646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1140120</v>
      </c>
    </row>
    <row r="55" spans="1:6">
      <c r="A55" s="348" t="s">
        <v>46</v>
      </c>
      <c r="B55" s="348" t="s">
        <v>29</v>
      </c>
      <c r="C55" s="334">
        <v>0</v>
      </c>
      <c r="D55" s="334">
        <v>0</v>
      </c>
      <c r="E55" s="334">
        <v>0</v>
      </c>
      <c r="F55" s="334">
        <v>0</v>
      </c>
    </row>
    <row r="56" spans="1:6">
      <c r="A56" s="348" t="s">
        <v>48</v>
      </c>
      <c r="B56" s="348" t="s">
        <v>29</v>
      </c>
      <c r="C56" s="334">
        <v>48</v>
      </c>
      <c r="D56" s="334">
        <v>1151874</v>
      </c>
      <c r="E56" s="334">
        <v>146</v>
      </c>
      <c r="F56" s="334">
        <v>654720</v>
      </c>
    </row>
    <row r="57" spans="1:6">
      <c r="A57" s="348" t="s">
        <v>49</v>
      </c>
      <c r="B57" s="348" t="s">
        <v>50</v>
      </c>
      <c r="C57" s="334">
        <v>44</v>
      </c>
      <c r="D57" s="334">
        <v>1344459</v>
      </c>
      <c r="E57" s="334">
        <v>91</v>
      </c>
      <c r="F57" s="334">
        <v>2842999</v>
      </c>
    </row>
    <row r="58" spans="1:6">
      <c r="A58" s="348" t="s">
        <v>49</v>
      </c>
      <c r="B58" s="348" t="s">
        <v>51</v>
      </c>
      <c r="C58" s="334">
        <v>33</v>
      </c>
      <c r="D58" s="334">
        <v>2794590</v>
      </c>
      <c r="E58" s="334">
        <v>50</v>
      </c>
      <c r="F58" s="334">
        <v>1119934</v>
      </c>
    </row>
    <row r="59" spans="1:6">
      <c r="A59" s="348" t="s">
        <v>49</v>
      </c>
      <c r="B59" s="348" t="s">
        <v>52</v>
      </c>
      <c r="C59" s="334">
        <v>82</v>
      </c>
      <c r="D59" s="334">
        <v>3323104</v>
      </c>
      <c r="E59" s="334">
        <v>162</v>
      </c>
      <c r="F59" s="334">
        <v>4723608</v>
      </c>
    </row>
    <row r="60" spans="1:6">
      <c r="A60" s="348" t="s">
        <v>49</v>
      </c>
      <c r="B60" s="348" t="s">
        <v>53</v>
      </c>
      <c r="C60" s="334">
        <v>47</v>
      </c>
      <c r="D60" s="334">
        <v>2734939</v>
      </c>
      <c r="E60" s="334">
        <v>65</v>
      </c>
      <c r="F60" s="334">
        <v>1923118</v>
      </c>
    </row>
    <row r="61" spans="1:6">
      <c r="A61" s="348" t="s">
        <v>49</v>
      </c>
      <c r="B61" s="348" t="s">
        <v>54</v>
      </c>
      <c r="C61" s="334">
        <v>129</v>
      </c>
      <c r="D61" s="334">
        <v>5279992</v>
      </c>
      <c r="E61" s="334">
        <v>301</v>
      </c>
      <c r="F61" s="334">
        <v>3162746</v>
      </c>
    </row>
    <row r="62" spans="1:6">
      <c r="A62" s="348" t="s">
        <v>49</v>
      </c>
      <c r="B62" s="348" t="s">
        <v>55</v>
      </c>
      <c r="C62" s="334">
        <v>12</v>
      </c>
      <c r="D62" s="334">
        <v>2950593</v>
      </c>
      <c r="E62" s="334">
        <v>17</v>
      </c>
      <c r="F62" s="334">
        <v>669449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48855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79442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37772857</v>
      </c>
      <c r="E73" s="476">
        <v>38854571.112193324</v>
      </c>
    </row>
    <row r="74" spans="1:6">
      <c r="A74" s="348" t="s">
        <v>64</v>
      </c>
      <c r="B74" s="348" t="s">
        <v>714</v>
      </c>
      <c r="C74" s="1311" t="s">
        <v>716</v>
      </c>
      <c r="D74" s="476">
        <v>3671972.5112786978</v>
      </c>
      <c r="E74" s="476">
        <v>3800770.8510518023</v>
      </c>
    </row>
    <row r="75" spans="1:6">
      <c r="A75" s="348" t="s">
        <v>65</v>
      </c>
      <c r="B75" s="348" t="s">
        <v>713</v>
      </c>
      <c r="C75" s="1311" t="s">
        <v>717</v>
      </c>
      <c r="D75" s="476">
        <v>23008527</v>
      </c>
      <c r="E75" s="476">
        <v>23718035.638614967</v>
      </c>
    </row>
    <row r="76" spans="1:6">
      <c r="A76" s="348" t="s">
        <v>65</v>
      </c>
      <c r="B76" s="348" t="s">
        <v>714</v>
      </c>
      <c r="C76" s="1311" t="s">
        <v>718</v>
      </c>
      <c r="D76" s="476">
        <v>345369.51127869781</v>
      </c>
      <c r="E76" s="476">
        <v>375205.84012157499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476016.97744260437</v>
      </c>
      <c r="C83" s="476">
        <v>467902.36744317284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5788.4761903739327</v>
      </c>
    </row>
    <row r="92" spans="1:6">
      <c r="A92" s="341" t="s">
        <v>69</v>
      </c>
      <c r="B92" s="342">
        <v>999.96445415291487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1945</v>
      </c>
    </row>
    <row r="98" spans="1:6">
      <c r="A98" s="348" t="s">
        <v>72</v>
      </c>
      <c r="B98" s="334">
        <v>1</v>
      </c>
    </row>
    <row r="99" spans="1:6">
      <c r="A99" s="348" t="s">
        <v>73</v>
      </c>
      <c r="B99" s="334">
        <v>82</v>
      </c>
    </row>
    <row r="100" spans="1:6">
      <c r="A100" s="348" t="s">
        <v>74</v>
      </c>
      <c r="B100" s="334">
        <v>308</v>
      </c>
    </row>
    <row r="101" spans="1:6">
      <c r="A101" s="348" t="s">
        <v>75</v>
      </c>
      <c r="B101" s="334">
        <v>78</v>
      </c>
    </row>
    <row r="102" spans="1:6">
      <c r="A102" s="348" t="s">
        <v>76</v>
      </c>
      <c r="B102" s="334">
        <v>67</v>
      </c>
    </row>
    <row r="103" spans="1:6">
      <c r="A103" s="348" t="s">
        <v>77</v>
      </c>
      <c r="B103" s="334">
        <v>77</v>
      </c>
    </row>
    <row r="104" spans="1:6">
      <c r="A104" s="348" t="s">
        <v>78</v>
      </c>
      <c r="B104" s="334">
        <v>3173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14</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287</v>
      </c>
    </row>
    <row r="130" spans="1:6">
      <c r="A130" s="348" t="s">
        <v>295</v>
      </c>
      <c r="B130" s="334">
        <v>0</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51343.466493068183</v>
      </c>
      <c r="C3" s="43" t="s">
        <v>170</v>
      </c>
      <c r="D3" s="43"/>
      <c r="E3" s="154"/>
      <c r="F3" s="43"/>
      <c r="G3" s="43"/>
      <c r="H3" s="43"/>
      <c r="I3" s="43"/>
      <c r="J3" s="43"/>
      <c r="K3" s="96"/>
    </row>
    <row r="4" spans="1:11">
      <c r="A4" s="384" t="s">
        <v>171</v>
      </c>
      <c r="B4" s="49">
        <f>IF(ISERROR('SEAP template'!B78+'SEAP template'!C78),0,'SEAP template'!B78+'SEAP template'!C78)</f>
        <v>6788.4406445268478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0.19178020856571926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0.19178020856571926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218.65245138994783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26582.473000000002</v>
      </c>
      <c r="C5" s="17">
        <f>IF(ISERROR('Eigen informatie GS &amp; warmtenet'!B57),0,'Eigen informatie GS &amp; warmtenet'!B57)</f>
        <v>0</v>
      </c>
      <c r="D5" s="30">
        <f>(SUM(HH_hh_gas_kWh,HH_rest_gas_kWh)/1000)*0.902</f>
        <v>66335.226760000005</v>
      </c>
      <c r="E5" s="17">
        <f>B46*B57</f>
        <v>3860.4996638125622</v>
      </c>
      <c r="F5" s="17">
        <f>B51*B62</f>
        <v>21103.713405109862</v>
      </c>
      <c r="G5" s="18"/>
      <c r="H5" s="17"/>
      <c r="I5" s="17"/>
      <c r="J5" s="17">
        <f>B50*B61+C50*C61</f>
        <v>0</v>
      </c>
      <c r="K5" s="17"/>
      <c r="L5" s="17"/>
      <c r="M5" s="17"/>
      <c r="N5" s="17">
        <f>B48*B59+C48*C59</f>
        <v>13925.873821945885</v>
      </c>
      <c r="O5" s="17">
        <f>B69*B70*B71</f>
        <v>472.12666666666672</v>
      </c>
      <c r="P5" s="17">
        <f>B77*B78*B79/1000-B77*B78*B79/1000/B80</f>
        <v>686.4</v>
      </c>
    </row>
    <row r="6" spans="1:16">
      <c r="A6" s="16" t="s">
        <v>631</v>
      </c>
      <c r="B6" s="789">
        <f>kWh_PV_kleiner_dan_10kW</f>
        <v>5788.4761903739327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32370.949190373933</v>
      </c>
      <c r="C8" s="21">
        <f>C5</f>
        <v>0</v>
      </c>
      <c r="D8" s="21">
        <f>D5</f>
        <v>66335.226760000005</v>
      </c>
      <c r="E8" s="21">
        <f>E5</f>
        <v>3860.4996638125622</v>
      </c>
      <c r="F8" s="21">
        <f>F5</f>
        <v>21103.713405109862</v>
      </c>
      <c r="G8" s="21"/>
      <c r="H8" s="21"/>
      <c r="I8" s="21"/>
      <c r="J8" s="21">
        <f>J5</f>
        <v>0</v>
      </c>
      <c r="K8" s="21"/>
      <c r="L8" s="21">
        <f>L5</f>
        <v>0</v>
      </c>
      <c r="M8" s="21">
        <f>M5</f>
        <v>0</v>
      </c>
      <c r="N8" s="21">
        <f>N5</f>
        <v>13925.873821945885</v>
      </c>
      <c r="O8" s="21">
        <f>O5</f>
        <v>472.12666666666672</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0.19178020856571926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6208.1073872002135</v>
      </c>
      <c r="C12" s="23">
        <f ca="1">C10*C8</f>
        <v>0</v>
      </c>
      <c r="D12" s="23">
        <f>D8*D10</f>
        <v>13399.715805520002</v>
      </c>
      <c r="E12" s="23">
        <f>E10*E8</f>
        <v>876.33342368545163</v>
      </c>
      <c r="F12" s="23">
        <f>F10*F8</f>
        <v>5634.691479164333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1945</v>
      </c>
      <c r="C18" s="166" t="s">
        <v>111</v>
      </c>
      <c r="D18" s="228"/>
      <c r="E18" s="15"/>
    </row>
    <row r="19" spans="1:7">
      <c r="A19" s="171" t="s">
        <v>72</v>
      </c>
      <c r="B19" s="37">
        <f>aantalw2001_ander</f>
        <v>1</v>
      </c>
      <c r="C19" s="166" t="s">
        <v>111</v>
      </c>
      <c r="D19" s="229"/>
      <c r="E19" s="15"/>
    </row>
    <row r="20" spans="1:7">
      <c r="A20" s="171" t="s">
        <v>73</v>
      </c>
      <c r="B20" s="37">
        <f>aantalw2001_propaan</f>
        <v>82</v>
      </c>
      <c r="C20" s="167">
        <f>IF(ISERROR(B20/SUM($B$20,$B$21,$B$22)*100),0,B20/SUM($B$20,$B$21,$B$22)*100)</f>
        <v>17.52136752136752</v>
      </c>
      <c r="D20" s="229"/>
      <c r="E20" s="15"/>
    </row>
    <row r="21" spans="1:7">
      <c r="A21" s="171" t="s">
        <v>74</v>
      </c>
      <c r="B21" s="37">
        <f>aantalw2001_elektriciteit</f>
        <v>308</v>
      </c>
      <c r="C21" s="167">
        <f>IF(ISERROR(B21/SUM($B$20,$B$21,$B$22)*100),0,B21/SUM($B$20,$B$21,$B$22)*100)</f>
        <v>65.811965811965806</v>
      </c>
      <c r="D21" s="229"/>
      <c r="E21" s="15"/>
    </row>
    <row r="22" spans="1:7">
      <c r="A22" s="171" t="s">
        <v>75</v>
      </c>
      <c r="B22" s="37">
        <f>aantalw2001_hout</f>
        <v>78</v>
      </c>
      <c r="C22" s="167">
        <f>IF(ISERROR(B22/SUM($B$20,$B$21,$B$22)*100),0,B22/SUM($B$20,$B$21,$B$22)*100)</f>
        <v>16.666666666666664</v>
      </c>
      <c r="D22" s="229"/>
      <c r="E22" s="15"/>
    </row>
    <row r="23" spans="1:7">
      <c r="A23" s="171" t="s">
        <v>76</v>
      </c>
      <c r="B23" s="37">
        <f>aantalw2001_niet_gespec</f>
        <v>67</v>
      </c>
      <c r="C23" s="166" t="s">
        <v>111</v>
      </c>
      <c r="D23" s="228"/>
      <c r="E23" s="15"/>
    </row>
    <row r="24" spans="1:7">
      <c r="A24" s="171" t="s">
        <v>77</v>
      </c>
      <c r="B24" s="37">
        <f>aantalw2001_steenkool</f>
        <v>77</v>
      </c>
      <c r="C24" s="166" t="s">
        <v>111</v>
      </c>
      <c r="D24" s="229"/>
      <c r="E24" s="15"/>
    </row>
    <row r="25" spans="1:7">
      <c r="A25" s="171" t="s">
        <v>78</v>
      </c>
      <c r="B25" s="37">
        <f>aantalw2001_stookolie</f>
        <v>3173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6888</v>
      </c>
      <c r="C28" s="36"/>
      <c r="D28" s="228"/>
    </row>
    <row r="29" spans="1:7" s="15" customFormat="1">
      <c r="A29" s="230" t="s">
        <v>741</v>
      </c>
      <c r="B29" s="37">
        <f>SUM(HH_hh_gas_aantal,HH_rest_gas_aantal)</f>
        <v>4518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4518</v>
      </c>
      <c r="C32" s="167">
        <f>IF(ISERROR(B32/SUM($B$32,$B$34,$B$35,$B$36,$B$38,$B$39)*100),0,B32/SUM($B$32,$B$34,$B$35,$B$36,$B$38,$B$39)*100)</f>
        <v>65.936952714535906</v>
      </c>
      <c r="D32" s="233"/>
      <c r="G32" s="15"/>
    </row>
    <row r="33" spans="1:7">
      <c r="A33" s="171" t="s">
        <v>72</v>
      </c>
      <c r="B33" s="34" t="s">
        <v>111</v>
      </c>
      <c r="C33" s="167"/>
      <c r="D33" s="233"/>
      <c r="G33" s="15"/>
    </row>
    <row r="34" spans="1:7">
      <c r="A34" s="171" t="s">
        <v>73</v>
      </c>
      <c r="B34" s="33">
        <f>IF((($B$28-$B$32-$B$39-$B$77-$B$38)*C20/100)&lt;0,0,($B$28-$B$32-$B$39-$B$77-$B$38)*C20/100)</f>
        <v>258.73803418803419</v>
      </c>
      <c r="C34" s="167">
        <f>IF(ISERROR(B34/SUM($B$32,$B$34,$B$35,$B$36,$B$38,$B$39)*100),0,B34/SUM($B$32,$B$34,$B$35,$B$36,$B$38,$B$39)*100)</f>
        <v>3.7760950698779072</v>
      </c>
      <c r="D34" s="233"/>
      <c r="G34" s="15"/>
    </row>
    <row r="35" spans="1:7">
      <c r="A35" s="171" t="s">
        <v>74</v>
      </c>
      <c r="B35" s="33">
        <f>IF((($B$28-$B$32-$B$39-$B$77-$B$38)*C21/100)&lt;0,0,($B$28-$B$32-$B$39-$B$77-$B$38)*C21/100)</f>
        <v>971.84529914529924</v>
      </c>
      <c r="C35" s="167">
        <f>IF(ISERROR(B35/SUM($B$32,$B$34,$B$35,$B$36,$B$38,$B$39)*100),0,B35/SUM($B$32,$B$34,$B$35,$B$36,$B$38,$B$39)*100)</f>
        <v>14.183381481980433</v>
      </c>
      <c r="D35" s="233"/>
      <c r="G35" s="15"/>
    </row>
    <row r="36" spans="1:7">
      <c r="A36" s="171" t="s">
        <v>75</v>
      </c>
      <c r="B36" s="33">
        <f>IF((($B$28-$B$32-$B$39-$B$77-$B$38)*C22/100)&lt;0,0,($B$28-$B$32-$B$39-$B$77-$B$38)*C22/100)</f>
        <v>246.11666666666667</v>
      </c>
      <c r="C36" s="167">
        <f>IF(ISERROR(B36/SUM($B$32,$B$34,$B$35,$B$36,$B$38,$B$39)*100),0,B36/SUM($B$32,$B$34,$B$35,$B$36,$B$38,$B$39)*100)</f>
        <v>3.591895310371668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857.29999999999973</v>
      </c>
      <c r="C39" s="167">
        <f>IF(ISERROR(B39/SUM($B$32,$B$34,$B$35,$B$36,$B$38,$B$39)*100),0,B39/SUM($B$32,$B$34,$B$35,$B$36,$B$38,$B$39)*100)</f>
        <v>12.51167542323409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4518</v>
      </c>
      <c r="C44" s="34" t="s">
        <v>111</v>
      </c>
      <c r="D44" s="174"/>
    </row>
    <row r="45" spans="1:7">
      <c r="A45" s="171" t="s">
        <v>72</v>
      </c>
      <c r="B45" s="33" t="str">
        <f t="shared" si="0"/>
        <v>-</v>
      </c>
      <c r="C45" s="34" t="s">
        <v>111</v>
      </c>
      <c r="D45" s="174"/>
    </row>
    <row r="46" spans="1:7">
      <c r="A46" s="171" t="s">
        <v>73</v>
      </c>
      <c r="B46" s="33">
        <f t="shared" si="0"/>
        <v>258.73803418803419</v>
      </c>
      <c r="C46" s="34" t="s">
        <v>111</v>
      </c>
      <c r="D46" s="174"/>
    </row>
    <row r="47" spans="1:7">
      <c r="A47" s="171" t="s">
        <v>74</v>
      </c>
      <c r="B47" s="33">
        <f t="shared" si="0"/>
        <v>971.84529914529924</v>
      </c>
      <c r="C47" s="34" t="s">
        <v>111</v>
      </c>
      <c r="D47" s="174"/>
    </row>
    <row r="48" spans="1:7">
      <c r="A48" s="171" t="s">
        <v>75</v>
      </c>
      <c r="B48" s="33">
        <f t="shared" si="0"/>
        <v>246.11666666666667</v>
      </c>
      <c r="C48" s="33">
        <f>B48*10</f>
        <v>2461.166666666667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857.29999999999973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14441.853999999999</v>
      </c>
      <c r="C5" s="17">
        <f>IF(ISERROR('Eigen informatie GS &amp; warmtenet'!B58),0,'Eigen informatie GS &amp; warmtenet'!B58)</f>
        <v>0</v>
      </c>
      <c r="D5" s="30">
        <f>SUM(D6:D12)</f>
        <v>16621.764653999999</v>
      </c>
      <c r="E5" s="17">
        <f>SUM(E6:E12)</f>
        <v>151.72295732502667</v>
      </c>
      <c r="F5" s="17">
        <f>SUM(F6:F12)</f>
        <v>2329.0814833619993</v>
      </c>
      <c r="G5" s="18"/>
      <c r="H5" s="17"/>
      <c r="I5" s="17"/>
      <c r="J5" s="17">
        <f>SUM(J6:J12)</f>
        <v>0</v>
      </c>
      <c r="K5" s="17"/>
      <c r="L5" s="17"/>
      <c r="M5" s="17"/>
      <c r="N5" s="17">
        <f>SUM(N6:N12)</f>
        <v>2082.8074299564428</v>
      </c>
      <c r="O5" s="17">
        <f>B38*B39*B40</f>
        <v>0</v>
      </c>
      <c r="P5" s="17">
        <f>B46*B47*B48/1000-B46*B47*B48/1000/B49</f>
        <v>19.066666666666666</v>
      </c>
      <c r="R5" s="32"/>
    </row>
    <row r="6" spans="1:18">
      <c r="A6" s="32" t="s">
        <v>54</v>
      </c>
      <c r="B6" s="37">
        <f>B26</f>
        <v>3162.7460000000001</v>
      </c>
      <c r="C6" s="33"/>
      <c r="D6" s="37">
        <f>IF(ISERROR(TER_kantoor_gas_kWh/1000),0,TER_kantoor_gas_kWh/1000)*0.902</f>
        <v>4762.5527840000004</v>
      </c>
      <c r="E6" s="33">
        <f>$C$26*'E Balans VL '!I12/100/3.6*1000000</f>
        <v>9.1629392026357284</v>
      </c>
      <c r="F6" s="33">
        <f>$C$26*('E Balans VL '!L12+'E Balans VL '!N12)/100/3.6*1000000</f>
        <v>357.95316650311224</v>
      </c>
      <c r="G6" s="34"/>
      <c r="H6" s="33"/>
      <c r="I6" s="33"/>
      <c r="J6" s="33">
        <f>$C$26*('E Balans VL '!D12+'E Balans VL '!E12)/100/3.6*1000000</f>
        <v>0</v>
      </c>
      <c r="K6" s="33"/>
      <c r="L6" s="33"/>
      <c r="M6" s="33"/>
      <c r="N6" s="33">
        <f>$C$26*'E Balans VL '!Y12/100/3.6*1000000</f>
        <v>31.656757044697027</v>
      </c>
      <c r="O6" s="33"/>
      <c r="P6" s="33"/>
      <c r="R6" s="32"/>
    </row>
    <row r="7" spans="1:18">
      <c r="A7" s="32" t="s">
        <v>53</v>
      </c>
      <c r="B7" s="37">
        <f t="shared" ref="B7:B12" si="0">B27</f>
        <v>1923.1179999999999</v>
      </c>
      <c r="C7" s="33"/>
      <c r="D7" s="37">
        <f>IF(ISERROR(TER_horeca_gas_kWh/1000),0,TER_horeca_gas_kWh/1000)*0.902</f>
        <v>2466.9149779999998</v>
      </c>
      <c r="E7" s="33">
        <f>$C$27*'E Balans VL '!I9/100/3.6*1000000</f>
        <v>80.727120554500758</v>
      </c>
      <c r="F7" s="33">
        <f>$C$27*('E Balans VL '!L9+'E Balans VL '!N9)/100/3.6*1000000</f>
        <v>413.22133954890631</v>
      </c>
      <c r="G7" s="34"/>
      <c r="H7" s="33"/>
      <c r="I7" s="33"/>
      <c r="J7" s="33">
        <f>$C$27*('E Balans VL '!D9+'E Balans VL '!E9)/100/3.6*1000000</f>
        <v>0</v>
      </c>
      <c r="K7" s="33"/>
      <c r="L7" s="33"/>
      <c r="M7" s="33"/>
      <c r="N7" s="33">
        <f>$C$27*'E Balans VL '!Y9/100/3.6*1000000</f>
        <v>0.49557069032296808</v>
      </c>
      <c r="O7" s="33"/>
      <c r="P7" s="33"/>
      <c r="R7" s="32"/>
    </row>
    <row r="8" spans="1:18">
      <c r="A8" s="6" t="s">
        <v>52</v>
      </c>
      <c r="B8" s="37">
        <f t="shared" si="0"/>
        <v>4723.6080000000002</v>
      </c>
      <c r="C8" s="33"/>
      <c r="D8" s="37">
        <f>IF(ISERROR(TER_handel_gas_kWh/1000),0,TER_handel_gas_kWh/1000)*0.902</f>
        <v>2997.4398080000001</v>
      </c>
      <c r="E8" s="33">
        <f>$C$28*'E Balans VL '!I13/100/3.6*1000000</f>
        <v>50.735481267183616</v>
      </c>
      <c r="F8" s="33">
        <f>$C$28*('E Balans VL '!L13+'E Balans VL '!N13)/100/3.6*1000000</f>
        <v>611.51006235074806</v>
      </c>
      <c r="G8" s="34"/>
      <c r="H8" s="33"/>
      <c r="I8" s="33"/>
      <c r="J8" s="33">
        <f>$C$28*('E Balans VL '!D13+'E Balans VL '!E13)/100/3.6*1000000</f>
        <v>0</v>
      </c>
      <c r="K8" s="33"/>
      <c r="L8" s="33"/>
      <c r="M8" s="33"/>
      <c r="N8" s="33">
        <f>$C$28*'E Balans VL '!Y13/100/3.6*1000000</f>
        <v>38.318166016211059</v>
      </c>
      <c r="O8" s="33"/>
      <c r="P8" s="33"/>
      <c r="R8" s="32"/>
    </row>
    <row r="9" spans="1:18">
      <c r="A9" s="32" t="s">
        <v>51</v>
      </c>
      <c r="B9" s="37">
        <f t="shared" si="0"/>
        <v>1119.934</v>
      </c>
      <c r="C9" s="33"/>
      <c r="D9" s="37">
        <f>IF(ISERROR(TER_gezond_gas_kWh/1000),0,TER_gezond_gas_kWh/1000)*0.902</f>
        <v>2520.7201800000003</v>
      </c>
      <c r="E9" s="33">
        <f>$C$29*'E Balans VL '!I10/100/3.6*1000000</f>
        <v>0.89153989939051859</v>
      </c>
      <c r="F9" s="33">
        <f>$C$29*('E Balans VL '!L10+'E Balans VL '!N10)/100/3.6*1000000</f>
        <v>136.14416220404485</v>
      </c>
      <c r="G9" s="34"/>
      <c r="H9" s="33"/>
      <c r="I9" s="33"/>
      <c r="J9" s="33">
        <f>$C$29*('E Balans VL '!D10+'E Balans VL '!E10)/100/3.6*1000000</f>
        <v>0</v>
      </c>
      <c r="K9" s="33"/>
      <c r="L9" s="33"/>
      <c r="M9" s="33"/>
      <c r="N9" s="33">
        <f>$C$29*'E Balans VL '!Y10/100/3.6*1000000</f>
        <v>9.0465301449814497</v>
      </c>
      <c r="O9" s="33"/>
      <c r="P9" s="33"/>
      <c r="R9" s="32"/>
    </row>
    <row r="10" spans="1:18">
      <c r="A10" s="32" t="s">
        <v>50</v>
      </c>
      <c r="B10" s="37">
        <f t="shared" si="0"/>
        <v>2842.9989999999998</v>
      </c>
      <c r="C10" s="33"/>
      <c r="D10" s="37">
        <f>IF(ISERROR(TER_ander_gas_kWh/1000),0,TER_ander_gas_kWh/1000)*0.902</f>
        <v>1212.7020180000002</v>
      </c>
      <c r="E10" s="33">
        <f>$C$30*'E Balans VL '!I14/100/3.6*1000000</f>
        <v>9.7431069250226283</v>
      </c>
      <c r="F10" s="33">
        <f>$C$30*('E Balans VL '!L14+'E Balans VL '!N14)/100/3.6*1000000</f>
        <v>635.0104507291835</v>
      </c>
      <c r="G10" s="34"/>
      <c r="H10" s="33"/>
      <c r="I10" s="33"/>
      <c r="J10" s="33">
        <f>$C$30*('E Balans VL '!D14+'E Balans VL '!E14)/100/3.6*1000000</f>
        <v>0</v>
      </c>
      <c r="K10" s="33"/>
      <c r="L10" s="33"/>
      <c r="M10" s="33"/>
      <c r="N10" s="33">
        <f>$C$30*'E Balans VL '!Y14/100/3.6*1000000</f>
        <v>2002.6240265999481</v>
      </c>
      <c r="O10" s="33"/>
      <c r="P10" s="33"/>
      <c r="R10" s="32"/>
    </row>
    <row r="11" spans="1:18">
      <c r="A11" s="32" t="s">
        <v>55</v>
      </c>
      <c r="B11" s="37">
        <f t="shared" si="0"/>
        <v>669.44899999999996</v>
      </c>
      <c r="C11" s="33"/>
      <c r="D11" s="37">
        <f>IF(ISERROR(TER_onderwijs_gas_kWh/1000),0,TER_onderwijs_gas_kWh/1000)*0.902</f>
        <v>2661.434886</v>
      </c>
      <c r="E11" s="33">
        <f>$C$31*'E Balans VL '!I11/100/3.6*1000000</f>
        <v>0.46276947629341536</v>
      </c>
      <c r="F11" s="33">
        <f>$C$31*('E Balans VL '!L11+'E Balans VL '!N11)/100/3.6*1000000</f>
        <v>175.24230202600455</v>
      </c>
      <c r="G11" s="34"/>
      <c r="H11" s="33"/>
      <c r="I11" s="33"/>
      <c r="J11" s="33">
        <f>$C$31*('E Balans VL '!D11+'E Balans VL '!E11)/100/3.6*1000000</f>
        <v>0</v>
      </c>
      <c r="K11" s="33"/>
      <c r="L11" s="33"/>
      <c r="M11" s="33"/>
      <c r="N11" s="33">
        <f>$C$31*'E Balans VL '!Y11/100/3.6*1000000</f>
        <v>0.66637946028215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14441.853999999999</v>
      </c>
      <c r="C16" s="21">
        <f t="shared" ca="1" si="1"/>
        <v>0</v>
      </c>
      <c r="D16" s="21">
        <f t="shared" ca="1" si="1"/>
        <v>16621.764653999999</v>
      </c>
      <c r="E16" s="21">
        <f t="shared" si="1"/>
        <v>151.72295732502667</v>
      </c>
      <c r="F16" s="21">
        <f t="shared" ca="1" si="1"/>
        <v>2329.0814833619993</v>
      </c>
      <c r="G16" s="21">
        <f t="shared" si="1"/>
        <v>0</v>
      </c>
      <c r="H16" s="21">
        <f t="shared" si="1"/>
        <v>0</v>
      </c>
      <c r="I16" s="21">
        <f t="shared" si="1"/>
        <v>0</v>
      </c>
      <c r="J16" s="21">
        <f t="shared" si="1"/>
        <v>0</v>
      </c>
      <c r="K16" s="21">
        <f t="shared" si="1"/>
        <v>0</v>
      </c>
      <c r="L16" s="21">
        <f t="shared" ca="1" si="1"/>
        <v>0</v>
      </c>
      <c r="M16" s="21">
        <f t="shared" si="1"/>
        <v>0</v>
      </c>
      <c r="N16" s="21">
        <f t="shared" ca="1" si="1"/>
        <v>2082.8074299564428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0.19178020856571926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2769.6617721956668</v>
      </c>
      <c r="C20" s="23">
        <f t="shared" ref="C20:P20" ca="1" si="2">C16*C18</f>
        <v>0</v>
      </c>
      <c r="D20" s="23">
        <f t="shared" ca="1" si="2"/>
        <v>3357.596460108</v>
      </c>
      <c r="E20" s="23">
        <f t="shared" si="2"/>
        <v>34.441111312781054</v>
      </c>
      <c r="F20" s="23">
        <f t="shared" ca="1" si="2"/>
        <v>621.86475605765384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3162.7460000000001</v>
      </c>
      <c r="C26" s="39">
        <f>IF(ISERROR(B26*3.6/1000000/'E Balans VL '!Z12*100),0,B26*3.6/1000000/'E Balans VL '!Z12*100)</f>
        <v>6.9473372390527893E-2</v>
      </c>
      <c r="D26" s="237" t="s">
        <v>692</v>
      </c>
      <c r="F26" s="6"/>
    </row>
    <row r="27" spans="1:18">
      <c r="A27" s="231" t="s">
        <v>53</v>
      </c>
      <c r="B27" s="33">
        <f>IF(ISERROR(TER_horeca_ele_kWh/1000),0,TER_horeca_ele_kWh/1000)</f>
        <v>1923.1179999999999</v>
      </c>
      <c r="C27" s="39">
        <f>IF(ISERROR(B27*3.6/1000000/'E Balans VL '!Z9*100),0,B27*3.6/1000000/'E Balans VL '!Z9*100)</f>
        <v>0.15454170116664082</v>
      </c>
      <c r="D27" s="237" t="s">
        <v>692</v>
      </c>
      <c r="F27" s="6"/>
    </row>
    <row r="28" spans="1:18">
      <c r="A28" s="171" t="s">
        <v>52</v>
      </c>
      <c r="B28" s="33">
        <f>IF(ISERROR(TER_handel_ele_kWh/1000),0,TER_handel_ele_kWh/1000)</f>
        <v>4723.6080000000002</v>
      </c>
      <c r="C28" s="39">
        <f>IF(ISERROR(B28*3.6/1000000/'E Balans VL '!Z13*100),0,B28*3.6/1000000/'E Balans VL '!Z13*100)</f>
        <v>0.13967378857816293</v>
      </c>
      <c r="D28" s="237" t="s">
        <v>692</v>
      </c>
      <c r="F28" s="6"/>
    </row>
    <row r="29" spans="1:18">
      <c r="A29" s="231" t="s">
        <v>51</v>
      </c>
      <c r="B29" s="33">
        <f>IF(ISERROR(TER_gezond_ele_kWh/1000),0,TER_gezond_ele_kWh/1000)</f>
        <v>1119.934</v>
      </c>
      <c r="C29" s="39">
        <f>IF(ISERROR(B29*3.6/1000000/'E Balans VL '!Z10*100),0,B29*3.6/1000000/'E Balans VL '!Z10*100)</f>
        <v>0.12618764765290852</v>
      </c>
      <c r="D29" s="237" t="s">
        <v>692</v>
      </c>
      <c r="F29" s="6"/>
    </row>
    <row r="30" spans="1:18">
      <c r="A30" s="231" t="s">
        <v>50</v>
      </c>
      <c r="B30" s="33">
        <f>IF(ISERROR(TER_ander_ele_kWh/1000),0,TER_ander_ele_kWh/1000)</f>
        <v>2842.9989999999998</v>
      </c>
      <c r="C30" s="39">
        <f>IF(ISERROR(B30*3.6/1000000/'E Balans VL '!Z14*100),0,B30*3.6/1000000/'E Balans VL '!Z14*100)</f>
        <v>0.21501115448273089</v>
      </c>
      <c r="D30" s="237" t="s">
        <v>692</v>
      </c>
      <c r="F30" s="6"/>
    </row>
    <row r="31" spans="1:18">
      <c r="A31" s="231" t="s">
        <v>55</v>
      </c>
      <c r="B31" s="33">
        <f>IF(ISERROR(TER_onderwijs_ele_kWh/1000),0,TER_onderwijs_ele_kWh/1000)</f>
        <v>669.44899999999996</v>
      </c>
      <c r="C31" s="39">
        <f>IF(ISERROR(B31*3.6/1000000/'E Balans VL '!Z11*100),0,B31*3.6/1000000/'E Balans VL '!Z11*100)</f>
        <v>0.13896207180862916</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1489.8469999999998</v>
      </c>
      <c r="C5" s="17">
        <f>IF(ISERROR('Eigen informatie GS &amp; warmtenet'!B59),0,'Eigen informatie GS &amp; warmtenet'!B59)</f>
        <v>0</v>
      </c>
      <c r="D5" s="30">
        <f>SUM(D6:D15)</f>
        <v>1743.752714</v>
      </c>
      <c r="E5" s="17">
        <f>SUM(E6:E15)</f>
        <v>304.05067138202713</v>
      </c>
      <c r="F5" s="17">
        <f>SUM(F6:F15)</f>
        <v>1258.0302702554432</v>
      </c>
      <c r="G5" s="18"/>
      <c r="H5" s="17"/>
      <c r="I5" s="17"/>
      <c r="J5" s="17">
        <f>SUM(J6:J15)</f>
        <v>4.6030790671617625</v>
      </c>
      <c r="K5" s="17"/>
      <c r="L5" s="17"/>
      <c r="M5" s="17"/>
      <c r="N5" s="17">
        <f>SUM(N6:N15)</f>
        <v>457.81718828789406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136.91800000000001</v>
      </c>
      <c r="C8" s="33"/>
      <c r="D8" s="37">
        <f>IF( ISERROR(IND_metaal_Gas_kWH/1000),0,IND_metaal_Gas_kWH/1000)*0.902</f>
        <v>238.52397800000003</v>
      </c>
      <c r="E8" s="33">
        <f>C30*'E Balans VL '!I18/100/3.6*1000000</f>
        <v>3.4265783372662488</v>
      </c>
      <c r="F8" s="33">
        <f>C30*'E Balans VL '!L18/100/3.6*1000000+C30*'E Balans VL '!N18/100/3.6*1000000</f>
        <v>42.910782265157792</v>
      </c>
      <c r="G8" s="34"/>
      <c r="H8" s="33"/>
      <c r="I8" s="33"/>
      <c r="J8" s="40">
        <f>C30*'E Balans VL '!D18/100/3.6*1000000+C30*'E Balans VL '!E18/100/3.6*1000000</f>
        <v>0</v>
      </c>
      <c r="K8" s="33"/>
      <c r="L8" s="33"/>
      <c r="M8" s="33"/>
      <c r="N8" s="33">
        <f>C30*'E Balans VL '!Y18/100/3.6*1000000</f>
        <v>3.4397354931952937</v>
      </c>
      <c r="O8" s="33"/>
      <c r="P8" s="33"/>
      <c r="R8" s="32"/>
    </row>
    <row r="9" spans="1:18">
      <c r="A9" s="6" t="s">
        <v>33</v>
      </c>
      <c r="B9" s="37">
        <f t="shared" si="0"/>
        <v>1080.9269999999999</v>
      </c>
      <c r="C9" s="33"/>
      <c r="D9" s="37">
        <f>IF( ISERROR(IND_andere_gas_kWh/1000),0,IND_andere_gas_kWh/1000)*0.902</f>
        <v>784.62725</v>
      </c>
      <c r="E9" s="33">
        <f>C31*'E Balans VL '!I19/100/3.6*1000000</f>
        <v>297.21059071900174</v>
      </c>
      <c r="F9" s="33">
        <f>C31*'E Balans VL '!L19/100/3.6*1000000+C31*'E Balans VL '!N19/100/3.6*1000000</f>
        <v>851.95857080282303</v>
      </c>
      <c r="G9" s="34"/>
      <c r="H9" s="33"/>
      <c r="I9" s="33"/>
      <c r="J9" s="40">
        <f>C31*'E Balans VL '!D19/100/3.6*1000000+C31*'E Balans VL '!E19/100/3.6*1000000</f>
        <v>0</v>
      </c>
      <c r="K9" s="33"/>
      <c r="L9" s="33"/>
      <c r="M9" s="33"/>
      <c r="N9" s="33">
        <f>C31*'E Balans VL '!Y19/100/3.6*1000000</f>
        <v>349.92460159832996</v>
      </c>
      <c r="O9" s="33"/>
      <c r="P9" s="33"/>
      <c r="R9" s="32"/>
    </row>
    <row r="10" spans="1:18">
      <c r="A10" s="6" t="s">
        <v>41</v>
      </c>
      <c r="B10" s="37">
        <f t="shared" si="0"/>
        <v>187.68899999999999</v>
      </c>
      <c r="C10" s="33"/>
      <c r="D10" s="37">
        <f>IF( ISERROR(IND_voed_gas_kWh/1000),0,IND_voed_gas_kWh/1000)*0.902</f>
        <v>476.99924799999997</v>
      </c>
      <c r="E10" s="33">
        <f>C32*'E Balans VL '!I20/100/3.6*1000000</f>
        <v>1.9133859565399056</v>
      </c>
      <c r="F10" s="33">
        <f>C32*'E Balans VL '!L20/100/3.6*1000000+C32*'E Balans VL '!N20/100/3.6*1000000</f>
        <v>354.54334711862083</v>
      </c>
      <c r="G10" s="34"/>
      <c r="H10" s="33"/>
      <c r="I10" s="33"/>
      <c r="J10" s="40">
        <f>C32*'E Balans VL '!D20/100/3.6*1000000+C32*'E Balans VL '!E20/100/3.6*1000000</f>
        <v>4.49201189118837</v>
      </c>
      <c r="K10" s="33"/>
      <c r="L10" s="33"/>
      <c r="M10" s="33"/>
      <c r="N10" s="33">
        <f>C32*'E Balans VL '!Y20/100/3.6*1000000</f>
        <v>98.933722121786161</v>
      </c>
      <c r="O10" s="33"/>
      <c r="P10" s="33"/>
      <c r="R10" s="32"/>
    </row>
    <row r="11" spans="1:18">
      <c r="A11" s="6" t="s">
        <v>40</v>
      </c>
      <c r="B11" s="37">
        <f t="shared" si="0"/>
        <v>57.838999999999999</v>
      </c>
      <c r="C11" s="33"/>
      <c r="D11" s="37">
        <f>IF( ISERROR(IND_textiel_gas_kWh/1000),0,IND_textiel_gas_kWh/1000)*0.902</f>
        <v>92.492884000000004</v>
      </c>
      <c r="E11" s="33">
        <f>C33*'E Balans VL '!I21/100/3.6*1000000</f>
        <v>0.15330164585112357</v>
      </c>
      <c r="F11" s="33">
        <f>C33*'E Balans VL '!L21/100/3.6*1000000+C33*'E Balans VL '!N21/100/3.6*1000000</f>
        <v>2.5831494053713011</v>
      </c>
      <c r="G11" s="34"/>
      <c r="H11" s="33"/>
      <c r="I11" s="33"/>
      <c r="J11" s="40">
        <f>C33*'E Balans VL '!D21/100/3.6*1000000+C33*'E Balans VL '!E21/100/3.6*1000000</f>
        <v>0</v>
      </c>
      <c r="K11" s="33"/>
      <c r="L11" s="33"/>
      <c r="M11" s="33"/>
      <c r="N11" s="33">
        <f>C33*'E Balans VL '!Y21/100/3.6*1000000</f>
        <v>0.54509122924716125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26.474</v>
      </c>
      <c r="C15" s="33"/>
      <c r="D15" s="37">
        <f>IF( ISERROR(IND_rest_gas_kWh/1000),0,IND_rest_gas_kWh/1000)*0.902</f>
        <v>151.109354</v>
      </c>
      <c r="E15" s="33">
        <f>C37*'E Balans VL '!I15/100/3.6*1000000</f>
        <v>1.3468147233681613</v>
      </c>
      <c r="F15" s="33">
        <f>C37*'E Balans VL '!L15/100/3.6*1000000+C37*'E Balans VL '!N15/100/3.6*1000000</f>
        <v>6.0344206634701196</v>
      </c>
      <c r="G15" s="34"/>
      <c r="H15" s="33"/>
      <c r="I15" s="33"/>
      <c r="J15" s="40">
        <f>C37*'E Balans VL '!D15/100/3.6*1000000+C37*'E Balans VL '!E15/100/3.6*1000000</f>
        <v>0.11106717597339258</v>
      </c>
      <c r="K15" s="33"/>
      <c r="L15" s="33"/>
      <c r="M15" s="33"/>
      <c r="N15" s="33">
        <f>C37*'E Balans VL '!Y15/100/3.6*1000000</f>
        <v>4.9740378453355092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1489.8469999999998</v>
      </c>
      <c r="C18" s="21">
        <f>C5+C16</f>
        <v>0</v>
      </c>
      <c r="D18" s="21">
        <f>MAX((D5+D16),0)</f>
        <v>1743.752714</v>
      </c>
      <c r="E18" s="21">
        <f>MAX((E5+E16),0)</f>
        <v>304.05067138202713</v>
      </c>
      <c r="F18" s="21">
        <f>MAX((F5+F16),0)</f>
        <v>1258.0302702554432</v>
      </c>
      <c r="G18" s="21"/>
      <c r="H18" s="21"/>
      <c r="I18" s="21"/>
      <c r="J18" s="21">
        <f>MAX((J5+J16),0)</f>
        <v>4.6030790671617625</v>
      </c>
      <c r="K18" s="21"/>
      <c r="L18" s="21">
        <f>MAX((L5+L16),0)</f>
        <v>0</v>
      </c>
      <c r="M18" s="21"/>
      <c r="N18" s="21">
        <f>MAX((N5+N16),0)</f>
        <v>457.81718828789406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0.19178020856571926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285.72316839101109</v>
      </c>
      <c r="C22" s="23">
        <f ca="1">C18*C20</f>
        <v>0</v>
      </c>
      <c r="D22" s="23">
        <f>D18*D20</f>
        <v>352.23804822800003</v>
      </c>
      <c r="E22" s="23">
        <f>E18*E20</f>
        <v>69.019502403720168</v>
      </c>
      <c r="F22" s="23">
        <f>F18*F20</f>
        <v>335.89408215820333</v>
      </c>
      <c r="G22" s="23"/>
      <c r="H22" s="23"/>
      <c r="I22" s="23"/>
      <c r="J22" s="23">
        <f>J18*J20</f>
        <v>1.6294899897752639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136.91800000000001</v>
      </c>
      <c r="C30" s="39">
        <f>IF(ISERROR(B30*3.6/1000000/'E Balans VL '!Z18*100),0,B30*3.6/1000000/'E Balans VL '!Z18*100)</f>
        <v>1.9163957157242884E-2</v>
      </c>
      <c r="D30" s="237" t="s">
        <v>692</v>
      </c>
    </row>
    <row r="31" spans="1:18">
      <c r="A31" s="6" t="s">
        <v>33</v>
      </c>
      <c r="B31" s="37">
        <f>IF( ISERROR(IND_ander_ele_kWh/1000),0,IND_ander_ele_kWh/1000)</f>
        <v>1080.9269999999999</v>
      </c>
      <c r="C31" s="39">
        <f>IF(ISERROR(B31*3.6/1000000/'E Balans VL '!Z19*100),0,B31*3.6/1000000/'E Balans VL '!Z19*100)</f>
        <v>4.731199943872768E-2</v>
      </c>
      <c r="D31" s="237" t="s">
        <v>692</v>
      </c>
    </row>
    <row r="32" spans="1:18">
      <c r="A32" s="171" t="s">
        <v>41</v>
      </c>
      <c r="B32" s="37">
        <f>IF( ISERROR(IND_voed_ele_kWh/1000),0,IND_voed_ele_kWh/1000)</f>
        <v>187.68899999999999</v>
      </c>
      <c r="C32" s="39">
        <f>IF(ISERROR(B32*3.6/1000000/'E Balans VL '!Z20*100),0,B32*3.6/1000000/'E Balans VL '!Z20*100)</f>
        <v>4.6465563555748032E-2</v>
      </c>
      <c r="D32" s="237" t="s">
        <v>692</v>
      </c>
    </row>
    <row r="33" spans="1:5">
      <c r="A33" s="171" t="s">
        <v>40</v>
      </c>
      <c r="B33" s="37">
        <f>IF( ISERROR(IND_textiel_ele_kWh/1000),0,IND_textiel_ele_kWh/1000)</f>
        <v>57.838999999999999</v>
      </c>
      <c r="C33" s="39">
        <f>IF(ISERROR(B33*3.6/1000000/'E Balans VL '!Z21*100),0,B33*3.6/1000000/'E Balans VL '!Z21*100)</f>
        <v>6.5174364566283737E-3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26.474</v>
      </c>
      <c r="C37" s="39">
        <f>IF(ISERROR(B37*3.6/1000000/'E Balans VL '!Z15*100),0,B37*3.6/1000000/'E Balans VL '!Z15*100)</f>
        <v>1.9630017745939898E-4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1237.646</v>
      </c>
      <c r="C5" s="17">
        <f>'Eigen informatie GS &amp; warmtenet'!B60</f>
        <v>0</v>
      </c>
      <c r="D5" s="30">
        <f>IF(ISERROR(SUM(LB_lb_gas_kWh,LB_rest_gas_kWh)/1000),0,SUM(LB_lb_gas_kWh,LB_rest_gas_kWh)/1000)*0.902</f>
        <v>1021.9470580000001</v>
      </c>
      <c r="E5" s="17">
        <f>B17*'E Balans VL '!I25/3.6*1000000/100</f>
        <v>11.463595625794715</v>
      </c>
      <c r="F5" s="17">
        <f>B17*('E Balans VL '!L25/3.6*1000000+'E Balans VL '!N25/3.6*1000000)/100</f>
        <v>3140.1436733210471</v>
      </c>
      <c r="G5" s="18"/>
      <c r="H5" s="17"/>
      <c r="I5" s="17"/>
      <c r="J5" s="17">
        <f>('E Balans VL '!D25+'E Balans VL '!E25)/3.6*1000000*landbouw!B17/100</f>
        <v>189.74494396967214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1237.646</v>
      </c>
      <c r="C8" s="21">
        <f>C5+C6</f>
        <v>0</v>
      </c>
      <c r="D8" s="21">
        <f>MAX((D5+D6),0)</f>
        <v>1021.9470580000001</v>
      </c>
      <c r="E8" s="21">
        <f>MAX((E5+E6),0)</f>
        <v>11.463595625794715</v>
      </c>
      <c r="F8" s="21">
        <f>MAX((F5+F6),0)</f>
        <v>3140.1436733210471</v>
      </c>
      <c r="G8" s="21"/>
      <c r="H8" s="21"/>
      <c r="I8" s="21"/>
      <c r="J8" s="21">
        <f>MAX((J5+J6),0)</f>
        <v>189.74494396967214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0.19178020856571926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237.35600801052817</v>
      </c>
      <c r="C12" s="23">
        <f ca="1">C8*C10</f>
        <v>0</v>
      </c>
      <c r="D12" s="23">
        <f>D8*D10</f>
        <v>206.43330571600004</v>
      </c>
      <c r="E12" s="23">
        <f>E8*E10</f>
        <v>2.6022362070554004</v>
      </c>
      <c r="F12" s="23">
        <f>F8*F10</f>
        <v>838.41836077671962</v>
      </c>
      <c r="G12" s="23"/>
      <c r="H12" s="23"/>
      <c r="I12" s="23"/>
      <c r="J12" s="23">
        <f>J8*J10</f>
        <v>67.169710165263936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0.1759670185687856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351.96190651890743</v>
      </c>
      <c r="C26" s="247">
        <f>B26*'GWP N2O_CH4'!B5</f>
        <v>7391.2000368970557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151.71215358672865</v>
      </c>
      <c r="C27" s="247">
        <f>B27*'GWP N2O_CH4'!B5</f>
        <v>3185.9552253213014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5.6237608187251276</v>
      </c>
      <c r="C28" s="247">
        <f>B28*'GWP N2O_CH4'!B4</f>
        <v>1743.3658538047896</v>
      </c>
      <c r="D28" s="50"/>
    </row>
    <row r="29" spans="1:4">
      <c r="A29" s="41" t="s">
        <v>277</v>
      </c>
      <c r="B29" s="247">
        <f>B34*'ha_N2O bodem landbouw'!B4</f>
        <v>11.425752616739267</v>
      </c>
      <c r="C29" s="247">
        <f>B29*'GWP N2O_CH4'!B4</f>
        <v>3541.9833111891726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2.5625950209045992E-3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2.9989089699305299E-5</v>
      </c>
      <c r="C5" s="464" t="s">
        <v>211</v>
      </c>
      <c r="D5" s="449">
        <f>SUM(D6:D11)</f>
        <v>8.9553546157953147E-5</v>
      </c>
      <c r="E5" s="449">
        <f>SUM(E6:E11)</f>
        <v>5.5980094345992677E-4</v>
      </c>
      <c r="F5" s="462" t="s">
        <v>211</v>
      </c>
      <c r="G5" s="449">
        <f>SUM(G6:G11)</f>
        <v>0.15087990212581026</v>
      </c>
      <c r="H5" s="449">
        <f>SUM(H6:H11)</f>
        <v>3.3573855826056744E-2</v>
      </c>
      <c r="I5" s="464" t="s">
        <v>211</v>
      </c>
      <c r="J5" s="464" t="s">
        <v>211</v>
      </c>
      <c r="K5" s="464" t="s">
        <v>211</v>
      </c>
      <c r="L5" s="464" t="s">
        <v>211</v>
      </c>
      <c r="M5" s="449">
        <f>SUM(M6:M11)</f>
        <v>9.7612517704097363E-3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1.8636850993258594E-5</v>
      </c>
      <c r="C6" s="450"/>
      <c r="D6" s="893">
        <f>vkm_2011_GW_PW*SUMIFS(TableVerdeelsleutelVkm[CNG],TableVerdeelsleutelVkm[Voertuigtype],"Lichte voertuigen")*SUMIFS(TableECFTransport[EnergieConsumptieFactor (PJ per km)],TableECFTransport[Index],CONCATENATE($A6,"_CNG_CNG"))</f>
        <v>4.3109088179704976E-5</v>
      </c>
      <c r="E6" s="893">
        <f>vkm_2011_GW_PW*SUMIFS(TableVerdeelsleutelVkm[LPG],TableVerdeelsleutelVkm[Voertuigtype],"Lichte voertuigen")*SUMIFS(TableECFTransport[EnergieConsumptieFactor (PJ per km)],TableECFTransport[Index],CONCATENATE($A6,"_LPG_LPG"))</f>
        <v>2.8070034937708509E-4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5.831342088614043E-2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1.6437348264955746E-2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3.8791774160523624E-3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3.4255260455027775E-2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1.1714676971110583E-5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1.9818609849512028E-3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1.1352238706046705E-5</v>
      </c>
      <c r="C8" s="450"/>
      <c r="D8" s="452">
        <f>vkm_2011_NGW_PW*SUMIFS(TableVerdeelsleutelVkm[CNG],TableVerdeelsleutelVkm[Voertuigtype],"Lichte voertuigen")*SUMIFS(TableECFTransport[EnergieConsumptieFactor (PJ per km)],TableECFTransport[Index],CONCATENATE($A8,"_CNG_CNG"))</f>
        <v>4.6444457978248164E-5</v>
      </c>
      <c r="E8" s="452">
        <f>vkm_2011_NGW_PW*SUMIFS(TableVerdeelsleutelVkm[LPG],TableVerdeelsleutelVkm[Voertuigtype],"Lichte voertuigen")*SUMIFS(TableECFTransport[EnergieConsumptieFactor (PJ per km)],TableECFTransport[Index],CONCATENATE($A8,"_LPG_LPG"))</f>
        <v>2.7910059408284168E-4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5.4200925354106463E-2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1.7123462840408103E-2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3.6624118079919953E-3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4.1102954305355949E-3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1.3300437217857231E-6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2.3780156141417589E-4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8.330302694251472</v>
      </c>
      <c r="C14" s="21"/>
      <c r="D14" s="21">
        <f t="shared" ref="D14:M14" si="0">((D5)*10^9/3600)+D12</f>
        <v>24.875985043875872</v>
      </c>
      <c r="E14" s="21">
        <f t="shared" si="0"/>
        <v>155.50026207220188</v>
      </c>
      <c r="F14" s="21"/>
      <c r="G14" s="21">
        <f t="shared" si="0"/>
        <v>41911.083923836188</v>
      </c>
      <c r="H14" s="21">
        <f t="shared" si="0"/>
        <v>9326.0710627935387</v>
      </c>
      <c r="I14" s="21"/>
      <c r="J14" s="21"/>
      <c r="K14" s="21"/>
      <c r="L14" s="21"/>
      <c r="M14" s="21">
        <f t="shared" si="0"/>
        <v>2711.4588251138157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0.19178020856571926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1.5975871881191204</v>
      </c>
      <c r="C18" s="23"/>
      <c r="D18" s="23">
        <f t="shared" ref="D18:M18" si="1">D14*D16</f>
        <v>5.024948978862926</v>
      </c>
      <c r="E18" s="23">
        <f t="shared" si="1"/>
        <v>35.298559490389827</v>
      </c>
      <c r="F18" s="23"/>
      <c r="G18" s="23">
        <f t="shared" si="1"/>
        <v>11190.259407664264</v>
      </c>
      <c r="H18" s="23">
        <f t="shared" si="1"/>
        <v>2322.1916946355909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6.0668543794993807E-3</v>
      </c>
      <c r="H50" s="321">
        <f t="shared" si="2"/>
        <v>0</v>
      </c>
      <c r="I50" s="321">
        <f t="shared" si="2"/>
        <v>0</v>
      </c>
      <c r="J50" s="321">
        <f t="shared" si="2"/>
        <v>0</v>
      </c>
      <c r="K50" s="321">
        <f t="shared" si="2"/>
        <v>0</v>
      </c>
      <c r="L50" s="321">
        <f t="shared" si="2"/>
        <v>0</v>
      </c>
      <c r="M50" s="321">
        <f t="shared" si="2"/>
        <v>3.4597501942694908E-4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6.0668543794993807E-3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3.4597501942694908E-4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1685.2373276387168</v>
      </c>
      <c r="H54" s="21">
        <f t="shared" si="3"/>
        <v>0</v>
      </c>
      <c r="I54" s="21">
        <f t="shared" si="3"/>
        <v>0</v>
      </c>
      <c r="J54" s="21">
        <f t="shared" si="3"/>
        <v>0</v>
      </c>
      <c r="K54" s="21">
        <f t="shared" si="3"/>
        <v>0</v>
      </c>
      <c r="L54" s="21">
        <f t="shared" si="3"/>
        <v>0</v>
      </c>
      <c r="M54" s="21">
        <f t="shared" si="3"/>
        <v>96.104172063041418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0.19178020856571926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449.9583664795374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6788.4406445268478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6788.4406445268478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2019-08-12T08:10:32Z</dcterms:modified>
</cp:coreProperties>
</file>