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G19"/>
  <c r="H89" i="14" s="1"/>
  <c r="H19" i="59" s="1"/>
  <c r="F19" i="18"/>
  <c r="E19"/>
  <c r="F89" i="14" s="1"/>
  <c r="F19" i="59" s="1"/>
  <c r="D19" i="18"/>
  <c r="C19"/>
  <c r="B19"/>
  <c r="N18"/>
  <c r="L88" i="14" s="1"/>
  <c r="M18" i="18"/>
  <c r="L18"/>
  <c r="K18"/>
  <c r="J18"/>
  <c r="J88" i="14" s="1"/>
  <c r="J18" i="59" s="1"/>
  <c r="I18" i="18"/>
  <c r="H18"/>
  <c r="G18"/>
  <c r="H88" i="14" s="1"/>
  <c r="F18" i="18"/>
  <c r="F20" s="1"/>
  <c r="E18"/>
  <c r="F88" i="14" s="1"/>
  <c r="F18" i="59" s="1"/>
  <c r="D18" i="18"/>
  <c r="D20" s="1"/>
  <c r="C18"/>
  <c r="B18"/>
  <c r="L9"/>
  <c r="L10" s="1"/>
  <c r="K9"/>
  <c r="G9"/>
  <c r="F9"/>
  <c r="F10" s="1"/>
  <c r="E9"/>
  <c r="D9"/>
  <c r="E77" i="14" s="1"/>
  <c r="E9" i="59" s="1"/>
  <c r="K22" i="18"/>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J9" s="1"/>
  <c r="J77" i="14" s="1"/>
  <c r="J9" i="59" s="1"/>
  <c r="U89" i="18"/>
  <c r="T89"/>
  <c r="S89"/>
  <c r="R89"/>
  <c r="Q89"/>
  <c r="P89"/>
  <c r="C9" s="1"/>
  <c r="O89"/>
  <c r="N89"/>
  <c r="B9" s="1"/>
  <c r="M89"/>
  <c r="W61"/>
  <c r="V61"/>
  <c r="N6" i="17" s="1"/>
  <c r="U61" i="18"/>
  <c r="T61"/>
  <c r="S61"/>
  <c r="F6" i="17" s="1"/>
  <c r="R61" i="18"/>
  <c r="Q61"/>
  <c r="P61"/>
  <c r="O61"/>
  <c r="N61"/>
  <c r="M61"/>
  <c r="W60"/>
  <c r="V60"/>
  <c r="U60"/>
  <c r="T60"/>
  <c r="S60"/>
  <c r="F13" i="15" s="1"/>
  <c r="R60" i="18"/>
  <c r="Q60"/>
  <c r="P60"/>
  <c r="D13" i="15" s="1"/>
  <c r="O60" i="18"/>
  <c r="C13" i="15" s="1"/>
  <c r="N60" i="18"/>
  <c r="M60"/>
  <c r="W59"/>
  <c r="V59"/>
  <c r="U59"/>
  <c r="T59"/>
  <c r="S59"/>
  <c r="R59"/>
  <c r="Q59"/>
  <c r="P59"/>
  <c r="O59"/>
  <c r="N59"/>
  <c r="M59"/>
  <c r="W58"/>
  <c r="V58"/>
  <c r="U58"/>
  <c r="T58"/>
  <c r="S58"/>
  <c r="R58"/>
  <c r="Q58"/>
  <c r="P58"/>
  <c r="O58"/>
  <c r="B98" s="1"/>
  <c r="N58"/>
  <c r="M58"/>
  <c r="G22"/>
  <c r="F22"/>
  <c r="E22"/>
  <c r="D22"/>
  <c r="C22"/>
  <c r="L20"/>
  <c r="K20"/>
  <c r="D88" i="14"/>
  <c r="D18" i="59" s="1"/>
  <c r="G12" i="18"/>
  <c r="F12"/>
  <c r="E12"/>
  <c r="D12"/>
  <c r="C12"/>
  <c r="K10"/>
  <c r="G10"/>
  <c r="B6"/>
  <c r="B74" i="14" s="1"/>
  <c r="B6" i="59" s="1"/>
  <c r="B5" i="18"/>
  <c r="B73" i="14" s="1"/>
  <c r="B5" i="59" s="1"/>
  <c r="B4" i="18"/>
  <c r="B72" i="14" s="1"/>
  <c r="B4" i="59" s="1"/>
  <c r="L6" i="17"/>
  <c r="D6"/>
  <c r="D5"/>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O11"/>
  <c r="N11"/>
  <c r="M11"/>
  <c r="L11"/>
  <c r="K11"/>
  <c r="J11"/>
  <c r="I11"/>
  <c r="H11"/>
  <c r="G11"/>
  <c r="F11"/>
  <c r="E11"/>
  <c r="D11"/>
  <c r="C11"/>
  <c r="B11"/>
  <c r="P32"/>
  <c r="P29"/>
  <c r="P28"/>
  <c r="P27"/>
  <c r="P25"/>
  <c r="M89" i="14"/>
  <c r="M19" i="59" s="1"/>
  <c r="L89" i="14"/>
  <c r="L19" i="59" s="1"/>
  <c r="K89" i="14"/>
  <c r="K19" i="59" s="1"/>
  <c r="E89" i="14"/>
  <c r="E19" i="59" s="1"/>
  <c r="D89" i="14"/>
  <c r="D19" i="59" s="1"/>
  <c r="M88" i="14"/>
  <c r="M18" i="59" s="1"/>
  <c r="K88" i="14"/>
  <c r="K18" i="59" s="1"/>
  <c r="I88" i="14"/>
  <c r="I18" i="59" s="1"/>
  <c r="E88" i="14"/>
  <c r="E18" i="59" s="1"/>
  <c r="O87" i="14"/>
  <c r="O17" i="59" s="1"/>
  <c r="N87" i="14"/>
  <c r="N17" i="59" s="1"/>
  <c r="L87" i="14"/>
  <c r="L17" i="59" s="1"/>
  <c r="K87" i="14"/>
  <c r="K17" i="59" s="1"/>
  <c r="H87" i="14"/>
  <c r="H17" i="59" s="1"/>
  <c r="G87" i="14"/>
  <c r="G17" i="59" s="1"/>
  <c r="E87" i="14"/>
  <c r="E17" i="59" s="1"/>
  <c r="O77" i="14"/>
  <c r="O9" i="59" s="1"/>
  <c r="N77" i="14"/>
  <c r="L77"/>
  <c r="L9" i="59" s="1"/>
  <c r="L10" s="1"/>
  <c r="K77" i="14"/>
  <c r="K9" i="59" s="1"/>
  <c r="G77" i="14"/>
  <c r="G9" i="59" s="1"/>
  <c r="O76" i="14"/>
  <c r="O8" i="59" s="1"/>
  <c r="N76" i="14"/>
  <c r="N8" i="59" s="1"/>
  <c r="L76" i="14"/>
  <c r="L8" i="59" s="1"/>
  <c r="K76" i="14"/>
  <c r="K8" i="59" s="1"/>
  <c r="K10" s="1"/>
  <c r="H76" i="14"/>
  <c r="H8" i="59" s="1"/>
  <c r="G76" i="14"/>
  <c r="G8" i="59" s="1"/>
  <c r="E76" i="14"/>
  <c r="E8" i="59" s="1"/>
  <c r="B75" i="14"/>
  <c r="B7" i="59" s="1"/>
  <c r="Q54" i="14"/>
  <c r="Q56" s="1"/>
  <c r="P54"/>
  <c r="P56" s="1"/>
  <c r="L54"/>
  <c r="L56" s="1"/>
  <c r="J54"/>
  <c r="J56" s="1"/>
  <c r="I54"/>
  <c r="I56" s="1"/>
  <c r="H54"/>
  <c r="H56" s="1"/>
  <c r="Q24"/>
  <c r="Q26" s="1"/>
  <c r="P24"/>
  <c r="P26" s="1"/>
  <c r="N24"/>
  <c r="L24"/>
  <c r="L26" s="1"/>
  <c r="J24"/>
  <c r="I24"/>
  <c r="H24"/>
  <c r="Q50"/>
  <c r="P50"/>
  <c r="O50"/>
  <c r="M50"/>
  <c r="L50"/>
  <c r="K50"/>
  <c r="J50"/>
  <c r="G50"/>
  <c r="D50"/>
  <c r="Q49"/>
  <c r="P49"/>
  <c r="Q20"/>
  <c r="P20"/>
  <c r="O20"/>
  <c r="M20"/>
  <c r="L20"/>
  <c r="K20"/>
  <c r="J20"/>
  <c r="G20"/>
  <c r="D20"/>
  <c r="Q19"/>
  <c r="P19"/>
  <c r="O19"/>
  <c r="M19"/>
  <c r="L19"/>
  <c r="K19"/>
  <c r="J19"/>
  <c r="I19"/>
  <c r="G19"/>
  <c r="F19"/>
  <c r="E19"/>
  <c r="D19"/>
  <c r="Q48"/>
  <c r="Q52" s="1"/>
  <c r="P48"/>
  <c r="P52" s="1"/>
  <c r="O48"/>
  <c r="M48"/>
  <c r="L48"/>
  <c r="K48"/>
  <c r="J48"/>
  <c r="G48"/>
  <c r="D48"/>
  <c r="Q18"/>
  <c r="P18"/>
  <c r="O18"/>
  <c r="O22" s="1"/>
  <c r="M18"/>
  <c r="L18"/>
  <c r="K18"/>
  <c r="K22" s="1"/>
  <c r="J18"/>
  <c r="J22" s="1"/>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78"/>
  <c r="R44"/>
  <c r="E25"/>
  <c r="E55" s="1"/>
  <c r="C25"/>
  <c r="B14" i="48" s="1"/>
  <c r="N26" i="14"/>
  <c r="J26"/>
  <c r="I26"/>
  <c r="H26"/>
  <c r="R12"/>
  <c r="Q14" i="48" l="1"/>
  <c r="L90" i="14"/>
  <c r="L18" i="59"/>
  <c r="L20" s="1"/>
  <c r="H90" i="14"/>
  <c r="H18" i="59"/>
  <c r="O10"/>
  <c r="H20"/>
  <c r="M22" i="14"/>
  <c r="N10" i="59"/>
  <c r="G88" i="14"/>
  <c r="G18" i="59" s="1"/>
  <c r="K20"/>
  <c r="C98" i="18"/>
  <c r="C101" s="1"/>
  <c r="C16" i="16"/>
  <c r="P22" i="14"/>
  <c r="E20" i="59"/>
  <c r="B16" i="16"/>
  <c r="N78" i="14"/>
  <c r="N9" i="59"/>
  <c r="O31" i="48"/>
  <c r="D14"/>
  <c r="I9" i="18"/>
  <c r="I77" i="14" s="1"/>
  <c r="I9" i="59" s="1"/>
  <c r="K78" i="14"/>
  <c r="B17" i="18"/>
  <c r="B20" s="1"/>
  <c r="M77" i="14"/>
  <c r="M9" i="59" s="1"/>
  <c r="H9" i="18"/>
  <c r="Q22" i="14"/>
  <c r="G10" i="59"/>
  <c r="D22" i="14"/>
  <c r="L22"/>
  <c r="E10" i="59"/>
  <c r="B8" i="18"/>
  <c r="B13" i="15"/>
  <c r="B10" i="18"/>
  <c r="N13" i="15"/>
  <c r="L13"/>
  <c r="F77" i="14"/>
  <c r="F9" i="59" s="1"/>
  <c r="I101" i="18"/>
  <c r="H8" s="1"/>
  <c r="H101"/>
  <c r="D101"/>
  <c r="B101"/>
  <c r="C8" s="1"/>
  <c r="I102"/>
  <c r="H17" s="1"/>
  <c r="E102"/>
  <c r="E17" s="1"/>
  <c r="C102"/>
  <c r="F102"/>
  <c r="H102"/>
  <c r="D102"/>
  <c r="G102"/>
  <c r="B102"/>
  <c r="C17" s="1"/>
  <c r="O19"/>
  <c r="O78" i="14"/>
  <c r="N88"/>
  <c r="D10" i="18"/>
  <c r="E78" i="14"/>
  <c r="D77"/>
  <c r="D9" i="59" s="1"/>
  <c r="H77" i="14"/>
  <c r="O88"/>
  <c r="G89"/>
  <c r="G19" i="59" s="1"/>
  <c r="G20" s="1"/>
  <c r="G20" i="18"/>
  <c r="O18"/>
  <c r="G78" i="14"/>
  <c r="O25" i="48"/>
  <c r="O27"/>
  <c r="Q11"/>
  <c r="O29"/>
  <c r="P31"/>
  <c r="O28"/>
  <c r="Q12"/>
  <c r="O24"/>
  <c r="O30"/>
  <c r="P24"/>
  <c r="P30"/>
  <c r="E90" i="14"/>
  <c r="R9"/>
  <c r="R25"/>
  <c r="K90"/>
  <c r="H78" l="1"/>
  <c r="H9" i="59"/>
  <c r="H10" s="1"/>
  <c r="O90" i="14"/>
  <c r="O18" i="59"/>
  <c r="O20" s="1"/>
  <c r="Q89" i="14"/>
  <c r="P19" i="59" s="1"/>
  <c r="O9" i="18"/>
  <c r="G90" i="14"/>
  <c r="C89"/>
  <c r="C19" i="59" s="1"/>
  <c r="E101" i="18"/>
  <c r="E8" s="1"/>
  <c r="Q77" i="14"/>
  <c r="P9" i="59" s="1"/>
  <c r="F101" i="18"/>
  <c r="N90" i="14"/>
  <c r="N18" i="59"/>
  <c r="N20" s="1"/>
  <c r="B89" i="14"/>
  <c r="B19" i="59" s="1"/>
  <c r="J17" i="18"/>
  <c r="J20" s="1"/>
  <c r="G101"/>
  <c r="I8" s="1"/>
  <c r="I76" i="14" s="1"/>
  <c r="I8" i="59" s="1"/>
  <c r="I10" s="1"/>
  <c r="C77" i="14"/>
  <c r="C9" i="59" s="1"/>
  <c r="H20" i="18"/>
  <c r="M87" i="14"/>
  <c r="F76"/>
  <c r="E10" i="18"/>
  <c r="C20"/>
  <c r="D87" i="14"/>
  <c r="D17" i="59" s="1"/>
  <c r="D20" s="1"/>
  <c r="H10" i="18"/>
  <c r="M76" i="14"/>
  <c r="B88"/>
  <c r="B18" i="59" s="1"/>
  <c r="I17" i="18"/>
  <c r="O17" s="1"/>
  <c r="O20" s="1"/>
  <c r="D76" i="14"/>
  <c r="D8" i="59" s="1"/>
  <c r="D10" s="1"/>
  <c r="C10" i="18"/>
  <c r="J8"/>
  <c r="C88" i="14"/>
  <c r="C18" i="59" s="1"/>
  <c r="B77" i="14"/>
  <c r="B9" i="59" s="1"/>
  <c r="E20" i="18"/>
  <c r="F87" i="14"/>
  <c r="Q88"/>
  <c r="P18" i="59" s="1"/>
  <c r="H14" i="15"/>
  <c r="H16" s="1"/>
  <c r="G14"/>
  <c r="G16" s="1"/>
  <c r="I10" i="14" l="1"/>
  <c r="I16" s="1"/>
  <c r="H5" i="48"/>
  <c r="O8" i="18"/>
  <c r="O10" s="1"/>
  <c r="F78" i="14"/>
  <c r="F8" i="59"/>
  <c r="F10" s="1"/>
  <c r="F90" i="14"/>
  <c r="F17" i="59"/>
  <c r="F20" s="1"/>
  <c r="H10" i="14"/>
  <c r="H16" s="1"/>
  <c r="G5" i="48"/>
  <c r="M78" i="14"/>
  <c r="M8" i="59"/>
  <c r="M10" s="1"/>
  <c r="M90" i="14"/>
  <c r="M17" i="59"/>
  <c r="M20" s="1"/>
  <c r="J87" i="14"/>
  <c r="I10" i="18"/>
  <c r="Q76" i="14"/>
  <c r="D78"/>
  <c r="I78"/>
  <c r="B76"/>
  <c r="J10" i="18"/>
  <c r="J76" i="14"/>
  <c r="I87"/>
  <c r="I17" i="59" s="1"/>
  <c r="I20" s="1"/>
  <c r="I20" i="18"/>
  <c r="Q87" i="14"/>
  <c r="D90"/>
  <c r="C87"/>
  <c r="A31" i="23"/>
  <c r="A32"/>
  <c r="A33"/>
  <c r="B78" i="14" l="1"/>
  <c r="B8" i="59"/>
  <c r="B10" s="1"/>
  <c r="Q90" i="14"/>
  <c r="B17" i="6" s="1"/>
  <c r="P17" i="59"/>
  <c r="P20" s="1"/>
  <c r="Q78" i="14"/>
  <c r="B9" i="6" s="1"/>
  <c r="P8" i="59"/>
  <c r="P10" s="1"/>
  <c r="C90" i="14"/>
  <c r="C17" i="59"/>
  <c r="C20" s="1"/>
  <c r="J78" i="14"/>
  <c r="J8" i="59"/>
  <c r="J10" s="1"/>
  <c r="J90" i="14"/>
  <c r="J17" i="59"/>
  <c r="J20" s="1"/>
  <c r="B87" i="14"/>
  <c r="I90"/>
  <c r="C76"/>
  <c r="B11" i="44"/>
  <c r="B25"/>
  <c r="B24"/>
  <c r="B90" i="14" l="1"/>
  <c r="B17" i="59"/>
  <c r="B20" s="1"/>
  <c r="C78" i="14"/>
  <c r="C8" i="59"/>
  <c r="C10" s="1"/>
  <c r="B4" i="6"/>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5" i="48" l="1"/>
  <c r="L10" i="14"/>
  <c r="L16" s="1"/>
  <c r="L27" s="1"/>
  <c r="L32" i="48"/>
  <c r="L27"/>
  <c r="L24"/>
  <c r="L28"/>
  <c r="L22"/>
  <c r="L31"/>
  <c r="L30"/>
  <c r="L29"/>
  <c r="B7"/>
  <c r="C24" i="14"/>
  <c r="C26" s="1"/>
  <c r="Q11"/>
  <c r="P4" i="48"/>
  <c r="I25"/>
  <c r="I32"/>
  <c r="I28"/>
  <c r="I22"/>
  <c r="I26"/>
  <c r="I29"/>
  <c r="I24"/>
  <c r="I31"/>
  <c r="I27"/>
  <c r="I30"/>
  <c r="E11" i="14"/>
  <c r="D4" i="48"/>
  <c r="D22" s="1"/>
  <c r="D11" i="14"/>
  <c r="C4" i="48"/>
  <c r="G26"/>
  <c r="G30"/>
  <c r="G25"/>
  <c r="G24"/>
  <c r="G29"/>
  <c r="G32"/>
  <c r="G22"/>
  <c r="G23"/>
  <c r="D30"/>
  <c r="D31"/>
  <c r="D29"/>
  <c r="D24"/>
  <c r="D28"/>
  <c r="D32"/>
  <c r="Q10" i="14"/>
  <c r="P5" i="48"/>
  <c r="P23" s="1"/>
  <c r="K28"/>
  <c r="K32"/>
  <c r="K27"/>
  <c r="K30"/>
  <c r="K31"/>
  <c r="K26"/>
  <c r="K24"/>
  <c r="K29"/>
  <c r="K25"/>
  <c r="K22"/>
  <c r="J24"/>
  <c r="J32"/>
  <c r="J29"/>
  <c r="J30"/>
  <c r="J31"/>
  <c r="J28"/>
  <c r="J27"/>
  <c r="P11" i="14"/>
  <c r="O4" i="48"/>
  <c r="H32"/>
  <c r="H29"/>
  <c r="H26"/>
  <c r="H25"/>
  <c r="H28"/>
  <c r="H24"/>
  <c r="H22"/>
  <c r="H30"/>
  <c r="H23"/>
  <c r="C11" i="14"/>
  <c r="B4" i="48"/>
  <c r="F24"/>
  <c r="F32"/>
  <c r="F29"/>
  <c r="F30"/>
  <c r="F27"/>
  <c r="F31"/>
  <c r="F28"/>
  <c r="N24"/>
  <c r="N32"/>
  <c r="N30"/>
  <c r="N29"/>
  <c r="N27"/>
  <c r="N31"/>
  <c r="N28"/>
  <c r="C19" i="14"/>
  <c r="B10" i="48"/>
  <c r="E32"/>
  <c r="E28"/>
  <c r="E30"/>
  <c r="E24"/>
  <c r="E31"/>
  <c r="E29"/>
  <c r="M26"/>
  <c r="M32"/>
  <c r="M22"/>
  <c r="M24"/>
  <c r="M25"/>
  <c r="M29"/>
  <c r="M30"/>
  <c r="M23"/>
  <c r="B8" i="9"/>
  <c r="B6" i="48" s="1"/>
  <c r="Q6" s="1"/>
  <c r="G24" i="14"/>
  <c r="G26" s="1"/>
  <c r="F7" i="48"/>
  <c r="F25" s="1"/>
  <c r="L8"/>
  <c r="L26" s="1"/>
  <c r="M13" i="14"/>
  <c r="C16" i="15"/>
  <c r="C5" i="48" s="1"/>
  <c r="C18" i="16"/>
  <c r="D7" i="48"/>
  <c r="E24" i="14"/>
  <c r="D10"/>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L46" s="1"/>
  <c r="L61"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D16" s="1"/>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H13" i="48"/>
  <c r="H31" s="1"/>
  <c r="I18" i="14"/>
  <c r="P22" i="16"/>
  <c r="Q43" i="14" s="1"/>
  <c r="Q13"/>
  <c r="P8" i="48"/>
  <c r="P26" s="1"/>
  <c r="O22"/>
  <c r="L63" i="14"/>
  <c r="E20"/>
  <c r="E22" s="1"/>
  <c r="D9" i="48"/>
  <c r="D27" s="1"/>
  <c r="P10" i="14"/>
  <c r="O5" i="48"/>
  <c r="O23" s="1"/>
  <c r="G11" i="14"/>
  <c r="F4" i="48"/>
  <c r="F22" s="1"/>
  <c r="K23"/>
  <c r="K33" s="1"/>
  <c r="K15"/>
  <c r="G13"/>
  <c r="H18" i="14"/>
  <c r="J10"/>
  <c r="J16" s="1"/>
  <c r="J27" s="1"/>
  <c r="I5" i="48"/>
  <c r="F20" i="14"/>
  <c r="F22" s="1"/>
  <c r="E9" i="48"/>
  <c r="E27" s="1"/>
  <c r="J46" i="14"/>
  <c r="J61" s="1"/>
  <c r="J63" s="1"/>
  <c r="J7" i="48"/>
  <c r="J25" s="1"/>
  <c r="K24" i="14"/>
  <c r="K26" s="1"/>
  <c r="P22" i="48"/>
  <c r="B9"/>
  <c r="C20" i="14"/>
  <c r="C22" s="1"/>
  <c r="Q16"/>
  <c r="Q27" s="1"/>
  <c r="Q63" s="1"/>
  <c r="J12" i="17"/>
  <c r="K54" i="14" s="1"/>
  <c r="K56" s="1"/>
  <c r="C7" i="48"/>
  <c r="D24" i="14"/>
  <c r="D26" s="1"/>
  <c r="C8" i="48"/>
  <c r="D13" i="14"/>
  <c r="E26"/>
  <c r="D25" i="48"/>
  <c r="M10" i="14"/>
  <c r="L5" i="48"/>
  <c r="E10" i="14"/>
  <c r="D5" i="48"/>
  <c r="B34" i="13"/>
  <c r="N8" i="17"/>
  <c r="B35" i="13"/>
  <c r="B47" s="1"/>
  <c r="O18" i="16"/>
  <c r="B36" i="13"/>
  <c r="G31" i="20"/>
  <c r="H48" i="14" s="1"/>
  <c r="G12" i="22"/>
  <c r="D18" i="16"/>
  <c r="E8" i="17"/>
  <c r="H12" i="22"/>
  <c r="L8" i="17"/>
  <c r="M50" i="22"/>
  <c r="M54" s="1"/>
  <c r="G51"/>
  <c r="G50" s="1"/>
  <c r="G54" s="1"/>
  <c r="F12" i="17"/>
  <c r="G54" i="14" s="1"/>
  <c r="G56" s="1"/>
  <c r="D20" i="15"/>
  <c r="E40" i="14"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B48"/>
  <c r="C48" s="1"/>
  <c r="N5" s="1"/>
  <c r="N8" s="1"/>
  <c r="C50"/>
  <c r="J5" s="1"/>
  <c r="J8" s="1"/>
  <c r="H19" i="14" l="1"/>
  <c r="R19" s="1"/>
  <c r="G10" i="48"/>
  <c r="G31"/>
  <c r="Q13"/>
  <c r="E12" i="13"/>
  <c r="F41" i="14" s="1"/>
  <c r="E4" i="48"/>
  <c r="F11" i="14"/>
  <c r="R18"/>
  <c r="O11"/>
  <c r="N4" i="48"/>
  <c r="N22" s="1"/>
  <c r="E7"/>
  <c r="E25" s="1"/>
  <c r="F24" i="14"/>
  <c r="F26" s="1"/>
  <c r="N52"/>
  <c r="N61" s="1"/>
  <c r="P33" i="48"/>
  <c r="P15"/>
  <c r="M14" i="22"/>
  <c r="N19" i="14"/>
  <c r="M10" i="48"/>
  <c r="M28" s="1"/>
  <c r="O22" i="16"/>
  <c r="P43" i="14" s="1"/>
  <c r="P46" s="1"/>
  <c r="P61" s="1"/>
  <c r="P13"/>
  <c r="O8" i="48"/>
  <c r="K11" i="14"/>
  <c r="J4" i="48"/>
  <c r="I23"/>
  <c r="I33" s="1"/>
  <c r="I15"/>
  <c r="P16" i="14"/>
  <c r="P27" s="1"/>
  <c r="G14" i="22"/>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N22" l="1"/>
  <c r="N27" s="1"/>
  <c r="N63" s="1"/>
  <c r="H20"/>
  <c r="G9" i="48"/>
  <c r="G28"/>
  <c r="Q10"/>
  <c r="O26"/>
  <c r="O33" s="1"/>
  <c r="O15"/>
  <c r="K10" i="14"/>
  <c r="J5" i="48"/>
  <c r="J23" s="1"/>
  <c r="J22"/>
  <c r="N20" i="14"/>
  <c r="M9" i="48"/>
  <c r="E22"/>
  <c r="Q4"/>
  <c r="F10" i="14"/>
  <c r="E5" i="48"/>
  <c r="E23" s="1"/>
  <c r="P63" i="14"/>
  <c r="R11"/>
  <c r="H9" i="48"/>
  <c r="I20" i="14"/>
  <c r="I22" s="1"/>
  <c r="I27" s="1"/>
  <c r="I63" s="1"/>
  <c r="L25" i="48"/>
  <c r="Q7"/>
  <c r="M26" i="14"/>
  <c r="R24"/>
  <c r="R26" s="1"/>
  <c r="E20" i="15"/>
  <c r="F40" i="14" s="1"/>
  <c r="F18" i="16"/>
  <c r="F22" s="1"/>
  <c r="G43" i="14" s="1"/>
  <c r="J18" i="16"/>
  <c r="E18"/>
  <c r="J20" i="15"/>
  <c r="K40" i="14" s="1"/>
  <c r="N18" i="16"/>
  <c r="N22" s="1"/>
  <c r="O43" i="14" s="1"/>
  <c r="G18" i="22"/>
  <c r="H50" i="14" s="1"/>
  <c r="H52" s="1"/>
  <c r="H61" s="1"/>
  <c r="H18" i="22"/>
  <c r="I50" i="14" s="1"/>
  <c r="I52" s="1"/>
  <c r="I61" s="1"/>
  <c r="F13" l="1"/>
  <c r="E8" i="48"/>
  <c r="E26" s="1"/>
  <c r="E33" s="1"/>
  <c r="G27"/>
  <c r="G33" s="1"/>
  <c r="G15"/>
  <c r="Q9"/>
  <c r="H22" i="14"/>
  <c r="H27" s="1"/>
  <c r="H63" s="1"/>
  <c r="R20"/>
  <c r="R22" s="1"/>
  <c r="M27" i="48"/>
  <c r="M33" s="1"/>
  <c r="M15"/>
  <c r="J22" i="16"/>
  <c r="K43" i="14" s="1"/>
  <c r="K13"/>
  <c r="K16" s="1"/>
  <c r="K27" s="1"/>
  <c r="J8" i="48"/>
  <c r="J26" s="1"/>
  <c r="J33" s="1"/>
  <c r="H27"/>
  <c r="H33" s="1"/>
  <c r="H15"/>
  <c r="K46" i="14"/>
  <c r="K61" s="1"/>
  <c r="F16"/>
  <c r="F27" s="1"/>
  <c r="J15" i="48"/>
  <c r="E22" i="16"/>
  <c r="F43" i="14" s="1"/>
  <c r="F46" s="1"/>
  <c r="F61" s="1"/>
  <c r="F63" s="1"/>
  <c r="O13"/>
  <c r="N8" i="48"/>
  <c r="N26" s="1"/>
  <c r="F8"/>
  <c r="G13" i="14"/>
  <c r="K63" l="1"/>
  <c r="R13"/>
  <c r="E15" i="48"/>
  <c r="F26"/>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<sst xmlns="http://schemas.openxmlformats.org/spreadsheetml/2006/main" count="2419" uniqueCount="907">
  <si>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</si>
  <si>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</si>
  <si>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</si>
  <si>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</si>
  <si>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</si>
  <si>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</si>
  <si>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</si>
  <si>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</si>
  <si>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</si>
  <si>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</si>
  <si>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</si>
  <si>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</si>
  <si>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</si>
  <si>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</si>
  <si>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</si>
  <si>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</si>
  <si>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</si>
  <si>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</si>
  <si>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</si>
  <si>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</si>
  <si>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</si>
  <si>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</si>
  <si>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</si>
  <si>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</si>
  <si>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</si>
  <si>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</si>
  <si>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</si>
  <si>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</si>
  <si>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</si>
  <si>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</si>
  <si>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</si>
  <si>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</si>
  <si>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</si>
  <si>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</si>
  <si>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</si>
  <si>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</si>
  <si>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</si>
  <si>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</si>
  <si>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</si>
  <si>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</si>
  <si>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</si>
  <si>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</si>
  <si>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</si>
  <si>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</si>
  <si>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</si>
  <si>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</si>
  <si>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</si>
  <si>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</si>
  <si>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</si>
  <si>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</si>
  <si>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</si>
  <si>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</si>
  <si>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</si>
  <si>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</si>
  <si>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</si>
  <si>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</si>
  <si>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</si>
  <si>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</si>
  <si>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</si>
  <si>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</si>
  <si>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</si>
  <si>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</si>
  <si>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</si>
  <si>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</si>
  <si>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</si>
  <si>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</si>
  <si>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</si>
  <si>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</si>
  <si>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</si>
  <si>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</si>
  <si>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</si>
  <si>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</si>
  <si>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</si>
  <si>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</si>
  <si>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</si>
  <si>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</si>
  <si>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</si>
  <si>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</si>
  <si>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</si>
  <si>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</si>
  <si>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</si>
  <si>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</si>
  <si>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</si>
  <si>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</si>
  <si>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</si>
  <si>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</si>
  <si>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</si>
  <si>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</si>
  <si>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</si>
  <si>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</si>
  <si>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</si>
  <si>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</si>
  <si>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</si>
  <si>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</si>
  <si>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</si>
  <si>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</si>
  <si>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</si>
  <si>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</si>
  <si>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</si>
  <si>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</si>
  <si>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</si>
  <si>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</si>
  <si>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</si>
  <si>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</si>
  <si>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</si>
  <si>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</si>
  <si>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</si>
  <si>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</si>
  <si>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</si>
  <si>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</si>
  <si>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</si>
  <si>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</si>
  <si>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</si>
  <si>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</si>
  <si>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</si>
  <si>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</si>
  <si>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</si>
  <si>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</si>
  <si>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</si>
  <si>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</si>
  <si>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</si>
  <si>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</si>
  <si>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</si>
  <si>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</si>
  <si>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</si>
  <si>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</si>
  <si>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</si>
  <si>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</si>
  <si>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</si>
  <si>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</si>
  <si>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</si>
  <si>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</si>
  <si>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</si>
  <si>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</si>
  <si>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</si>
  <si>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</si>
  <si>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</si>
  <si>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</si>
  <si>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</si>
  <si>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</si>
  <si>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</si>
  <si>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</si>
  <si>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</si>
  <si>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</si>
  <si>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</si>
  <si>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</si>
  <si>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</si>
  <si>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</si>
  <si>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</si>
  <si>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</si>
  <si>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</si>
  <si>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</si>
  <si>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</si>
  <si>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</si>
  <si>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</si>
  <si>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</si>
  <si>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</si>
  <si>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</si>
  <si>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</si>
  <si>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</si>
  <si>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</si>
  <si>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</si>
  <si>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</si>
  <si>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</si>
  <si>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</si>
  <si>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</si>
  <si>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</si>
  <si>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</si>
  <si>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</si>
  <si>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</si>
  <si>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</si>
  <si>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</si>
  <si>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</si>
  <si>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</si>
  <si>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</si>
  <si>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</si>
  <si>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</si>
  <si>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</si>
  <si>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</si>
  <si>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</si>
  <si>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</si>
  <si>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</si>
  <si>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</si>
  <si>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</si>
  <si>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</si>
  <si>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</si>
  <si>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</si>
  <si>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</si>
  <si>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</si>
  <si>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</si>
  <si>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</si>
  <si>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</si>
  <si>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</si>
  <si>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</si>
  <si>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</si>
  <si>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</si>
  <si>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</si>
  <si>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</si>
  <si>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</si>
  <si>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</si>
  <si>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</si>
  <si>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</si>
  <si>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</si>
  <si>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</si>
  <si>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</si>
  <si>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</si>
  <si>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</si>
  <si>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</si>
  <si>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</si>
  <si>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</si>
  <si>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</si>
  <si>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</si>
  <si>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</si>
  <si>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</si>
  <si>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</si>
  <si>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</si>
  <si>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</si>
  <si>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</si>
  <si>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</si>
  <si>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</si>
  <si>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</si>
  <si>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</si>
  <si>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</si>
  <si>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</si>
  <si>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</si>
  <si>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</si>
  <si>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</si>
  <si>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</si>
  <si>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</si>
  <si>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</si>
  <si>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</si>
  <si>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</si>
  <si>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</si>
  <si>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</si>
  <si>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</si>
  <si>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</si>
  <si>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</si>
  <si>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</si>
  <si>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</si>
  <si>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</si>
  <si>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</si>
  <si>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</si>
  <si>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</si>
  <si>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</si>
  <si>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</si>
  <si>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</si>
  <si>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</si>
  <si>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</si>
  <si>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</si>
  <si>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</si>
  <si>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</si>
  <si>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</si>
  <si>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</si>
  <si>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</si>
  <si>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</si>
  <si>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</si>
  <si>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</si>
  <si>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</si>
  <si>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</si>
  <si>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</si>
  <si>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</si>
  <si>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</si>
  <si>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</si>
  <si>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</si>
  <si>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</si>
  <si>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</si>
  <si>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</si>
  <si>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</si>
  <si>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</si>
  <si>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</si>
  <si>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</si>
  <si>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</si>
  <si>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</si>
  <si>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</si>
  <si>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</si>
  <si>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</si>
  <si>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</si>
  <si>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</si>
  <si>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</si>
  <si>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</si>
  <si>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</si>
  <si>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</si>
  <si>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</si>
  <si>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</si>
  <si>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</si>
  <si>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</si>
  <si>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</si>
  <si>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</si>
  <si>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</si>
  <si>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</si>
  <si>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</si>
  <si>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</si>
  <si>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</si>
  <si>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</si>
  <si>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</si>
  <si>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</si>
  <si>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</si>
  <si>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</si>
  <si>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</si>
  <si>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</si>
  <si>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</si>
  <si>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</si>
  <si>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</si>
  <si>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</si>
  <si>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</si>
  <si>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</si>
  <si>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</si>
  <si>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</si>
  <si>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</si>
  <si>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</si>
  <si>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</si>
  <si>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</si>
  <si>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</si>
  <si>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</si>
  <si>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</si>
  <si>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</si>
  <si>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</si>
  <si>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</si>
  <si>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</si>
  <si>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</si>
  <si>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</si>
  <si>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</si>
  <si>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</si>
  <si>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</si>
  <si>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</si>
  <si>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</si>
  <si>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</si>
  <si>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</si>
  <si>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</si>
  <si>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</si>
  <si>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</si>
  <si>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</si>
  <si>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</si>
  <si>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</si>
  <si>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</si>
  <si>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</si>
  <si>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</si>
  <si>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</si>
  <si>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</si>
  <si>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</si>
  <si>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</si>
  <si>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</si>
  <si>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</si>
  <si>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</si>
  <si>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</si>
  <si>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</si>
  <si>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</si>
  <si>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</si>
  <si>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</si>
  <si>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</si>
  <si>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</si>
  <si>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</si>
  <si>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</si>
  <si>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</si>
  <si>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</si>
  <si>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</si>
  <si>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</si>
  <si>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</si>
  <si>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</si>
  <si>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</si>
  <si>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</si>
  <si>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</si>
  <si>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</si>
  <si>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</si>
  <si>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</si>
  <si>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</si>
  <si>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</si>
  <si>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</si>
  <si>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</si>
  <si>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</si>
  <si>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</si>
  <si>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</si>
  <si>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</si>
  <si>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</si>
  <si>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</si>
  <si>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</si>
  <si>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</si>
  <si>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</si>
  <si>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</si>
  <si>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</si>
  <si>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</si>
  <si>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</si>
  <si>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</si>
  <si>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</si>
  <si>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</si>
  <si>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</si>
  <si>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</si>
  <si>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</si>
  <si>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</si>
  <si>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</si>
  <si>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</si>
  <si>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</si>
  <si>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</si>
  <si>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</si>
  <si>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</si>
  <si>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</si>
  <si>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</si>
  <si>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</si>
  <si>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</si>
  <si>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</si>
  <si>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</si>
  <si>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</si>
  <si>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</si>
  <si>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</si>
  <si>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</si>
  <si>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</si>
  <si>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</si>
  <si>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</si>
  <si>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</si>
  <si>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</si>
  <si>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</si>
  <si>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</si>
  <si>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</si>
  <si>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</si>
  <si>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</si>
  <si>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</si>
  <si>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</si>
  <si>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</si>
  <si>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</si>
  <si>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</si>
  <si>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</si>
  <si>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</si>
  <si>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</si>
  <si>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</si>
  <si>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</si>
  <si>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</si>
  <si>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</si>
  <si>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</si>
  <si>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</si>
  <si>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</si>
  <si>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</si>
  <si>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</si>
  <si>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</si>
  <si>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</si>
  <si>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</si>
  <si>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</si>
  <si>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</si>
  <si>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</si>
  <si>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</si>
  <si>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</si>
  <si>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</si>
  <si>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</si>
  <si>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</si>
  <si>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</si>
  <si>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</si>
  <si>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</si>
  <si>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</si>
  <si>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</si>
  <si>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</si>
  <si>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</si>
  <si>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</si>
  <si>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</si>
  <si>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</si>
  <si>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</si>
  <si>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</si>
  <si>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</si>
  <si>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</si>
  <si>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</si>
  <si>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</si>
  <si>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</si>
  <si>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</si>
  <si>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</si>
  <si>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</si>
  <si>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</si>
  <si>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</si>
  <si>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</si>
  <si>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</si>
  <si>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</si>
  <si>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</si>
  <si>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</si>
  <si>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</si>
  <si>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</si>
  <si>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</si>
  <si>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</si>
  <si>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</si>
  <si>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</si>
  <si>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</si>
  <si>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</si>
  <si>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</si>
  <si>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</si>
  <si>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</si>
  <si>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</si>
  <si>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</si>
  <si>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</si>
  <si>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</si>
  <si>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</si>
  <si>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</si>
  <si>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</si>
  <si>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</si>
  <si>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</si>
  <si>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</si>
  <si>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</si>
  <si>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</si>
  <si>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</si>
  <si>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</si>
  <si>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</si>
  <si>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</si>
  <si>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</si>
  <si>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</si>
  <si>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</si>
  <si>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</si>
  <si>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</si>
  <si>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</si>
  <si>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</si>
  <si>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</si>
  <si>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</si>
  <si>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</si>
  <si>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</si>
  <si>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</si>
  <si>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</si>
  <si>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</si>
  <si>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</si>
  <si>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</si>
  <si>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</si>
  <si>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</si>
  <si>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</si>
  <si>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</si>
  <si>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</si>
  <si>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</si>
  <si>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</si>
  <si>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</si>
  <si>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</si>
  <si>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</si>
  <si>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</si>
  <si>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</si>
  <si>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</si>
  <si>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</si>
  <si>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</si>
  <si>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</si>
  <si>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</si>
  <si>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</si>
  <si>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</si>
  <si>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</si>
  <si>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</si>
  <si>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</si>
  <si>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</si>
  <si>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</si>
  <si>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</si>
  <si>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</si>
  <si>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</si>
  <si>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</si>
  <si>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</si>
  <si>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</si>
  <si>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</si>
  <si>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</si>
  <si>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</si>
  <si>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</si>
  <si>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</si>
  <si>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</si>
  <si>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</si>
  <si>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</si>
  <si>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</si>
  <si>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</si>
  <si>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</si>
  <si>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</si>
  <si>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</si>
  <si>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</si>
  <si>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</si>
  <si>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</si>
  <si>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</si>
  <si>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</si>
  <si>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</si>
  <si>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</si>
  <si>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</si>
  <si>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</si>
  <si>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</si>
  <si>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</si>
  <si>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</si>
  <si>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</si>
  <si>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</si>
  <si>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</si>
  <si>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</si>
  <si>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</si>
  <si>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</si>
  <si>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</si>
  <si>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</si>
  <si>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</si>
  <si>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</si>
  <si>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</si>
  <si>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</si>
  <si>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</si>
  <si>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</si>
  <si>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</si>
  <si>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</si>
  <si>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</si>
  <si>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</si>
  <si>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</si>
  <si>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</si>
  <si>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</si>
  <si>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</si>
  <si>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</si>
  <si>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</si>
  <si>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</si>
  <si>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</si>
  <si>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</si>
  <si>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</si>
  <si>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</si>
  <si>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</si>
  <si>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</si>
  <si>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</si>
  <si>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</si>
  <si>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</si>
  <si>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</si>
  <si>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</si>
  <si>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</si>
  <si>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</si>
  <si>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</si>
  <si>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</si>
  <si>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</si>
  <si>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</si>
  <si>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</si>
  <si>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</si>
  <si>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</si>
  <si>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</si>
  <si>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</si>
  <si>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</si>
  <si>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</si>
  <si>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</si>
  <si>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</si>
  <si>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</si>
  <si>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</si>
  <si>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</si>
  <si>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</si>
  <si>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</si>
  <si>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</si>
  <si>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</si>
  <si>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</si>
  <si>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</si>
  <si>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</si>
  <si>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</si>
  <si>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</si>
  <si>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</si>
  <si>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</si>
  <si>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</si>
  <si>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</si>
  <si>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</si>
  <si>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</si>
  <si>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</si>
  <si>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</si>
  <si>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</si>
  <si>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</si>
  <si>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</si>
  <si>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</si>
  <si>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</si>
  <si>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</si>
  <si>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</si>
  <si>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</si>
  <si>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</si>
  <si>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</si>
  <si>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</si>
  <si>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</si>
  <si>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</si>
  <si>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</si>
  <si>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</si>
  <si>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</si>
  <si>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</si>
  <si>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</si>
  <si>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</si>
  <si>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</si>
  <si>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</si>
  <si>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</si>
  <si>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</si>
  <si>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</si>
  <si>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</si>
  <si>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</si>
  <si>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</si>
  <si>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</si>
  <si>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</si>
  <si>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</si>
  <si>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</si>
  <si>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</si>
  <si>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</si>
  <si>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</si>
  <si>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</si>
  <si>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</si>
  <si>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</si>
  <si>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</si>
  <si>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</si>
  <si>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</si>
  <si>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</si>
  <si>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</si>
  <si>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</si>
  <si>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</si>
  <si>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</si>
  <si>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</si>
  <si>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</si>
  <si>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</si>
  <si>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</si>
  <si>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</si>
  <si>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</si>
  <si>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</si>
  <si>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</si>
  <si>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</si>
  <si>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</si>
  <si>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</si>
  <si>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</si>
  <si>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</si>
  <si>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</si>
  <si>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</si>
  <si>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</si>
  <si>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</si>
  <si>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</si>
  <si>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</si>
  <si>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</si>
  <si>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</si>
  <si>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</si>
  <si>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</si>
  <si>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</si>
  <si>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</si>
  <si>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</si>
  <si>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</si>
  <si>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</si>
  <si>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</si>
  <si>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</si>
  <si>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</si>
  <si>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</si>
  <si>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</si>
  <si>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</si>
  <si>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</si>
  <si>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</si>
  <si>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</si>
  <si>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</si>
  <si>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</si>
  <si>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</si>
  <si>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</si>
  <si>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</si>
  <si>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</si>
  <si>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</si>
  <si>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</si>
  <si>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</si>
  <si>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</si>
  <si>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</si>
  <si>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</si>
  <si>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</si>
  <si>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</si>
  <si>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</si>
  <si>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</si>
  <si>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</si>
  <si>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</si>
  <si>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</si>
  <si>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</si>
  <si>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</si>
  <si>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</si>
  <si>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</si>
  <si>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</si>
  <si>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</si>
  <si>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</si>
  <si>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</si>
  <si>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</si>
  <si>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</si>
  <si>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</si>
  <si>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</si>
  <si>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</si>
  <si>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</si>
  <si>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</si>
  <si>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</si>
  <si>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</si>
  <si>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</si>
  <si>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</si>
  <si>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</si>
  <si>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</si>
  <si>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</si>
  <si>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</si>
  <si>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</si>
  <si>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</si>
  <si>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</si>
  <si>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</si>
  <si>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</si>
  <si>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</si>
  <si>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</si>
  <si>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</si>
  <si>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</si>
  <si>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</si>
  <si>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</si>
  <si>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</si>
  <si>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</si>
  <si>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</si>
  <si>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</si>
  <si>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</si>
  <si>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</si>
  <si>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</si>
  <si>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</si>
  <si>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</si>
  <si>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</si>
  <si>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</si>
  <si>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</si>
  <si>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</si>
  <si>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</si>
  <si>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</si>
  <si>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</si>
  <si>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</si>
  <si>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</si>
  <si>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</si>
  <si>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</si>
  <si>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</si>
  <si>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</si>
  <si>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</si>
  <si>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</si>
  <si>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</si>
  <si>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</si>
  <si>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</si>
  <si>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</si>
  <si>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</si>
  <si>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</si>
  <si>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</si>
  <si>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</si>
  <si>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</si>
  <si>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</si>
  <si>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</si>
  <si>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</si>
  <si>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</si>
  <si>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</si>
  <si>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</si>
  <si>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</si>
  <si>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</si>
  <si>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</si>
  <si>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</si>
  <si>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</si>
  <si>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</si>
  <si>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</si>
  <si>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</si>
  <si>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</si>
  <si>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</si>
  <si>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</si>
  <si>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</si>
  <si>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</si>
  <si>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</si>
  <si>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</si>
  <si>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</si>
  <si>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</si>
  <si>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</si>
  <si>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</si>
  <si>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</si>
  <si>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</si>
  <si>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</si>
  <si>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</si>
  <si>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</si>
  <si>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</si>
  <si>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</si>
  <si>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</si>
  <si>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</si>
  <si>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</si>
  <si>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</si>
  <si>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</si>
  <si>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</si>
  <si>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</si>
  <si>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</si>
  <si>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</si>
  <si>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</si>
  <si>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</si>
  <si>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</si>
  <si>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</si>
  <si>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</si>
  <si>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</si>
  <si>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</si>
  <si>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</si>
  <si>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</si>
  <si>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</si>
  <si>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</si>
  <si>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</si>
  <si>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</si>
  <si>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</si>
  <si>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</si>
  <si>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</si>
  <si>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</si>
  <si>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</si>
  <si>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</si>
  <si>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</si>
  <si>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</si>
  <si>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</si>
  <si>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</si>
  <si>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</si>
  <si>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</si>
  <si>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</si>
  <si>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</si>
  <si>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</si>
  <si>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</si>
  <si>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</si>
  <si>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</si>
  <si>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</si>
  <si>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</si>
  <si>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</si>
  <si>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</si>
  <si>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</si>
  <si>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</si>
  <si>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</si>
  <si>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</si>
  <si>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</si>
  <si>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</si>
  <si>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</si>
  <si>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</si>
  <si>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</si>
  <si>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</si>
  <si>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</si>
  <si>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</si>
  <si>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</si>
  <si>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</si>
  <si>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</si>
  <si>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</si>
  <si>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71066</t>
  </si>
  <si>
    <t>ZONHOVEN</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</si>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</sst>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182088.75874653622</c:v>
                </c:pt>
                <c:pt idx="1">
                  <c:v>43891.326079434395</c:v>
                </c:pt>
                <c:pt idx="2">
                  <c:v>1300.8489999999999</c:v>
                </c:pt>
                <c:pt idx="3">
                  <c:v>937.95053597301512</c:v>
                </c:pt>
                <c:pt idx="4">
                  <c:v>229757.70370816908</c:v>
                </c:pt>
                <c:pt idx="5">
                  <c:v>268276.29362015997</c:v>
                </c:pt>
                <c:pt idx="6">
                  <c:v>2593.5334802094662</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43024512"/>
        <c:axId val="143026048"/>
      </c:barChart>
      <c:catAx>
        <c:axId val="143024512"/>
        <c:scaling>
          <c:orientation val="minMax"/>
        </c:scaling>
        <c:axPos val="b"/>
        <c:numFmt formatCode="General" sourceLinked="0"/>
        <c:tickLblPos val="nextTo"/>
        <c:crossAx val="143026048"/>
        <c:crosses val="autoZero"/>
        <c:auto val="1"/>
        <c:lblAlgn val="ctr"/>
        <c:lblOffset val="100"/>
      </c:catAx>
      <c:valAx>
        <c:axId val="143026048"/>
        <c:scaling>
          <c:orientation val="minMax"/>
        </c:scaling>
        <c:axPos val="l"/>
        <c:majorGridlines/>
        <c:numFmt formatCode="#,##0" sourceLinked="1"/>
        <c:tickLblPos val="nextTo"/>
        <c:crossAx val="14302451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182088.75874653622</c:v>
                </c:pt>
                <c:pt idx="1">
                  <c:v>43891.326079434395</c:v>
                </c:pt>
                <c:pt idx="2">
                  <c:v>1300.8489999999999</c:v>
                </c:pt>
                <c:pt idx="3">
                  <c:v>937.95053597301512</c:v>
                </c:pt>
                <c:pt idx="4">
                  <c:v>229757.70370816908</c:v>
                </c:pt>
                <c:pt idx="5">
                  <c:v>268276.29362015997</c:v>
                </c:pt>
                <c:pt idx="6">
                  <c:v>2593.5334802094662</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38825.989455845156</c:v>
                </c:pt>
                <c:pt idx="2">
                  <c:v>8736.8394802646526</c:v>
                </c:pt>
                <c:pt idx="3">
                  <c:v>262.60596980281281</c:v>
                </c:pt>
                <c:pt idx="4">
                  <c:v>230.59204358841939</c:v>
                </c:pt>
                <c:pt idx="5">
                  <c:v>47133.158028555474</c:v>
                </c:pt>
                <c:pt idx="6">
                  <c:v>67295.5782964885</c:v>
                </c:pt>
                <c:pt idx="7">
                  <c:v>655.11418689814593</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47172352"/>
        <c:axId val="147178240"/>
      </c:barChart>
      <c:catAx>
        <c:axId val="147172352"/>
        <c:scaling>
          <c:orientation val="minMax"/>
        </c:scaling>
        <c:axPos val="b"/>
        <c:numFmt formatCode="General" sourceLinked="0"/>
        <c:tickLblPos val="nextTo"/>
        <c:crossAx val="147178240"/>
        <c:crosses val="autoZero"/>
        <c:auto val="1"/>
        <c:lblAlgn val="ctr"/>
        <c:lblOffset val="100"/>
      </c:catAx>
      <c:valAx>
        <c:axId val="147178240"/>
        <c:scaling>
          <c:orientation val="minMax"/>
        </c:scaling>
        <c:axPos val="l"/>
        <c:majorGridlines/>
        <c:numFmt formatCode="#,##0" sourceLinked="1"/>
        <c:tickLblPos val="nextTo"/>
        <c:crossAx val="1471723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38825.989455845156</c:v>
                </c:pt>
                <c:pt idx="2">
                  <c:v>8736.8394802646526</c:v>
                </c:pt>
                <c:pt idx="3">
                  <c:v>262.60596980281281</c:v>
                </c:pt>
                <c:pt idx="4">
                  <c:v>230.59204358841939</c:v>
                </c:pt>
                <c:pt idx="5">
                  <c:v>47133.158028555474</c:v>
                </c:pt>
                <c:pt idx="6">
                  <c:v>67295.5782964885</c:v>
                </c:pt>
                <c:pt idx="7">
                  <c:v>655.11418689814593</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71066</v>
      </c>
      <c r="B6" s="416"/>
      <c r="C6" s="417"/>
    </row>
    <row r="7" spans="1:7" s="414" customFormat="1" ht="15.75" customHeight="1">
      <c r="A7" s="418" t="str">
        <f>txtMunicipality</f>
        <v>ZONHOVEN</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19857.715</v>
      </c>
      <c r="D10" s="1025">
        <f ca="1">tertiair!C16</f>
        <v>0</v>
      </c>
      <c r="E10" s="1025">
        <f ca="1">tertiair!D16</f>
        <v>20848.022514</v>
      </c>
      <c r="F10" s="1025">
        <f>tertiair!E16</f>
        <v>201.32562331361783</v>
      </c>
      <c r="G10" s="1025">
        <f ca="1">tertiair!F16</f>
        <v>2747.9864274421243</v>
      </c>
      <c r="H10" s="1025">
        <f>tertiair!G16</f>
        <v>0</v>
      </c>
      <c r="I10" s="1025">
        <f>tertiair!H16</f>
        <v>0</v>
      </c>
      <c r="J10" s="1025">
        <f>tertiair!I16</f>
        <v>0</v>
      </c>
      <c r="K10" s="1025">
        <f>tertiair!J16</f>
        <v>0</v>
      </c>
      <c r="L10" s="1025">
        <f>tertiair!K16</f>
        <v>0</v>
      </c>
      <c r="M10" s="1025">
        <f ca="1">tertiair!L16</f>
        <v>0</v>
      </c>
      <c r="N10" s="1025">
        <f>tertiair!M16</f>
        <v>0</v>
      </c>
      <c r="O10" s="1025">
        <f ca="1">tertiair!N16</f>
        <v>1478.3621813453153</v>
      </c>
      <c r="P10" s="1025">
        <f>tertiair!O16</f>
        <v>1.5633333333333335</v>
      </c>
      <c r="Q10" s="1026">
        <f>tertiair!P16</f>
        <v>57.2</v>
      </c>
      <c r="R10" s="701">
        <f ca="1">SUM(C10:Q10)</f>
        <v>45192.17507943439</v>
      </c>
      <c r="S10" s="67"/>
    </row>
    <row r="11" spans="1:19" s="474" customFormat="1">
      <c r="A11" s="810" t="s">
        <v>225</v>
      </c>
      <c r="B11" s="815"/>
      <c r="C11" s="1025">
        <f>huishoudens!B8</f>
        <v>38671.663989357978</v>
      </c>
      <c r="D11" s="1025">
        <f>huishoudens!C8</f>
        <v>0</v>
      </c>
      <c r="E11" s="1025">
        <f>huishoudens!D8</f>
        <v>61135.915653999997</v>
      </c>
      <c r="F11" s="1025">
        <f>huishoudens!E8</f>
        <v>3386.0840111541652</v>
      </c>
      <c r="G11" s="1025">
        <f>huishoudens!F8</f>
        <v>67045.46113397555</v>
      </c>
      <c r="H11" s="1025">
        <f>huishoudens!G8</f>
        <v>0</v>
      </c>
      <c r="I11" s="1025">
        <f>huishoudens!H8</f>
        <v>0</v>
      </c>
      <c r="J11" s="1025">
        <f>huishoudens!I8</f>
        <v>0</v>
      </c>
      <c r="K11" s="1025">
        <f>huishoudens!J8</f>
        <v>0</v>
      </c>
      <c r="L11" s="1025">
        <f>huishoudens!K8</f>
        <v>0</v>
      </c>
      <c r="M11" s="1025">
        <f>huishoudens!L8</f>
        <v>0</v>
      </c>
      <c r="N11" s="1025">
        <f>huishoudens!M8</f>
        <v>0</v>
      </c>
      <c r="O11" s="1025">
        <f>huishoudens!N8</f>
        <v>9922.5239580485195</v>
      </c>
      <c r="P11" s="1025">
        <f>huishoudens!O8</f>
        <v>401.7766666666667</v>
      </c>
      <c r="Q11" s="1026">
        <f>huishoudens!P8</f>
        <v>1525.3333333333335</v>
      </c>
      <c r="R11" s="701">
        <f>SUM(C11:Q11)</f>
        <v>182088.75874653622</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42821.624000000003</v>
      </c>
      <c r="D13" s="1025">
        <f>industrie!C18</f>
        <v>0</v>
      </c>
      <c r="E13" s="1025">
        <f>industrie!D18</f>
        <v>116321.75493400001</v>
      </c>
      <c r="F13" s="1025">
        <f>industrie!E18</f>
        <v>1058.531088492407</v>
      </c>
      <c r="G13" s="1025">
        <f>industrie!F18</f>
        <v>54430.415079371545</v>
      </c>
      <c r="H13" s="1025">
        <f>industrie!G18</f>
        <v>0</v>
      </c>
      <c r="I13" s="1025">
        <f>industrie!H18</f>
        <v>0</v>
      </c>
      <c r="J13" s="1025">
        <f>industrie!I18</f>
        <v>0</v>
      </c>
      <c r="K13" s="1025">
        <f>industrie!J18</f>
        <v>617.05365254550861</v>
      </c>
      <c r="L13" s="1025">
        <f>industrie!K18</f>
        <v>0</v>
      </c>
      <c r="M13" s="1025">
        <f>industrie!L18</f>
        <v>0</v>
      </c>
      <c r="N13" s="1025">
        <f>industrie!M18</f>
        <v>0</v>
      </c>
      <c r="O13" s="1025">
        <f>industrie!N18</f>
        <v>14508.324953759649</v>
      </c>
      <c r="P13" s="1025">
        <f>industrie!O18</f>
        <v>0</v>
      </c>
      <c r="Q13" s="1026">
        <f>industrie!P18</f>
        <v>0</v>
      </c>
      <c r="R13" s="701">
        <f>SUM(C13:Q13)</f>
        <v>229757.70370816908</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101351.00298935798</v>
      </c>
      <c r="D16" s="733">
        <f t="shared" ref="D16:R16" ca="1" si="0">SUM(D9:D15)</f>
        <v>0</v>
      </c>
      <c r="E16" s="733">
        <f t="shared" ca="1" si="0"/>
        <v>198305.69310199999</v>
      </c>
      <c r="F16" s="733">
        <f t="shared" si="0"/>
        <v>4645.9407229601893</v>
      </c>
      <c r="G16" s="733">
        <f t="shared" ca="1" si="0"/>
        <v>124223.86264078922</v>
      </c>
      <c r="H16" s="733">
        <f t="shared" si="0"/>
        <v>0</v>
      </c>
      <c r="I16" s="733">
        <f t="shared" si="0"/>
        <v>0</v>
      </c>
      <c r="J16" s="733">
        <f t="shared" si="0"/>
        <v>0</v>
      </c>
      <c r="K16" s="733">
        <f t="shared" si="0"/>
        <v>617.05365254550861</v>
      </c>
      <c r="L16" s="733">
        <f t="shared" si="0"/>
        <v>0</v>
      </c>
      <c r="M16" s="733">
        <f t="shared" ca="1" si="0"/>
        <v>0</v>
      </c>
      <c r="N16" s="733">
        <f t="shared" si="0"/>
        <v>0</v>
      </c>
      <c r="O16" s="733">
        <f t="shared" ca="1" si="0"/>
        <v>25909.211093153484</v>
      </c>
      <c r="P16" s="733">
        <f t="shared" si="0"/>
        <v>403.34000000000003</v>
      </c>
      <c r="Q16" s="733">
        <f t="shared" si="0"/>
        <v>1582.5333333333335</v>
      </c>
      <c r="R16" s="733">
        <f t="shared" ca="1" si="0"/>
        <v>457038.63753413968</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2453.6111868844414</v>
      </c>
      <c r="I19" s="1025">
        <f>transport!H54</f>
        <v>0</v>
      </c>
      <c r="J19" s="1025">
        <f>transport!I54</f>
        <v>0</v>
      </c>
      <c r="K19" s="1025">
        <f>transport!J54</f>
        <v>0</v>
      </c>
      <c r="L19" s="1025">
        <f>transport!K54</f>
        <v>0</v>
      </c>
      <c r="M19" s="1025">
        <f>transport!L54</f>
        <v>0</v>
      </c>
      <c r="N19" s="1025">
        <f>transport!M54</f>
        <v>139.9222933250249</v>
      </c>
      <c r="O19" s="1025">
        <f>transport!N54</f>
        <v>0</v>
      </c>
      <c r="P19" s="1025">
        <f>transport!O54</f>
        <v>0</v>
      </c>
      <c r="Q19" s="1026">
        <f>transport!P54</f>
        <v>0</v>
      </c>
      <c r="R19" s="701">
        <f>SUM(C19:Q19)</f>
        <v>2593.5334802094662</v>
      </c>
      <c r="S19" s="67"/>
    </row>
    <row r="20" spans="1:19" s="474" customFormat="1">
      <c r="A20" s="810" t="s">
        <v>307</v>
      </c>
      <c r="B20" s="815"/>
      <c r="C20" s="1025">
        <f>transport!B14</f>
        <v>34.718242408139723</v>
      </c>
      <c r="D20" s="1025">
        <f>transport!C14</f>
        <v>0</v>
      </c>
      <c r="E20" s="1025">
        <f>transport!D14</f>
        <v>90.77026423078766</v>
      </c>
      <c r="F20" s="1025">
        <f>transport!E14</f>
        <v>668.60733311560443</v>
      </c>
      <c r="G20" s="1025">
        <f>transport!F14</f>
        <v>0</v>
      </c>
      <c r="H20" s="1025">
        <f>transport!G14</f>
        <v>218483.73829408485</v>
      </c>
      <c r="I20" s="1025">
        <f>transport!H14</f>
        <v>35274.305408742031</v>
      </c>
      <c r="J20" s="1025">
        <f>transport!I14</f>
        <v>0</v>
      </c>
      <c r="K20" s="1025">
        <f>transport!J14</f>
        <v>0</v>
      </c>
      <c r="L20" s="1025">
        <f>transport!K14</f>
        <v>0</v>
      </c>
      <c r="M20" s="1025">
        <f>transport!L14</f>
        <v>0</v>
      </c>
      <c r="N20" s="1025">
        <f>transport!M14</f>
        <v>13724.154077578578</v>
      </c>
      <c r="O20" s="1025">
        <f>transport!N14</f>
        <v>0</v>
      </c>
      <c r="P20" s="1025">
        <f>transport!O14</f>
        <v>0</v>
      </c>
      <c r="Q20" s="1026">
        <f>transport!P14</f>
        <v>0</v>
      </c>
      <c r="R20" s="701">
        <f>SUM(C20:Q20)</f>
        <v>268276.29362015997</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34.718242408139723</v>
      </c>
      <c r="D22" s="813">
        <f t="shared" ref="D22:R22" si="1">SUM(D18:D21)</f>
        <v>0</v>
      </c>
      <c r="E22" s="813">
        <f t="shared" si="1"/>
        <v>90.77026423078766</v>
      </c>
      <c r="F22" s="813">
        <f t="shared" si="1"/>
        <v>668.60733311560443</v>
      </c>
      <c r="G22" s="813">
        <f t="shared" si="1"/>
        <v>0</v>
      </c>
      <c r="H22" s="813">
        <f t="shared" si="1"/>
        <v>220937.34948096928</v>
      </c>
      <c r="I22" s="813">
        <f t="shared" si="1"/>
        <v>35274.305408742031</v>
      </c>
      <c r="J22" s="813">
        <f t="shared" si="1"/>
        <v>0</v>
      </c>
      <c r="K22" s="813">
        <f t="shared" si="1"/>
        <v>0</v>
      </c>
      <c r="L22" s="813">
        <f t="shared" si="1"/>
        <v>0</v>
      </c>
      <c r="M22" s="813">
        <f t="shared" si="1"/>
        <v>0</v>
      </c>
      <c r="N22" s="813">
        <f t="shared" si="1"/>
        <v>13864.076370903604</v>
      </c>
      <c r="O22" s="813">
        <f t="shared" si="1"/>
        <v>0</v>
      </c>
      <c r="P22" s="813">
        <f t="shared" si="1"/>
        <v>0</v>
      </c>
      <c r="Q22" s="813">
        <f t="shared" si="1"/>
        <v>0</v>
      </c>
      <c r="R22" s="813">
        <f t="shared" si="1"/>
        <v>270869.82710036944</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218.37799999999999</v>
      </c>
      <c r="D24" s="1025">
        <f>+landbouw!C8</f>
        <v>0</v>
      </c>
      <c r="E24" s="1025">
        <f>+landbouw!D8</f>
        <v>130.003456</v>
      </c>
      <c r="F24" s="1025">
        <f>+landbouw!E8</f>
        <v>2.0227085011140491</v>
      </c>
      <c r="G24" s="1025">
        <f>+landbouw!F8</f>
        <v>554.06658696630825</v>
      </c>
      <c r="H24" s="1025">
        <f>+landbouw!G8</f>
        <v>0</v>
      </c>
      <c r="I24" s="1025">
        <f>+landbouw!H8</f>
        <v>0</v>
      </c>
      <c r="J24" s="1025">
        <f>+landbouw!I8</f>
        <v>0</v>
      </c>
      <c r="K24" s="1025">
        <f>+landbouw!J8</f>
        <v>33.479784505592924</v>
      </c>
      <c r="L24" s="1025">
        <f>+landbouw!K8</f>
        <v>0</v>
      </c>
      <c r="M24" s="1025">
        <f>+landbouw!L8</f>
        <v>0</v>
      </c>
      <c r="N24" s="1025">
        <f>+landbouw!M8</f>
        <v>0</v>
      </c>
      <c r="O24" s="1025">
        <f>+landbouw!N8</f>
        <v>0</v>
      </c>
      <c r="P24" s="1025">
        <f>+landbouw!O8</f>
        <v>0</v>
      </c>
      <c r="Q24" s="1026">
        <f>+landbouw!P8</f>
        <v>0</v>
      </c>
      <c r="R24" s="701">
        <f>SUM(C24:Q24)</f>
        <v>937.95053597301512</v>
      </c>
      <c r="S24" s="67"/>
    </row>
    <row r="25" spans="1:19" s="474" customFormat="1" ht="15" thickBot="1">
      <c r="A25" s="832" t="s">
        <v>864</v>
      </c>
      <c r="B25" s="1028"/>
      <c r="C25" s="1029">
        <f>IF(Onbekend_ele_kWh="---",0,Onbekend_ele_kWh)/1000+IF(REST_rest_ele_kWh="---",0,REST_rest_ele_kWh)/1000</f>
        <v>813.577</v>
      </c>
      <c r="D25" s="1029"/>
      <c r="E25" s="1029">
        <f>IF(onbekend_gas_kWh="---",0,onbekend_gas_kWh)/1000+IF(REST_rest_gas_kWh="---",0,REST_rest_gas_kWh)/1000</f>
        <v>1435.423</v>
      </c>
      <c r="F25" s="1029"/>
      <c r="G25" s="1029"/>
      <c r="H25" s="1029"/>
      <c r="I25" s="1029"/>
      <c r="J25" s="1029"/>
      <c r="K25" s="1029"/>
      <c r="L25" s="1029"/>
      <c r="M25" s="1029"/>
      <c r="N25" s="1029"/>
      <c r="O25" s="1029"/>
      <c r="P25" s="1029"/>
      <c r="Q25" s="1030"/>
      <c r="R25" s="701">
        <f>SUM(C25:Q25)</f>
        <v>2249</v>
      </c>
      <c r="S25" s="67"/>
    </row>
    <row r="26" spans="1:19" s="474" customFormat="1" ht="15.75" thickBot="1">
      <c r="A26" s="706" t="s">
        <v>865</v>
      </c>
      <c r="B26" s="818"/>
      <c r="C26" s="813">
        <f>SUM(C24:C25)</f>
        <v>1031.9549999999999</v>
      </c>
      <c r="D26" s="813">
        <f t="shared" ref="D26:R26" si="2">SUM(D24:D25)</f>
        <v>0</v>
      </c>
      <c r="E26" s="813">
        <f t="shared" si="2"/>
        <v>1565.4264559999999</v>
      </c>
      <c r="F26" s="813">
        <f t="shared" si="2"/>
        <v>2.0227085011140491</v>
      </c>
      <c r="G26" s="813">
        <f t="shared" si="2"/>
        <v>554.06658696630825</v>
      </c>
      <c r="H26" s="813">
        <f t="shared" si="2"/>
        <v>0</v>
      </c>
      <c r="I26" s="813">
        <f t="shared" si="2"/>
        <v>0</v>
      </c>
      <c r="J26" s="813">
        <f t="shared" si="2"/>
        <v>0</v>
      </c>
      <c r="K26" s="813">
        <f t="shared" si="2"/>
        <v>33.479784505592924</v>
      </c>
      <c r="L26" s="813">
        <f t="shared" si="2"/>
        <v>0</v>
      </c>
      <c r="M26" s="813">
        <f t="shared" si="2"/>
        <v>0</v>
      </c>
      <c r="N26" s="813">
        <f t="shared" si="2"/>
        <v>0</v>
      </c>
      <c r="O26" s="813">
        <f t="shared" si="2"/>
        <v>0</v>
      </c>
      <c r="P26" s="813">
        <f t="shared" si="2"/>
        <v>0</v>
      </c>
      <c r="Q26" s="813">
        <f t="shared" si="2"/>
        <v>0</v>
      </c>
      <c r="R26" s="813">
        <f t="shared" si="2"/>
        <v>3186.9505359730151</v>
      </c>
      <c r="S26" s="67"/>
    </row>
    <row r="27" spans="1:19" s="474" customFormat="1" ht="17.25" thickTop="1" thickBot="1">
      <c r="A27" s="707" t="s">
        <v>116</v>
      </c>
      <c r="B27" s="806"/>
      <c r="C27" s="708">
        <f ca="1">C22+C16+C26</f>
        <v>102417.67623176612</v>
      </c>
      <c r="D27" s="708">
        <f t="shared" ref="D27:R27" ca="1" si="3">D22+D16+D26</f>
        <v>0</v>
      </c>
      <c r="E27" s="708">
        <f t="shared" ca="1" si="3"/>
        <v>199961.88982223076</v>
      </c>
      <c r="F27" s="708">
        <f t="shared" si="3"/>
        <v>5316.5707645769071</v>
      </c>
      <c r="G27" s="708">
        <f t="shared" ca="1" si="3"/>
        <v>124777.92922775552</v>
      </c>
      <c r="H27" s="708">
        <f t="shared" si="3"/>
        <v>220937.34948096928</v>
      </c>
      <c r="I27" s="708">
        <f t="shared" si="3"/>
        <v>35274.305408742031</v>
      </c>
      <c r="J27" s="708">
        <f t="shared" si="3"/>
        <v>0</v>
      </c>
      <c r="K27" s="708">
        <f t="shared" si="3"/>
        <v>650.53343705110149</v>
      </c>
      <c r="L27" s="708">
        <f t="shared" si="3"/>
        <v>0</v>
      </c>
      <c r="M27" s="708">
        <f t="shared" ca="1" si="3"/>
        <v>0</v>
      </c>
      <c r="N27" s="708">
        <f t="shared" si="3"/>
        <v>13864.076370903604</v>
      </c>
      <c r="O27" s="708">
        <f t="shared" ca="1" si="3"/>
        <v>25909.211093153484</v>
      </c>
      <c r="P27" s="708">
        <f t="shared" si="3"/>
        <v>403.34000000000003</v>
      </c>
      <c r="Q27" s="708">
        <f t="shared" si="3"/>
        <v>1582.5333333333335</v>
      </c>
      <c r="R27" s="708">
        <f t="shared" ca="1" si="3"/>
        <v>731095.41517048213</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4008.731609620228</v>
      </c>
      <c r="D40" s="1025">
        <f ca="1">tertiair!C20</f>
        <v>0</v>
      </c>
      <c r="E40" s="1025">
        <f ca="1">tertiair!D20</f>
        <v>4211.3005478280002</v>
      </c>
      <c r="F40" s="1025">
        <f>tertiair!E20</f>
        <v>45.700916492191247</v>
      </c>
      <c r="G40" s="1025">
        <f ca="1">tertiair!F20</f>
        <v>733.71237612704726</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8999.4454500674656</v>
      </c>
    </row>
    <row r="41" spans="1:18">
      <c r="A41" s="823" t="s">
        <v>225</v>
      </c>
      <c r="B41" s="830"/>
      <c r="C41" s="1025">
        <f ca="1">huishoudens!B12</f>
        <v>7806.7553004336896</v>
      </c>
      <c r="D41" s="1025">
        <f ca="1">huishoudens!C12</f>
        <v>0</v>
      </c>
      <c r="E41" s="1025">
        <f>huishoudens!D12</f>
        <v>12349.454962108</v>
      </c>
      <c r="F41" s="1025">
        <f>huishoudens!E12</f>
        <v>768.64107053199552</v>
      </c>
      <c r="G41" s="1025">
        <f>huishoudens!F12</f>
        <v>17901.138122771474</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38825.989455845156</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8644.5191556063819</v>
      </c>
      <c r="D43" s="1025">
        <f ca="1">industrie!C22</f>
        <v>0</v>
      </c>
      <c r="E43" s="1025">
        <f>industrie!D22</f>
        <v>23496.994496668005</v>
      </c>
      <c r="F43" s="1025">
        <f>industrie!E22</f>
        <v>240.2865570877764</v>
      </c>
      <c r="G43" s="1025">
        <f>industrie!F22</f>
        <v>14532.920826192203</v>
      </c>
      <c r="H43" s="1025">
        <f>industrie!G22</f>
        <v>0</v>
      </c>
      <c r="I43" s="1025">
        <f>industrie!H22</f>
        <v>0</v>
      </c>
      <c r="J43" s="1025">
        <f>industrie!I22</f>
        <v>0</v>
      </c>
      <c r="K43" s="1025">
        <f>industrie!J22</f>
        <v>218.43699300111004</v>
      </c>
      <c r="L43" s="1025">
        <f>industrie!K22</f>
        <v>0</v>
      </c>
      <c r="M43" s="1025">
        <f>industrie!L22</f>
        <v>0</v>
      </c>
      <c r="N43" s="1025">
        <f>industrie!M22</f>
        <v>0</v>
      </c>
      <c r="O43" s="1025">
        <f>industrie!N22</f>
        <v>0</v>
      </c>
      <c r="P43" s="1025">
        <f>industrie!O22</f>
        <v>0</v>
      </c>
      <c r="Q43" s="775">
        <f>industrie!P22</f>
        <v>0</v>
      </c>
      <c r="R43" s="850">
        <f t="shared" ca="1" si="4"/>
        <v>47133.158028555474</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20460.006065660302</v>
      </c>
      <c r="D46" s="733">
        <f t="shared" ref="D46:Q46" ca="1" si="5">SUM(D39:D45)</f>
        <v>0</v>
      </c>
      <c r="E46" s="733">
        <f t="shared" ca="1" si="5"/>
        <v>40057.750006604008</v>
      </c>
      <c r="F46" s="733">
        <f t="shared" si="5"/>
        <v>1054.6285441119633</v>
      </c>
      <c r="G46" s="733">
        <f t="shared" ca="1" si="5"/>
        <v>33167.771325090725</v>
      </c>
      <c r="H46" s="733">
        <f t="shared" si="5"/>
        <v>0</v>
      </c>
      <c r="I46" s="733">
        <f t="shared" si="5"/>
        <v>0</v>
      </c>
      <c r="J46" s="733">
        <f t="shared" si="5"/>
        <v>0</v>
      </c>
      <c r="K46" s="733">
        <f t="shared" si="5"/>
        <v>218.43699300111004</v>
      </c>
      <c r="L46" s="733">
        <f t="shared" si="5"/>
        <v>0</v>
      </c>
      <c r="M46" s="733">
        <f t="shared" ca="1" si="5"/>
        <v>0</v>
      </c>
      <c r="N46" s="733">
        <f t="shared" si="5"/>
        <v>0</v>
      </c>
      <c r="O46" s="733">
        <f t="shared" ca="1" si="5"/>
        <v>0</v>
      </c>
      <c r="P46" s="733">
        <f t="shared" si="5"/>
        <v>0</v>
      </c>
      <c r="Q46" s="733">
        <f t="shared" si="5"/>
        <v>0</v>
      </c>
      <c r="R46" s="733">
        <f ca="1">SUM(R39:R45)</f>
        <v>94958.592934468092</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655.11418689814593</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655.11418689814593</v>
      </c>
    </row>
    <row r="50" spans="1:18">
      <c r="A50" s="826" t="s">
        <v>307</v>
      </c>
      <c r="B50" s="836"/>
      <c r="C50" s="704">
        <f ca="1">transport!B18</f>
        <v>7.0086671992204135</v>
      </c>
      <c r="D50" s="704">
        <f>transport!C18</f>
        <v>0</v>
      </c>
      <c r="E50" s="704">
        <f>transport!D18</f>
        <v>18.335593374619108</v>
      </c>
      <c r="F50" s="704">
        <f>transport!E18</f>
        <v>151.77386461724222</v>
      </c>
      <c r="G50" s="704">
        <f>transport!F18</f>
        <v>0</v>
      </c>
      <c r="H50" s="704">
        <f>transport!G18</f>
        <v>58335.158124520654</v>
      </c>
      <c r="I50" s="704">
        <f>transport!H18</f>
        <v>8783.3020467767656</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67295.5782964885</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7.0086671992204135</v>
      </c>
      <c r="D52" s="733">
        <f t="shared" ref="D52:Q52" ca="1" si="6">SUM(D48:D51)</f>
        <v>0</v>
      </c>
      <c r="E52" s="733">
        <f t="shared" si="6"/>
        <v>18.335593374619108</v>
      </c>
      <c r="F52" s="733">
        <f t="shared" si="6"/>
        <v>151.77386461724222</v>
      </c>
      <c r="G52" s="733">
        <f t="shared" si="6"/>
        <v>0</v>
      </c>
      <c r="H52" s="733">
        <f t="shared" si="6"/>
        <v>58990.272311418797</v>
      </c>
      <c r="I52" s="733">
        <f t="shared" si="6"/>
        <v>8783.3020467767656</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67950.692483386651</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44.08456821168226</v>
      </c>
      <c r="D54" s="704">
        <f ca="1">+landbouw!C12</f>
        <v>0</v>
      </c>
      <c r="E54" s="704">
        <f>+landbouw!D12</f>
        <v>26.260698112</v>
      </c>
      <c r="F54" s="704">
        <f>+landbouw!E12</f>
        <v>0.45915482975288918</v>
      </c>
      <c r="G54" s="704">
        <f>+landbouw!F12</f>
        <v>147.93577872000432</v>
      </c>
      <c r="H54" s="704">
        <f>+landbouw!G12</f>
        <v>0</v>
      </c>
      <c r="I54" s="704">
        <f>+landbouw!H12</f>
        <v>0</v>
      </c>
      <c r="J54" s="704">
        <f>+landbouw!I12</f>
        <v>0</v>
      </c>
      <c r="K54" s="704">
        <f>+landbouw!J12</f>
        <v>11.851843714979895</v>
      </c>
      <c r="L54" s="704">
        <f>+landbouw!K12</f>
        <v>0</v>
      </c>
      <c r="M54" s="704">
        <f>+landbouw!L12</f>
        <v>0</v>
      </c>
      <c r="N54" s="704">
        <f>+landbouw!M12</f>
        <v>0</v>
      </c>
      <c r="O54" s="704">
        <f>+landbouw!N12</f>
        <v>0</v>
      </c>
      <c r="P54" s="704">
        <f>+landbouw!O12</f>
        <v>0</v>
      </c>
      <c r="Q54" s="705">
        <f>+landbouw!P12</f>
        <v>0</v>
      </c>
      <c r="R54" s="732">
        <f ca="1">SUM(C54:Q54)</f>
        <v>230.59204358841939</v>
      </c>
    </row>
    <row r="55" spans="1:18" ht="15" thickBot="1">
      <c r="A55" s="826" t="s">
        <v>864</v>
      </c>
      <c r="B55" s="836"/>
      <c r="C55" s="704">
        <f ca="1">C25*'EF ele_warmte'!B12</f>
        <v>164.23902935257132</v>
      </c>
      <c r="D55" s="704"/>
      <c r="E55" s="704">
        <f>E25*EF_CO2_aardgas</f>
        <v>289.95544599999999</v>
      </c>
      <c r="F55" s="704"/>
      <c r="G55" s="704"/>
      <c r="H55" s="704"/>
      <c r="I55" s="704"/>
      <c r="J55" s="704"/>
      <c r="K55" s="704"/>
      <c r="L55" s="704"/>
      <c r="M55" s="704"/>
      <c r="N55" s="704"/>
      <c r="O55" s="704"/>
      <c r="P55" s="704"/>
      <c r="Q55" s="705"/>
      <c r="R55" s="732">
        <f ca="1">SUM(C55:Q55)</f>
        <v>454.19447535257132</v>
      </c>
    </row>
    <row r="56" spans="1:18" ht="15.75" thickBot="1">
      <c r="A56" s="824" t="s">
        <v>865</v>
      </c>
      <c r="B56" s="837"/>
      <c r="C56" s="733">
        <f ca="1">SUM(C54:C55)</f>
        <v>208.32359756425359</v>
      </c>
      <c r="D56" s="733">
        <f t="shared" ref="D56:Q56" ca="1" si="7">SUM(D54:D55)</f>
        <v>0</v>
      </c>
      <c r="E56" s="733">
        <f t="shared" si="7"/>
        <v>316.21614411199999</v>
      </c>
      <c r="F56" s="733">
        <f t="shared" si="7"/>
        <v>0.45915482975288918</v>
      </c>
      <c r="G56" s="733">
        <f t="shared" si="7"/>
        <v>147.93577872000432</v>
      </c>
      <c r="H56" s="733">
        <f t="shared" si="7"/>
        <v>0</v>
      </c>
      <c r="I56" s="733">
        <f t="shared" si="7"/>
        <v>0</v>
      </c>
      <c r="J56" s="733">
        <f t="shared" si="7"/>
        <v>0</v>
      </c>
      <c r="K56" s="733">
        <f t="shared" si="7"/>
        <v>11.851843714979895</v>
      </c>
      <c r="L56" s="733">
        <f t="shared" si="7"/>
        <v>0</v>
      </c>
      <c r="M56" s="733">
        <f t="shared" si="7"/>
        <v>0</v>
      </c>
      <c r="N56" s="733">
        <f t="shared" si="7"/>
        <v>0</v>
      </c>
      <c r="O56" s="733">
        <f t="shared" si="7"/>
        <v>0</v>
      </c>
      <c r="P56" s="733">
        <f t="shared" si="7"/>
        <v>0</v>
      </c>
      <c r="Q56" s="734">
        <f t="shared" si="7"/>
        <v>0</v>
      </c>
      <c r="R56" s="735">
        <f ca="1">SUM(R54:R55)</f>
        <v>684.78651894099073</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20675.338330423776</v>
      </c>
      <c r="D61" s="741">
        <f t="shared" ref="D61:Q61" ca="1" si="8">D46+D52+D56</f>
        <v>0</v>
      </c>
      <c r="E61" s="741">
        <f t="shared" ca="1" si="8"/>
        <v>40392.301744090626</v>
      </c>
      <c r="F61" s="741">
        <f t="shared" si="8"/>
        <v>1206.8615635589583</v>
      </c>
      <c r="G61" s="741">
        <f t="shared" ca="1" si="8"/>
        <v>33315.707103810731</v>
      </c>
      <c r="H61" s="741">
        <f t="shared" si="8"/>
        <v>58990.272311418797</v>
      </c>
      <c r="I61" s="741">
        <f t="shared" si="8"/>
        <v>8783.3020467767656</v>
      </c>
      <c r="J61" s="741">
        <f t="shared" si="8"/>
        <v>0</v>
      </c>
      <c r="K61" s="741">
        <f t="shared" si="8"/>
        <v>230.28883671608995</v>
      </c>
      <c r="L61" s="741">
        <f t="shared" si="8"/>
        <v>0</v>
      </c>
      <c r="M61" s="741">
        <f t="shared" ca="1" si="8"/>
        <v>0</v>
      </c>
      <c r="N61" s="741">
        <f t="shared" si="8"/>
        <v>0</v>
      </c>
      <c r="O61" s="741">
        <f t="shared" ca="1" si="8"/>
        <v>0</v>
      </c>
      <c r="P61" s="741">
        <f t="shared" si="8"/>
        <v>0</v>
      </c>
      <c r="Q61" s="741">
        <f t="shared" si="8"/>
        <v>0</v>
      </c>
      <c r="R61" s="741">
        <f ca="1">R46+R52+R56</f>
        <v>163594.07193679572</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0.20187275371915792</v>
      </c>
      <c r="D63" s="782">
        <f t="shared" ca="1" si="9"/>
        <v>0</v>
      </c>
      <c r="E63" s="1036">
        <f t="shared" ca="1" si="9"/>
        <v>0.20200000000000007</v>
      </c>
      <c r="F63" s="782">
        <f t="shared" si="9"/>
        <v>0.22700000000000009</v>
      </c>
      <c r="G63" s="782">
        <f t="shared" ca="1" si="9"/>
        <v>0.26700000000000007</v>
      </c>
      <c r="H63" s="782">
        <f t="shared" si="9"/>
        <v>0.26700000000000002</v>
      </c>
      <c r="I63" s="782">
        <f t="shared" si="9"/>
        <v>0.249</v>
      </c>
      <c r="J63" s="782">
        <f t="shared" si="9"/>
        <v>0</v>
      </c>
      <c r="K63" s="782">
        <f t="shared" si="9"/>
        <v>0.35400000000000004</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8864.1091257761982</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8864.1091257761982</v>
      </c>
      <c r="C78" s="756">
        <f>SUM(C72:C77)</f>
        <v>0</v>
      </c>
      <c r="D78" s="757">
        <f t="shared" ref="D78:H78" si="10">SUM(D76:D77)</f>
        <v>0</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38671.663989357978</v>
      </c>
      <c r="C4" s="478">
        <f>huishoudens!C8</f>
        <v>0</v>
      </c>
      <c r="D4" s="478">
        <f>huishoudens!D8</f>
        <v>61135.915653999997</v>
      </c>
      <c r="E4" s="478">
        <f>huishoudens!E8</f>
        <v>3386.0840111541652</v>
      </c>
      <c r="F4" s="478">
        <f>huishoudens!F8</f>
        <v>67045.46113397555</v>
      </c>
      <c r="G4" s="478">
        <f>huishoudens!G8</f>
        <v>0</v>
      </c>
      <c r="H4" s="478">
        <f>huishoudens!H8</f>
        <v>0</v>
      </c>
      <c r="I4" s="478">
        <f>huishoudens!I8</f>
        <v>0</v>
      </c>
      <c r="J4" s="478">
        <f>huishoudens!J8</f>
        <v>0</v>
      </c>
      <c r="K4" s="478">
        <f>huishoudens!K8</f>
        <v>0</v>
      </c>
      <c r="L4" s="478">
        <f>huishoudens!L8</f>
        <v>0</v>
      </c>
      <c r="M4" s="478">
        <f>huishoudens!M8</f>
        <v>0</v>
      </c>
      <c r="N4" s="478">
        <f>huishoudens!N8</f>
        <v>9922.5239580485195</v>
      </c>
      <c r="O4" s="478">
        <f>huishoudens!O8</f>
        <v>401.7766666666667</v>
      </c>
      <c r="P4" s="479">
        <f>huishoudens!P8</f>
        <v>1525.3333333333335</v>
      </c>
      <c r="Q4" s="480">
        <f>SUM(B4:P4)</f>
        <v>182088.75874653622</v>
      </c>
    </row>
    <row r="5" spans="1:17">
      <c r="A5" s="477" t="s">
        <v>156</v>
      </c>
      <c r="B5" s="478">
        <f ca="1">tertiair!B16</f>
        <v>18556.866000000002</v>
      </c>
      <c r="C5" s="478">
        <f ca="1">tertiair!C16</f>
        <v>0</v>
      </c>
      <c r="D5" s="478">
        <f ca="1">tertiair!D16</f>
        <v>20848.022514</v>
      </c>
      <c r="E5" s="478">
        <f>tertiair!E16</f>
        <v>201.32562331361783</v>
      </c>
      <c r="F5" s="478">
        <f ca="1">tertiair!F16</f>
        <v>2747.9864274421243</v>
      </c>
      <c r="G5" s="478">
        <f>tertiair!G16</f>
        <v>0</v>
      </c>
      <c r="H5" s="478">
        <f>tertiair!H16</f>
        <v>0</v>
      </c>
      <c r="I5" s="478">
        <f>tertiair!I16</f>
        <v>0</v>
      </c>
      <c r="J5" s="478">
        <f>tertiair!J16</f>
        <v>0</v>
      </c>
      <c r="K5" s="478">
        <f>tertiair!K16</f>
        <v>0</v>
      </c>
      <c r="L5" s="478">
        <f ca="1">tertiair!L16</f>
        <v>0</v>
      </c>
      <c r="M5" s="478">
        <f>tertiair!M16</f>
        <v>0</v>
      </c>
      <c r="N5" s="478">
        <f ca="1">tertiair!N16</f>
        <v>1478.3621813453153</v>
      </c>
      <c r="O5" s="478">
        <f>tertiair!O16</f>
        <v>1.5633333333333335</v>
      </c>
      <c r="P5" s="479">
        <f>tertiair!P16</f>
        <v>57.2</v>
      </c>
      <c r="Q5" s="477">
        <f t="shared" ref="Q5:Q14" ca="1" si="0">SUM(B5:P5)</f>
        <v>43891.326079434395</v>
      </c>
    </row>
    <row r="6" spans="1:17">
      <c r="A6" s="477" t="s">
        <v>194</v>
      </c>
      <c r="B6" s="478">
        <f>'openbare verlichting'!B8</f>
        <v>1300.8489999999999</v>
      </c>
      <c r="C6" s="478"/>
      <c r="D6" s="478"/>
      <c r="E6" s="478"/>
      <c r="F6" s="478"/>
      <c r="G6" s="478"/>
      <c r="H6" s="478"/>
      <c r="I6" s="478"/>
      <c r="J6" s="478"/>
      <c r="K6" s="478"/>
      <c r="L6" s="478"/>
      <c r="M6" s="478"/>
      <c r="N6" s="478"/>
      <c r="O6" s="478"/>
      <c r="P6" s="479"/>
      <c r="Q6" s="477">
        <f t="shared" si="0"/>
        <v>1300.8489999999999</v>
      </c>
    </row>
    <row r="7" spans="1:17">
      <c r="A7" s="477" t="s">
        <v>112</v>
      </c>
      <c r="B7" s="478">
        <f>landbouw!B8</f>
        <v>218.37799999999999</v>
      </c>
      <c r="C7" s="478">
        <f>landbouw!C8</f>
        <v>0</v>
      </c>
      <c r="D7" s="478">
        <f>landbouw!D8</f>
        <v>130.003456</v>
      </c>
      <c r="E7" s="478">
        <f>landbouw!E8</f>
        <v>2.0227085011140491</v>
      </c>
      <c r="F7" s="478">
        <f>landbouw!F8</f>
        <v>554.06658696630825</v>
      </c>
      <c r="G7" s="478">
        <f>landbouw!G8</f>
        <v>0</v>
      </c>
      <c r="H7" s="478">
        <f>landbouw!H8</f>
        <v>0</v>
      </c>
      <c r="I7" s="478">
        <f>landbouw!I8</f>
        <v>0</v>
      </c>
      <c r="J7" s="478">
        <f>landbouw!J8</f>
        <v>33.479784505592924</v>
      </c>
      <c r="K7" s="478">
        <f>landbouw!K8</f>
        <v>0</v>
      </c>
      <c r="L7" s="478">
        <f>landbouw!L8</f>
        <v>0</v>
      </c>
      <c r="M7" s="478">
        <f>landbouw!M8</f>
        <v>0</v>
      </c>
      <c r="N7" s="478">
        <f>landbouw!N8</f>
        <v>0</v>
      </c>
      <c r="O7" s="478">
        <f>landbouw!O8</f>
        <v>0</v>
      </c>
      <c r="P7" s="479">
        <f>landbouw!P8</f>
        <v>0</v>
      </c>
      <c r="Q7" s="477">
        <f t="shared" si="0"/>
        <v>937.95053597301512</v>
      </c>
    </row>
    <row r="8" spans="1:17">
      <c r="A8" s="477" t="s">
        <v>650</v>
      </c>
      <c r="B8" s="478">
        <f>industrie!B18</f>
        <v>42821.624000000003</v>
      </c>
      <c r="C8" s="478">
        <f>industrie!C18</f>
        <v>0</v>
      </c>
      <c r="D8" s="478">
        <f>industrie!D18</f>
        <v>116321.75493400001</v>
      </c>
      <c r="E8" s="478">
        <f>industrie!E18</f>
        <v>1058.531088492407</v>
      </c>
      <c r="F8" s="478">
        <f>industrie!F18</f>
        <v>54430.415079371545</v>
      </c>
      <c r="G8" s="478">
        <f>industrie!G18</f>
        <v>0</v>
      </c>
      <c r="H8" s="478">
        <f>industrie!H18</f>
        <v>0</v>
      </c>
      <c r="I8" s="478">
        <f>industrie!I18</f>
        <v>0</v>
      </c>
      <c r="J8" s="478">
        <f>industrie!J18</f>
        <v>617.05365254550861</v>
      </c>
      <c r="K8" s="478">
        <f>industrie!K18</f>
        <v>0</v>
      </c>
      <c r="L8" s="478">
        <f>industrie!L18</f>
        <v>0</v>
      </c>
      <c r="M8" s="478">
        <f>industrie!M18</f>
        <v>0</v>
      </c>
      <c r="N8" s="478">
        <f>industrie!N18</f>
        <v>14508.324953759649</v>
      </c>
      <c r="O8" s="478">
        <f>industrie!O18</f>
        <v>0</v>
      </c>
      <c r="P8" s="479">
        <f>industrie!P18</f>
        <v>0</v>
      </c>
      <c r="Q8" s="477">
        <f t="shared" si="0"/>
        <v>229757.70370816908</v>
      </c>
    </row>
    <row r="9" spans="1:17" s="483" customFormat="1">
      <c r="A9" s="481" t="s">
        <v>571</v>
      </c>
      <c r="B9" s="482">
        <f>transport!B14</f>
        <v>34.718242408139723</v>
      </c>
      <c r="C9" s="482">
        <f>transport!C14</f>
        <v>0</v>
      </c>
      <c r="D9" s="482">
        <f>transport!D14</f>
        <v>90.77026423078766</v>
      </c>
      <c r="E9" s="482">
        <f>transport!E14</f>
        <v>668.60733311560443</v>
      </c>
      <c r="F9" s="482">
        <f>transport!F14</f>
        <v>0</v>
      </c>
      <c r="G9" s="482">
        <f>transport!G14</f>
        <v>218483.73829408485</v>
      </c>
      <c r="H9" s="482">
        <f>transport!H14</f>
        <v>35274.305408742031</v>
      </c>
      <c r="I9" s="482">
        <f>transport!I14</f>
        <v>0</v>
      </c>
      <c r="J9" s="482">
        <f>transport!J14</f>
        <v>0</v>
      </c>
      <c r="K9" s="482">
        <f>transport!K14</f>
        <v>0</v>
      </c>
      <c r="L9" s="482">
        <f>transport!L14</f>
        <v>0</v>
      </c>
      <c r="M9" s="482">
        <f>transport!M14</f>
        <v>13724.154077578578</v>
      </c>
      <c r="N9" s="482">
        <f>transport!N14</f>
        <v>0</v>
      </c>
      <c r="O9" s="482">
        <f>transport!O14</f>
        <v>0</v>
      </c>
      <c r="P9" s="482">
        <f>transport!P14</f>
        <v>0</v>
      </c>
      <c r="Q9" s="481">
        <f>SUM(B9:P9)</f>
        <v>268276.29362015997</v>
      </c>
    </row>
    <row r="10" spans="1:17">
      <c r="A10" s="477" t="s">
        <v>561</v>
      </c>
      <c r="B10" s="478">
        <f>transport!B54</f>
        <v>0</v>
      </c>
      <c r="C10" s="478">
        <f>transport!C54</f>
        <v>0</v>
      </c>
      <c r="D10" s="478">
        <f>transport!D54</f>
        <v>0</v>
      </c>
      <c r="E10" s="478">
        <f>transport!E54</f>
        <v>0</v>
      </c>
      <c r="F10" s="478">
        <f>transport!F54</f>
        <v>0</v>
      </c>
      <c r="G10" s="478">
        <f>transport!G54</f>
        <v>2453.6111868844414</v>
      </c>
      <c r="H10" s="478">
        <f>transport!H54</f>
        <v>0</v>
      </c>
      <c r="I10" s="478">
        <f>transport!I54</f>
        <v>0</v>
      </c>
      <c r="J10" s="478">
        <f>transport!J54</f>
        <v>0</v>
      </c>
      <c r="K10" s="478">
        <f>transport!K54</f>
        <v>0</v>
      </c>
      <c r="L10" s="478">
        <f>transport!L54</f>
        <v>0</v>
      </c>
      <c r="M10" s="478">
        <f>transport!M54</f>
        <v>139.9222933250249</v>
      </c>
      <c r="N10" s="478">
        <f>transport!N54</f>
        <v>0</v>
      </c>
      <c r="O10" s="478">
        <f>transport!O54</f>
        <v>0</v>
      </c>
      <c r="P10" s="479">
        <f>transport!P54</f>
        <v>0</v>
      </c>
      <c r="Q10" s="477">
        <f t="shared" si="0"/>
        <v>2593.5334802094662</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813.577</v>
      </c>
      <c r="C14" s="485"/>
      <c r="D14" s="485">
        <f>'SEAP template'!E25</f>
        <v>1435.423</v>
      </c>
      <c r="E14" s="485"/>
      <c r="F14" s="485"/>
      <c r="G14" s="485"/>
      <c r="H14" s="485"/>
      <c r="I14" s="485"/>
      <c r="J14" s="485"/>
      <c r="K14" s="485"/>
      <c r="L14" s="485"/>
      <c r="M14" s="485"/>
      <c r="N14" s="485"/>
      <c r="O14" s="485"/>
      <c r="P14" s="486"/>
      <c r="Q14" s="477">
        <f t="shared" si="0"/>
        <v>2249</v>
      </c>
    </row>
    <row r="15" spans="1:17" s="487" customFormat="1">
      <c r="A15" s="1051" t="s">
        <v>565</v>
      </c>
      <c r="B15" s="991">
        <f ca="1">SUM(B4:B14)</f>
        <v>102417.67623176612</v>
      </c>
      <c r="C15" s="991">
        <f t="shared" ref="C15:Q15" ca="1" si="1">SUM(C4:C14)</f>
        <v>0</v>
      </c>
      <c r="D15" s="991">
        <f t="shared" ca="1" si="1"/>
        <v>199961.88982223079</v>
      </c>
      <c r="E15" s="991">
        <f t="shared" si="1"/>
        <v>5316.5707645769089</v>
      </c>
      <c r="F15" s="991">
        <f t="shared" ca="1" si="1"/>
        <v>124777.92922775552</v>
      </c>
      <c r="G15" s="991">
        <f t="shared" si="1"/>
        <v>220937.34948096928</v>
      </c>
      <c r="H15" s="991">
        <f t="shared" si="1"/>
        <v>35274.305408742031</v>
      </c>
      <c r="I15" s="991">
        <f t="shared" si="1"/>
        <v>0</v>
      </c>
      <c r="J15" s="991">
        <f t="shared" si="1"/>
        <v>650.53343705110149</v>
      </c>
      <c r="K15" s="991">
        <f t="shared" si="1"/>
        <v>0</v>
      </c>
      <c r="L15" s="991">
        <f t="shared" ca="1" si="1"/>
        <v>0</v>
      </c>
      <c r="M15" s="991">
        <f t="shared" si="1"/>
        <v>13864.076370903604</v>
      </c>
      <c r="N15" s="991">
        <f t="shared" ca="1" si="1"/>
        <v>25909.211093153484</v>
      </c>
      <c r="O15" s="991">
        <f t="shared" si="1"/>
        <v>403.34000000000003</v>
      </c>
      <c r="P15" s="991">
        <f t="shared" si="1"/>
        <v>1582.5333333333335</v>
      </c>
      <c r="Q15" s="991">
        <f t="shared" ca="1" si="1"/>
        <v>731095.41517048201</v>
      </c>
    </row>
    <row r="17" spans="1:17">
      <c r="A17" s="488" t="s">
        <v>566</v>
      </c>
      <c r="B17" s="787">
        <f ca="1">huishoudens!B10</f>
        <v>0.20187275371915789</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7806.7553004336896</v>
      </c>
      <c r="C22" s="478">
        <f t="shared" ref="C22:C32" ca="1" si="3">C4*$C$17</f>
        <v>0</v>
      </c>
      <c r="D22" s="478">
        <f t="shared" ref="D22:D32" si="4">D4*$D$17</f>
        <v>12349.454962108</v>
      </c>
      <c r="E22" s="478">
        <f t="shared" ref="E22:E32" si="5">E4*$E$17</f>
        <v>768.64107053199552</v>
      </c>
      <c r="F22" s="478">
        <f t="shared" ref="F22:F32" si="6">F4*$F$17</f>
        <v>17901.138122771474</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38825.989455845156</v>
      </c>
    </row>
    <row r="23" spans="1:17">
      <c r="A23" s="477" t="s">
        <v>156</v>
      </c>
      <c r="B23" s="478">
        <f t="shared" ca="1" si="2"/>
        <v>3746.125639817415</v>
      </c>
      <c r="C23" s="478">
        <f t="shared" ca="1" si="3"/>
        <v>0</v>
      </c>
      <c r="D23" s="478">
        <f t="shared" ca="1" si="4"/>
        <v>4211.3005478280002</v>
      </c>
      <c r="E23" s="478">
        <f t="shared" si="5"/>
        <v>45.700916492191247</v>
      </c>
      <c r="F23" s="478">
        <f t="shared" ca="1" si="6"/>
        <v>733.71237612704726</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8736.8394802646526</v>
      </c>
    </row>
    <row r="24" spans="1:17">
      <c r="A24" s="477" t="s">
        <v>194</v>
      </c>
      <c r="B24" s="478">
        <f t="shared" ca="1" si="2"/>
        <v>262.60596980281281</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262.60596980281281</v>
      </c>
    </row>
    <row r="25" spans="1:17">
      <c r="A25" s="477" t="s">
        <v>112</v>
      </c>
      <c r="B25" s="478">
        <f t="shared" ca="1" si="2"/>
        <v>44.08456821168226</v>
      </c>
      <c r="C25" s="478">
        <f t="shared" ca="1" si="3"/>
        <v>0</v>
      </c>
      <c r="D25" s="478">
        <f t="shared" si="4"/>
        <v>26.260698112</v>
      </c>
      <c r="E25" s="478">
        <f t="shared" si="5"/>
        <v>0.45915482975288918</v>
      </c>
      <c r="F25" s="478">
        <f t="shared" si="6"/>
        <v>147.93577872000432</v>
      </c>
      <c r="G25" s="478">
        <f t="shared" si="7"/>
        <v>0</v>
      </c>
      <c r="H25" s="478">
        <f t="shared" si="8"/>
        <v>0</v>
      </c>
      <c r="I25" s="478">
        <f t="shared" si="9"/>
        <v>0</v>
      </c>
      <c r="J25" s="478">
        <f t="shared" si="10"/>
        <v>11.851843714979895</v>
      </c>
      <c r="K25" s="478">
        <f t="shared" si="11"/>
        <v>0</v>
      </c>
      <c r="L25" s="478">
        <f t="shared" si="12"/>
        <v>0</v>
      </c>
      <c r="M25" s="478">
        <f t="shared" si="13"/>
        <v>0</v>
      </c>
      <c r="N25" s="478">
        <f t="shared" si="14"/>
        <v>0</v>
      </c>
      <c r="O25" s="478">
        <f t="shared" si="15"/>
        <v>0</v>
      </c>
      <c r="P25" s="479">
        <f t="shared" si="16"/>
        <v>0</v>
      </c>
      <c r="Q25" s="477">
        <f t="shared" ca="1" si="17"/>
        <v>230.59204358841939</v>
      </c>
    </row>
    <row r="26" spans="1:17">
      <c r="A26" s="477" t="s">
        <v>650</v>
      </c>
      <c r="B26" s="478">
        <f t="shared" ca="1" si="2"/>
        <v>8644.5191556063819</v>
      </c>
      <c r="C26" s="478">
        <f t="shared" ca="1" si="3"/>
        <v>0</v>
      </c>
      <c r="D26" s="478">
        <f t="shared" si="4"/>
        <v>23496.994496668005</v>
      </c>
      <c r="E26" s="478">
        <f t="shared" si="5"/>
        <v>240.2865570877764</v>
      </c>
      <c r="F26" s="478">
        <f t="shared" si="6"/>
        <v>14532.920826192203</v>
      </c>
      <c r="G26" s="478">
        <f t="shared" si="7"/>
        <v>0</v>
      </c>
      <c r="H26" s="478">
        <f t="shared" si="8"/>
        <v>0</v>
      </c>
      <c r="I26" s="478">
        <f t="shared" si="9"/>
        <v>0</v>
      </c>
      <c r="J26" s="478">
        <f t="shared" si="10"/>
        <v>218.43699300111004</v>
      </c>
      <c r="K26" s="478">
        <f t="shared" si="11"/>
        <v>0</v>
      </c>
      <c r="L26" s="478">
        <f t="shared" si="12"/>
        <v>0</v>
      </c>
      <c r="M26" s="478">
        <f t="shared" si="13"/>
        <v>0</v>
      </c>
      <c r="N26" s="478">
        <f t="shared" si="14"/>
        <v>0</v>
      </c>
      <c r="O26" s="478">
        <f t="shared" si="15"/>
        <v>0</v>
      </c>
      <c r="P26" s="479">
        <f t="shared" si="16"/>
        <v>0</v>
      </c>
      <c r="Q26" s="477">
        <f t="shared" ca="1" si="17"/>
        <v>47133.158028555474</v>
      </c>
    </row>
    <row r="27" spans="1:17" s="483" customFormat="1">
      <c r="A27" s="481" t="s">
        <v>571</v>
      </c>
      <c r="B27" s="781">
        <f t="shared" ca="1" si="2"/>
        <v>7.0086671992204135</v>
      </c>
      <c r="C27" s="482">
        <f t="shared" ca="1" si="3"/>
        <v>0</v>
      </c>
      <c r="D27" s="482">
        <f t="shared" si="4"/>
        <v>18.335593374619108</v>
      </c>
      <c r="E27" s="482">
        <f t="shared" si="5"/>
        <v>151.77386461724222</v>
      </c>
      <c r="F27" s="482">
        <f t="shared" si="6"/>
        <v>0</v>
      </c>
      <c r="G27" s="482">
        <f t="shared" si="7"/>
        <v>58335.158124520654</v>
      </c>
      <c r="H27" s="482">
        <f t="shared" si="8"/>
        <v>8783.3020467767656</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67295.5782964885</v>
      </c>
    </row>
    <row r="28" spans="1:17">
      <c r="A28" s="477" t="s">
        <v>561</v>
      </c>
      <c r="B28" s="478">
        <f t="shared" ca="1" si="2"/>
        <v>0</v>
      </c>
      <c r="C28" s="478">
        <f t="shared" ca="1" si="3"/>
        <v>0</v>
      </c>
      <c r="D28" s="478">
        <f t="shared" si="4"/>
        <v>0</v>
      </c>
      <c r="E28" s="478">
        <f t="shared" si="5"/>
        <v>0</v>
      </c>
      <c r="F28" s="478">
        <f t="shared" si="6"/>
        <v>0</v>
      </c>
      <c r="G28" s="478">
        <f t="shared" si="7"/>
        <v>655.11418689814593</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655.11418689814593</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164.23902935257132</v>
      </c>
      <c r="C32" s="478">
        <f t="shared" ca="1" si="3"/>
        <v>0</v>
      </c>
      <c r="D32" s="478">
        <f t="shared" si="4"/>
        <v>289.95544599999999</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454.19447535257132</v>
      </c>
    </row>
    <row r="33" spans="1:17" s="487" customFormat="1">
      <c r="A33" s="1051" t="s">
        <v>565</v>
      </c>
      <c r="B33" s="991">
        <f ca="1">SUM(B22:B32)</f>
        <v>20675.338330423772</v>
      </c>
      <c r="C33" s="991">
        <f t="shared" ref="C33:Q33" ca="1" si="18">SUM(C22:C32)</f>
        <v>0</v>
      </c>
      <c r="D33" s="991">
        <f t="shared" ca="1" si="18"/>
        <v>40392.301744090626</v>
      </c>
      <c r="E33" s="991">
        <f t="shared" si="18"/>
        <v>1206.8615635589583</v>
      </c>
      <c r="F33" s="991">
        <f t="shared" ca="1" si="18"/>
        <v>33315.707103810731</v>
      </c>
      <c r="G33" s="991">
        <f t="shared" si="18"/>
        <v>58990.272311418797</v>
      </c>
      <c r="H33" s="991">
        <f t="shared" si="18"/>
        <v>8783.3020467767656</v>
      </c>
      <c r="I33" s="991">
        <f t="shared" si="18"/>
        <v>0</v>
      </c>
      <c r="J33" s="991">
        <f t="shared" si="18"/>
        <v>230.28883671608995</v>
      </c>
      <c r="K33" s="991">
        <f t="shared" si="18"/>
        <v>0</v>
      </c>
      <c r="L33" s="991">
        <f t="shared" ca="1" si="18"/>
        <v>0</v>
      </c>
      <c r="M33" s="991">
        <f t="shared" si="18"/>
        <v>0</v>
      </c>
      <c r="N33" s="991">
        <f t="shared" ca="1" si="18"/>
        <v>0</v>
      </c>
      <c r="O33" s="991">
        <f t="shared" si="18"/>
        <v>0</v>
      </c>
      <c r="P33" s="991">
        <f t="shared" si="18"/>
        <v>0</v>
      </c>
      <c r="Q33" s="991">
        <f t="shared" ca="1" si="18"/>
        <v>163594.07193679572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8864.1091257761982</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8864.1091257761982</v>
      </c>
      <c r="C10" s="1072">
        <f>SUM(C4:C9)</f>
        <v>0</v>
      </c>
      <c r="D10" s="1072">
        <f t="shared" ref="D10:H10" si="0">SUM(D8:D9)</f>
        <v>0</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0.20187275371915789</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0.20187275371915789</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0.20187275371915789</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0.20187275371915789</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71066</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8270</v>
      </c>
      <c r="C9" s="342">
        <v>8865</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862</v>
      </c>
    </row>
    <row r="15" spans="1:6">
      <c r="A15" s="348" t="s">
        <v>184</v>
      </c>
      <c r="B15" s="334">
        <v>0</v>
      </c>
    </row>
    <row r="16" spans="1:6">
      <c r="A16" s="348" t="s">
        <v>6</v>
      </c>
      <c r="B16" s="334">
        <v>0</v>
      </c>
    </row>
    <row r="17" spans="1:6">
      <c r="A17" s="348" t="s">
        <v>7</v>
      </c>
      <c r="B17" s="334">
        <v>175</v>
      </c>
    </row>
    <row r="18" spans="1:6">
      <c r="A18" s="348" t="s">
        <v>8</v>
      </c>
      <c r="B18" s="334">
        <v>167</v>
      </c>
    </row>
    <row r="19" spans="1:6">
      <c r="A19" s="348" t="s">
        <v>9</v>
      </c>
      <c r="B19" s="334">
        <v>151</v>
      </c>
    </row>
    <row r="20" spans="1:6">
      <c r="A20" s="348" t="s">
        <v>10</v>
      </c>
      <c r="B20" s="334">
        <v>169</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102</v>
      </c>
    </row>
    <row r="27" spans="1:6">
      <c r="A27" s="348" t="s">
        <v>17</v>
      </c>
      <c r="B27" s="334">
        <v>0</v>
      </c>
    </row>
    <row r="28" spans="1:6" s="356" customFormat="1">
      <c r="A28" s="355" t="s">
        <v>18</v>
      </c>
      <c r="B28" s="355">
        <v>0</v>
      </c>
    </row>
    <row r="29" spans="1:6">
      <c r="A29" s="355" t="s">
        <v>901</v>
      </c>
      <c r="B29" s="355">
        <v>41</v>
      </c>
      <c r="C29" s="356"/>
      <c r="D29" s="356"/>
      <c r="E29" s="356"/>
      <c r="F29" s="356"/>
    </row>
    <row r="30" spans="1:6">
      <c r="A30" s="341" t="s">
        <v>902</v>
      </c>
      <c r="B30" s="341">
        <v>9</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19334</v>
      </c>
    </row>
    <row r="37" spans="1:6">
      <c r="A37" s="348" t="s">
        <v>25</v>
      </c>
      <c r="B37" s="348" t="s">
        <v>28</v>
      </c>
      <c r="C37" s="334">
        <v>0</v>
      </c>
      <c r="D37" s="334">
        <v>0</v>
      </c>
      <c r="E37" s="334">
        <v>0</v>
      </c>
      <c r="F37" s="334">
        <v>0</v>
      </c>
    </row>
    <row r="38" spans="1:6">
      <c r="A38" s="348" t="s">
        <v>25</v>
      </c>
      <c r="B38" s="348" t="s">
        <v>29</v>
      </c>
      <c r="C38" s="334">
        <v>0</v>
      </c>
      <c r="D38" s="334">
        <v>0</v>
      </c>
      <c r="E38" s="334">
        <v>1</v>
      </c>
      <c r="F38" s="334">
        <v>4925</v>
      </c>
    </row>
    <row r="39" spans="1:6">
      <c r="A39" s="348" t="s">
        <v>30</v>
      </c>
      <c r="B39" s="348" t="s">
        <v>31</v>
      </c>
      <c r="C39" s="334">
        <v>3895</v>
      </c>
      <c r="D39" s="334">
        <v>67778177</v>
      </c>
      <c r="E39" s="334">
        <v>8204</v>
      </c>
      <c r="F39" s="334">
        <v>32169270</v>
      </c>
    </row>
    <row r="40" spans="1:6">
      <c r="A40" s="348" t="s">
        <v>30</v>
      </c>
      <c r="B40" s="348" t="s">
        <v>29</v>
      </c>
      <c r="C40" s="334">
        <v>0</v>
      </c>
      <c r="D40" s="334">
        <v>0</v>
      </c>
      <c r="E40" s="334">
        <v>0</v>
      </c>
      <c r="F40" s="334">
        <v>0</v>
      </c>
    </row>
    <row r="41" spans="1:6">
      <c r="A41" s="348" t="s">
        <v>32</v>
      </c>
      <c r="B41" s="348" t="s">
        <v>33</v>
      </c>
      <c r="C41" s="334">
        <v>69</v>
      </c>
      <c r="D41" s="334">
        <v>1941850</v>
      </c>
      <c r="E41" s="334">
        <v>151</v>
      </c>
      <c r="F41" s="334">
        <v>1580629</v>
      </c>
    </row>
    <row r="42" spans="1:6">
      <c r="A42" s="348" t="s">
        <v>32</v>
      </c>
      <c r="B42" s="348" t="s">
        <v>34</v>
      </c>
      <c r="C42" s="334">
        <v>0</v>
      </c>
      <c r="D42" s="334">
        <v>0</v>
      </c>
      <c r="E42" s="334">
        <v>0</v>
      </c>
      <c r="F42" s="334">
        <v>0</v>
      </c>
    </row>
    <row r="43" spans="1:6">
      <c r="A43" s="348" t="s">
        <v>32</v>
      </c>
      <c r="B43" s="348" t="s">
        <v>35</v>
      </c>
      <c r="C43" s="334">
        <v>0</v>
      </c>
      <c r="D43" s="334">
        <v>0</v>
      </c>
      <c r="E43" s="334">
        <v>3</v>
      </c>
      <c r="F43" s="334">
        <v>895468</v>
      </c>
    </row>
    <row r="44" spans="1:6">
      <c r="A44" s="348" t="s">
        <v>32</v>
      </c>
      <c r="B44" s="348" t="s">
        <v>36</v>
      </c>
      <c r="C44" s="334">
        <v>9</v>
      </c>
      <c r="D44" s="334">
        <v>779287</v>
      </c>
      <c r="E44" s="334">
        <v>26</v>
      </c>
      <c r="F44" s="334">
        <v>14324330</v>
      </c>
    </row>
    <row r="45" spans="1:6">
      <c r="A45" s="348" t="s">
        <v>32</v>
      </c>
      <c r="B45" s="348" t="s">
        <v>37</v>
      </c>
      <c r="C45" s="334">
        <v>4</v>
      </c>
      <c r="D45" s="334">
        <v>77124</v>
      </c>
      <c r="E45" s="334">
        <v>7</v>
      </c>
      <c r="F45" s="334">
        <v>72135</v>
      </c>
    </row>
    <row r="46" spans="1:6">
      <c r="A46" s="348" t="s">
        <v>32</v>
      </c>
      <c r="B46" s="348" t="s">
        <v>38</v>
      </c>
      <c r="C46" s="334">
        <v>0</v>
      </c>
      <c r="D46" s="334">
        <v>0</v>
      </c>
      <c r="E46" s="334">
        <v>0</v>
      </c>
      <c r="F46" s="334">
        <v>0</v>
      </c>
    </row>
    <row r="47" spans="1:6">
      <c r="A47" s="348" t="s">
        <v>32</v>
      </c>
      <c r="B47" s="348" t="s">
        <v>39</v>
      </c>
      <c r="C47" s="334">
        <v>3</v>
      </c>
      <c r="D47" s="334">
        <v>128285</v>
      </c>
      <c r="E47" s="334">
        <v>5</v>
      </c>
      <c r="F47" s="334">
        <v>105351</v>
      </c>
    </row>
    <row r="48" spans="1:6">
      <c r="A48" s="348" t="s">
        <v>32</v>
      </c>
      <c r="B48" s="348" t="s">
        <v>29</v>
      </c>
      <c r="C48" s="334">
        <v>4</v>
      </c>
      <c r="D48" s="334">
        <v>412395</v>
      </c>
      <c r="E48" s="334">
        <v>1</v>
      </c>
      <c r="F48" s="334">
        <v>43356</v>
      </c>
    </row>
    <row r="49" spans="1:6">
      <c r="A49" s="348" t="s">
        <v>32</v>
      </c>
      <c r="B49" s="348" t="s">
        <v>40</v>
      </c>
      <c r="C49" s="334">
        <v>0</v>
      </c>
      <c r="D49" s="334">
        <v>0</v>
      </c>
      <c r="E49" s="334">
        <v>4</v>
      </c>
      <c r="F49" s="334">
        <v>30172</v>
      </c>
    </row>
    <row r="50" spans="1:6">
      <c r="A50" s="348" t="s">
        <v>32</v>
      </c>
      <c r="B50" s="348" t="s">
        <v>41</v>
      </c>
      <c r="C50" s="334">
        <v>5</v>
      </c>
      <c r="D50" s="334">
        <v>125620876</v>
      </c>
      <c r="E50" s="334">
        <v>16</v>
      </c>
      <c r="F50" s="334">
        <v>25770183</v>
      </c>
    </row>
    <row r="51" spans="1:6">
      <c r="A51" s="348" t="s">
        <v>42</v>
      </c>
      <c r="B51" s="348" t="s">
        <v>43</v>
      </c>
      <c r="C51" s="334">
        <v>0</v>
      </c>
      <c r="D51" s="334">
        <v>0</v>
      </c>
      <c r="E51" s="334">
        <v>21</v>
      </c>
      <c r="F51" s="334">
        <v>218378</v>
      </c>
    </row>
    <row r="52" spans="1:6">
      <c r="A52" s="348" t="s">
        <v>42</v>
      </c>
      <c r="B52" s="348" t="s">
        <v>29</v>
      </c>
      <c r="C52" s="334">
        <v>2</v>
      </c>
      <c r="D52" s="334">
        <v>144128</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84</v>
      </c>
      <c r="F54" s="334">
        <v>1300849</v>
      </c>
    </row>
    <row r="55" spans="1:6">
      <c r="A55" s="348" t="s">
        <v>46</v>
      </c>
      <c r="B55" s="348" t="s">
        <v>29</v>
      </c>
      <c r="C55" s="334">
        <v>0</v>
      </c>
      <c r="D55" s="334">
        <v>0</v>
      </c>
      <c r="E55" s="334">
        <v>0</v>
      </c>
      <c r="F55" s="334">
        <v>0</v>
      </c>
    </row>
    <row r="56" spans="1:6">
      <c r="A56" s="348" t="s">
        <v>48</v>
      </c>
      <c r="B56" s="348" t="s">
        <v>29</v>
      </c>
      <c r="C56" s="334">
        <v>54</v>
      </c>
      <c r="D56" s="334">
        <v>1435423</v>
      </c>
      <c r="E56" s="334">
        <v>156</v>
      </c>
      <c r="F56" s="334">
        <v>813577</v>
      </c>
    </row>
    <row r="57" spans="1:6">
      <c r="A57" s="348" t="s">
        <v>49</v>
      </c>
      <c r="B57" s="348" t="s">
        <v>50</v>
      </c>
      <c r="C57" s="334">
        <v>50</v>
      </c>
      <c r="D57" s="334">
        <v>1486035</v>
      </c>
      <c r="E57" s="334">
        <v>109</v>
      </c>
      <c r="F57" s="334">
        <v>1925818</v>
      </c>
    </row>
    <row r="58" spans="1:6">
      <c r="A58" s="348" t="s">
        <v>49</v>
      </c>
      <c r="B58" s="348" t="s">
        <v>51</v>
      </c>
      <c r="C58" s="334">
        <v>29</v>
      </c>
      <c r="D58" s="334">
        <v>2967119</v>
      </c>
      <c r="E58" s="334">
        <v>51</v>
      </c>
      <c r="F58" s="334">
        <v>1977219</v>
      </c>
    </row>
    <row r="59" spans="1:6">
      <c r="A59" s="348" t="s">
        <v>49</v>
      </c>
      <c r="B59" s="348" t="s">
        <v>52</v>
      </c>
      <c r="C59" s="334">
        <v>132</v>
      </c>
      <c r="D59" s="334">
        <v>10800064</v>
      </c>
      <c r="E59" s="334">
        <v>249</v>
      </c>
      <c r="F59" s="334">
        <v>8027502</v>
      </c>
    </row>
    <row r="60" spans="1:6">
      <c r="A60" s="348" t="s">
        <v>49</v>
      </c>
      <c r="B60" s="348" t="s">
        <v>53</v>
      </c>
      <c r="C60" s="334">
        <v>35</v>
      </c>
      <c r="D60" s="334">
        <v>1758241</v>
      </c>
      <c r="E60" s="334">
        <v>96</v>
      </c>
      <c r="F60" s="334">
        <v>2266882</v>
      </c>
    </row>
    <row r="61" spans="1:6">
      <c r="A61" s="348" t="s">
        <v>49</v>
      </c>
      <c r="B61" s="348" t="s">
        <v>54</v>
      </c>
      <c r="C61" s="334">
        <v>132</v>
      </c>
      <c r="D61" s="334">
        <v>3617145</v>
      </c>
      <c r="E61" s="334">
        <v>419</v>
      </c>
      <c r="F61" s="334">
        <v>3970653</v>
      </c>
    </row>
    <row r="62" spans="1:6">
      <c r="A62" s="348" t="s">
        <v>49</v>
      </c>
      <c r="B62" s="348" t="s">
        <v>55</v>
      </c>
      <c r="C62" s="334">
        <v>13</v>
      </c>
      <c r="D62" s="334">
        <v>2484503</v>
      </c>
      <c r="E62" s="334">
        <v>15</v>
      </c>
      <c r="F62" s="334">
        <v>388792</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6</v>
      </c>
      <c r="D68" s="334">
        <v>217891</v>
      </c>
      <c r="E68" s="334">
        <v>9</v>
      </c>
      <c r="F68" s="334">
        <v>88232</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58163892</v>
      </c>
      <c r="E73" s="476">
        <v>67516093.676789179</v>
      </c>
    </row>
    <row r="74" spans="1:6">
      <c r="A74" s="348" t="s">
        <v>64</v>
      </c>
      <c r="B74" s="348" t="s">
        <v>714</v>
      </c>
      <c r="C74" s="1311" t="s">
        <v>716</v>
      </c>
      <c r="D74" s="476">
        <v>6345640.9673248483</v>
      </c>
      <c r="E74" s="476">
        <v>7060902.17430868</v>
      </c>
    </row>
    <row r="75" spans="1:6">
      <c r="A75" s="348" t="s">
        <v>65</v>
      </c>
      <c r="B75" s="348" t="s">
        <v>713</v>
      </c>
      <c r="C75" s="1311" t="s">
        <v>717</v>
      </c>
      <c r="D75" s="476">
        <v>32683799</v>
      </c>
      <c r="E75" s="476">
        <v>37900525.834290467</v>
      </c>
    </row>
    <row r="76" spans="1:6">
      <c r="A76" s="348" t="s">
        <v>65</v>
      </c>
      <c r="B76" s="348" t="s">
        <v>714</v>
      </c>
      <c r="C76" s="1311" t="s">
        <v>718</v>
      </c>
      <c r="D76" s="476">
        <v>1381983.9673248488</v>
      </c>
      <c r="E76" s="476">
        <v>1587892.4268159526</v>
      </c>
    </row>
    <row r="77" spans="1:6">
      <c r="A77" s="348" t="s">
        <v>66</v>
      </c>
      <c r="B77" s="348" t="s">
        <v>713</v>
      </c>
      <c r="C77" s="1311" t="s">
        <v>719</v>
      </c>
      <c r="D77" s="476">
        <v>162471174</v>
      </c>
      <c r="E77" s="476">
        <v>183976036.38656995</v>
      </c>
    </row>
    <row r="78" spans="1:6">
      <c r="A78" s="341" t="s">
        <v>66</v>
      </c>
      <c r="B78" s="341" t="s">
        <v>714</v>
      </c>
      <c r="C78" s="341" t="s">
        <v>720</v>
      </c>
      <c r="D78" s="1307">
        <v>27941977</v>
      </c>
      <c r="E78" s="1307">
        <v>29989937.306278165</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693054.06535030273</v>
      </c>
      <c r="C83" s="476">
        <v>681239.64755568455</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6502.3939893579791</v>
      </c>
    </row>
    <row r="92" spans="1:6">
      <c r="A92" s="341" t="s">
        <v>69</v>
      </c>
      <c r="B92" s="342">
        <v>2361.7151364182187</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1089</v>
      </c>
    </row>
    <row r="98" spans="1:6">
      <c r="A98" s="348" t="s">
        <v>72</v>
      </c>
      <c r="B98" s="334">
        <v>2</v>
      </c>
    </row>
    <row r="99" spans="1:6">
      <c r="A99" s="348" t="s">
        <v>73</v>
      </c>
      <c r="B99" s="334">
        <v>66</v>
      </c>
    </row>
    <row r="100" spans="1:6">
      <c r="A100" s="348" t="s">
        <v>74</v>
      </c>
      <c r="B100" s="334">
        <v>340</v>
      </c>
    </row>
    <row r="101" spans="1:6">
      <c r="A101" s="348" t="s">
        <v>75</v>
      </c>
      <c r="B101" s="334">
        <v>51</v>
      </c>
    </row>
    <row r="102" spans="1:6">
      <c r="A102" s="348" t="s">
        <v>76</v>
      </c>
      <c r="B102" s="334">
        <v>60</v>
      </c>
    </row>
    <row r="103" spans="1:6">
      <c r="A103" s="348" t="s">
        <v>77</v>
      </c>
      <c r="B103" s="334">
        <v>141</v>
      </c>
    </row>
    <row r="104" spans="1:6">
      <c r="A104" s="348" t="s">
        <v>78</v>
      </c>
      <c r="B104" s="334">
        <v>5249</v>
      </c>
    </row>
    <row r="105" spans="1:6">
      <c r="A105" s="341" t="s">
        <v>79</v>
      </c>
      <c r="B105" s="341">
        <v>3</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49</v>
      </c>
      <c r="C123" s="334">
        <v>26</v>
      </c>
    </row>
    <row r="124" spans="1:6">
      <c r="A124" s="341" t="s">
        <v>89</v>
      </c>
      <c r="B124" s="334">
        <v>4</v>
      </c>
      <c r="C124" s="334">
        <v>2</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229</v>
      </c>
    </row>
    <row r="130" spans="1:6">
      <c r="A130" s="348" t="s">
        <v>295</v>
      </c>
      <c r="B130" s="334">
        <v>1</v>
      </c>
    </row>
    <row r="131" spans="1:6">
      <c r="A131" s="348" t="s">
        <v>296</v>
      </c>
      <c r="B131" s="334">
        <v>3</v>
      </c>
    </row>
    <row r="132" spans="1:6">
      <c r="A132" s="341" t="s">
        <v>297</v>
      </c>
      <c r="B132" s="342">
        <v>27</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102417.67623176612</v>
      </c>
      <c r="C3" s="43" t="s">
        <v>170</v>
      </c>
      <c r="D3" s="43"/>
      <c r="E3" s="154"/>
      <c r="F3" s="43"/>
      <c r="G3" s="43"/>
      <c r="H3" s="43"/>
      <c r="I3" s="43"/>
      <c r="J3" s="43"/>
      <c r="K3" s="96"/>
    </row>
    <row r="4" spans="1:11">
      <c r="A4" s="384" t="s">
        <v>171</v>
      </c>
      <c r="B4" s="49">
        <f>IF(ISERROR('SEAP template'!B78+'SEAP template'!C78),0,'SEAP template'!B78+'SEAP template'!C78)</f>
        <v>8864.1091257761982</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0.20187275371915789</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1300.8489999999999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1300.8489999999999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0.20187275371915789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262.60596980281281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32169.27</v>
      </c>
      <c r="C5" s="17">
        <f>IF(ISERROR('Eigen informatie GS &amp; warmtenet'!B57),0,'Eigen informatie GS &amp; warmtenet'!B57)</f>
        <v>0</v>
      </c>
      <c r="D5" s="30">
        <f>(SUM(HH_hh_gas_kWh,HH_rest_gas_kWh)/1000)*0.902</f>
        <v>61135.915653999997</v>
      </c>
      <c r="E5" s="17">
        <f>B46*B57</f>
        <v>3386.0840111541652</v>
      </c>
      <c r="F5" s="17">
        <f>B51*B62</f>
        <v>67045.46113397555</v>
      </c>
      <c r="G5" s="18"/>
      <c r="H5" s="17"/>
      <c r="I5" s="17"/>
      <c r="J5" s="17">
        <f>B50*B61+C50*C61</f>
        <v>0</v>
      </c>
      <c r="K5" s="17"/>
      <c r="L5" s="17"/>
      <c r="M5" s="17"/>
      <c r="N5" s="17">
        <f>B48*B59+C48*C59</f>
        <v>9922.5239580485195</v>
      </c>
      <c r="O5" s="17">
        <f>B69*B70*B71</f>
        <v>401.7766666666667</v>
      </c>
      <c r="P5" s="17">
        <f>B77*B78*B79/1000-B77*B78*B79/1000/B80</f>
        <v>1525.3333333333335</v>
      </c>
    </row>
    <row r="6" spans="1:16">
      <c r="A6" s="16" t="s">
        <v>631</v>
      </c>
      <c r="B6" s="789">
        <f>kWh_PV_kleiner_dan_10kW</f>
        <v>6502.3939893579791</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38671.663989357978</v>
      </c>
      <c r="C8" s="21">
        <f>C5</f>
        <v>0</v>
      </c>
      <c r="D8" s="21">
        <f>D5</f>
        <v>61135.915653999997</v>
      </c>
      <c r="E8" s="21">
        <f>E5</f>
        <v>3386.0840111541652</v>
      </c>
      <c r="F8" s="21">
        <f>F5</f>
        <v>67045.46113397555</v>
      </c>
      <c r="G8" s="21"/>
      <c r="H8" s="21"/>
      <c r="I8" s="21"/>
      <c r="J8" s="21">
        <f>J5</f>
        <v>0</v>
      </c>
      <c r="K8" s="21"/>
      <c r="L8" s="21">
        <f>L5</f>
        <v>0</v>
      </c>
      <c r="M8" s="21">
        <f>M5</f>
        <v>0</v>
      </c>
      <c r="N8" s="21">
        <f>N5</f>
        <v>9922.5239580485195</v>
      </c>
      <c r="O8" s="21">
        <f>O5</f>
        <v>401.7766666666667</v>
      </c>
      <c r="P8" s="21">
        <f>P5</f>
        <v>1525.3333333333335</v>
      </c>
    </row>
    <row r="9" spans="1:16">
      <c r="B9" s="19"/>
      <c r="C9" s="19"/>
      <c r="D9" s="258"/>
      <c r="E9" s="19"/>
      <c r="F9" s="19"/>
      <c r="G9" s="19"/>
      <c r="H9" s="19"/>
      <c r="I9" s="19"/>
      <c r="J9" s="19"/>
      <c r="K9" s="19"/>
      <c r="L9" s="19"/>
      <c r="M9" s="19"/>
      <c r="N9" s="19"/>
      <c r="O9" s="19"/>
      <c r="P9" s="19"/>
    </row>
    <row r="10" spans="1:16">
      <c r="A10" s="24" t="s">
        <v>214</v>
      </c>
      <c r="B10" s="25">
        <f ca="1">'EF ele_warmte'!B12</f>
        <v>0.20187275371915789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7806.7553004336896</v>
      </c>
      <c r="C12" s="23">
        <f ca="1">C10*C8</f>
        <v>0</v>
      </c>
      <c r="D12" s="23">
        <f>D8*D10</f>
        <v>12349.454962108</v>
      </c>
      <c r="E12" s="23">
        <f>E10*E8</f>
        <v>768.64107053199552</v>
      </c>
      <c r="F12" s="23">
        <f>F10*F8</f>
        <v>17901.138122771474</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1089</v>
      </c>
      <c r="C18" s="166" t="s">
        <v>111</v>
      </c>
      <c r="D18" s="228"/>
      <c r="E18" s="15"/>
    </row>
    <row r="19" spans="1:7">
      <c r="A19" s="171" t="s">
        <v>72</v>
      </c>
      <c r="B19" s="37">
        <f>aantalw2001_ander</f>
        <v>2</v>
      </c>
      <c r="C19" s="166" t="s">
        <v>111</v>
      </c>
      <c r="D19" s="229"/>
      <c r="E19" s="15"/>
    </row>
    <row r="20" spans="1:7">
      <c r="A20" s="171" t="s">
        <v>73</v>
      </c>
      <c r="B20" s="37">
        <f>aantalw2001_propaan</f>
        <v>66</v>
      </c>
      <c r="C20" s="167">
        <f>IF(ISERROR(B20/SUM($B$20,$B$21,$B$22)*100),0,B20/SUM($B$20,$B$21,$B$22)*100)</f>
        <v>14.442013129102845</v>
      </c>
      <c r="D20" s="229"/>
      <c r="E20" s="15"/>
    </row>
    <row r="21" spans="1:7">
      <c r="A21" s="171" t="s">
        <v>74</v>
      </c>
      <c r="B21" s="37">
        <f>aantalw2001_elektriciteit</f>
        <v>340</v>
      </c>
      <c r="C21" s="167">
        <f>IF(ISERROR(B21/SUM($B$20,$B$21,$B$22)*100),0,B21/SUM($B$20,$B$21,$B$22)*100)</f>
        <v>74.398249452954047</v>
      </c>
      <c r="D21" s="229"/>
      <c r="E21" s="15"/>
    </row>
    <row r="22" spans="1:7">
      <c r="A22" s="171" t="s">
        <v>75</v>
      </c>
      <c r="B22" s="37">
        <f>aantalw2001_hout</f>
        <v>51</v>
      </c>
      <c r="C22" s="167">
        <f>IF(ISERROR(B22/SUM($B$20,$B$21,$B$22)*100),0,B22/SUM($B$20,$B$21,$B$22)*100)</f>
        <v>11.159737417943107</v>
      </c>
      <c r="D22" s="229"/>
      <c r="E22" s="15"/>
    </row>
    <row r="23" spans="1:7">
      <c r="A23" s="171" t="s">
        <v>76</v>
      </c>
      <c r="B23" s="37">
        <f>aantalw2001_niet_gespec</f>
        <v>60</v>
      </c>
      <c r="C23" s="166" t="s">
        <v>111</v>
      </c>
      <c r="D23" s="228"/>
      <c r="E23" s="15"/>
    </row>
    <row r="24" spans="1:7">
      <c r="A24" s="171" t="s">
        <v>77</v>
      </c>
      <c r="B24" s="37">
        <f>aantalw2001_steenkool</f>
        <v>141</v>
      </c>
      <c r="C24" s="166" t="s">
        <v>111</v>
      </c>
      <c r="D24" s="229"/>
      <c r="E24" s="15"/>
    </row>
    <row r="25" spans="1:7">
      <c r="A25" s="171" t="s">
        <v>78</v>
      </c>
      <c r="B25" s="37">
        <f>aantalw2001_stookolie</f>
        <v>5249</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740</v>
      </c>
      <c r="B28" s="37">
        <f>aantalHuishoudens2011</f>
        <v>8270</v>
      </c>
      <c r="C28" s="36"/>
      <c r="D28" s="228"/>
    </row>
    <row r="29" spans="1:7" s="15" customFormat="1">
      <c r="A29" s="230" t="s">
        <v>741</v>
      </c>
      <c r="B29" s="37">
        <f>SUM(HH_hh_gas_aantal,HH_rest_gas_aantal)</f>
        <v>3895</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3895</v>
      </c>
      <c r="C32" s="167">
        <f>IF(ISERROR(B32/SUM($B$32,$B$34,$B$35,$B$36,$B$38,$B$39)*100),0,B32/SUM($B$32,$B$34,$B$35,$B$36,$B$38,$B$39)*100)</f>
        <v>47.557997557997552</v>
      </c>
      <c r="D32" s="233"/>
      <c r="G32" s="15"/>
    </row>
    <row r="33" spans="1:7">
      <c r="A33" s="171" t="s">
        <v>72</v>
      </c>
      <c r="B33" s="34" t="s">
        <v>111</v>
      </c>
      <c r="C33" s="167"/>
      <c r="D33" s="233"/>
      <c r="G33" s="15"/>
    </row>
    <row r="34" spans="1:7">
      <c r="A34" s="171" t="s">
        <v>73</v>
      </c>
      <c r="B34" s="33">
        <f>IF((($B$28-$B$32-$B$39-$B$77-$B$38)*C20/100)&lt;0,0,($B$28-$B$32-$B$39-$B$77-$B$38)*C20/100)</f>
        <v>226.94179431072212</v>
      </c>
      <c r="C34" s="167">
        <f>IF(ISERROR(B34/SUM($B$32,$B$34,$B$35,$B$36,$B$38,$B$39)*100),0,B34/SUM($B$32,$B$34,$B$35,$B$36,$B$38,$B$39)*100)</f>
        <v>2.7709620794959968</v>
      </c>
      <c r="D34" s="233"/>
      <c r="G34" s="15"/>
    </row>
    <row r="35" spans="1:7">
      <c r="A35" s="171" t="s">
        <v>74</v>
      </c>
      <c r="B35" s="33">
        <f>IF((($B$28-$B$32-$B$39-$B$77-$B$38)*C21/100)&lt;0,0,($B$28-$B$32-$B$39-$B$77-$B$38)*C21/100)</f>
        <v>1169.09409190372</v>
      </c>
      <c r="C35" s="167">
        <f>IF(ISERROR(B35/SUM($B$32,$B$34,$B$35,$B$36,$B$38,$B$39)*100),0,B35/SUM($B$32,$B$34,$B$35,$B$36,$B$38,$B$39)*100)</f>
        <v>14.274653136797557</v>
      </c>
      <c r="D35" s="233"/>
      <c r="G35" s="15"/>
    </row>
    <row r="36" spans="1:7">
      <c r="A36" s="171" t="s">
        <v>75</v>
      </c>
      <c r="B36" s="33">
        <f>IF((($B$28-$B$32-$B$39-$B$77-$B$38)*C22/100)&lt;0,0,($B$28-$B$32-$B$39-$B$77-$B$38)*C22/100)</f>
        <v>175.364113785558</v>
      </c>
      <c r="C36" s="167">
        <f>IF(ISERROR(B36/SUM($B$32,$B$34,$B$35,$B$36,$B$38,$B$39)*100),0,B36/SUM($B$32,$B$34,$B$35,$B$36,$B$38,$B$39)*100)</f>
        <v>2.1411979705196336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2723.6</v>
      </c>
      <c r="C39" s="167">
        <f>IF(ISERROR(B39/SUM($B$32,$B$34,$B$35,$B$36,$B$38,$B$39)*100),0,B39/SUM($B$32,$B$34,$B$35,$B$36,$B$38,$B$39)*100)</f>
        <v>33.255189255189258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3895</v>
      </c>
      <c r="C44" s="34" t="s">
        <v>111</v>
      </c>
      <c r="D44" s="174"/>
    </row>
    <row r="45" spans="1:7">
      <c r="A45" s="171" t="s">
        <v>72</v>
      </c>
      <c r="B45" s="33" t="str">
        <f t="shared" si="0"/>
        <v>-</v>
      </c>
      <c r="C45" s="34" t="s">
        <v>111</v>
      </c>
      <c r="D45" s="174"/>
    </row>
    <row r="46" spans="1:7">
      <c r="A46" s="171" t="s">
        <v>73</v>
      </c>
      <c r="B46" s="33">
        <f t="shared" si="0"/>
        <v>226.94179431072212</v>
      </c>
      <c r="C46" s="34" t="s">
        <v>111</v>
      </c>
      <c r="D46" s="174"/>
    </row>
    <row r="47" spans="1:7">
      <c r="A47" s="171" t="s">
        <v>74</v>
      </c>
      <c r="B47" s="33">
        <f t="shared" si="0"/>
        <v>1169.09409190372</v>
      </c>
      <c r="C47" s="34" t="s">
        <v>111</v>
      </c>
      <c r="D47" s="174"/>
    </row>
    <row r="48" spans="1:7">
      <c r="A48" s="171" t="s">
        <v>75</v>
      </c>
      <c r="B48" s="33">
        <f t="shared" si="0"/>
        <v>175.364113785558</v>
      </c>
      <c r="C48" s="33">
        <f>B48*10</f>
        <v>1753.6411378555799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2723.6</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257</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80</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18556.866000000002</v>
      </c>
      <c r="C5" s="17">
        <f>IF(ISERROR('Eigen informatie GS &amp; warmtenet'!B58),0,'Eigen informatie GS &amp; warmtenet'!B58)</f>
        <v>0</v>
      </c>
      <c r="D5" s="30">
        <f>SUM(D6:D12)</f>
        <v>20848.022514</v>
      </c>
      <c r="E5" s="17">
        <f>SUM(E6:E12)</f>
        <v>201.32562331361783</v>
      </c>
      <c r="F5" s="17">
        <f>SUM(F6:F12)</f>
        <v>2747.9864274421243</v>
      </c>
      <c r="G5" s="18"/>
      <c r="H5" s="17"/>
      <c r="I5" s="17"/>
      <c r="J5" s="17">
        <f>SUM(J6:J12)</f>
        <v>0</v>
      </c>
      <c r="K5" s="17"/>
      <c r="L5" s="17"/>
      <c r="M5" s="17"/>
      <c r="N5" s="17">
        <f>SUM(N6:N12)</f>
        <v>1478.3621813453153</v>
      </c>
      <c r="O5" s="17">
        <f>B38*B39*B40</f>
        <v>1.5633333333333335</v>
      </c>
      <c r="P5" s="17">
        <f>B46*B47*B48/1000-B46*B47*B48/1000/B49</f>
        <v>57.2</v>
      </c>
      <c r="R5" s="32"/>
    </row>
    <row r="6" spans="1:18">
      <c r="A6" s="32" t="s">
        <v>54</v>
      </c>
      <c r="B6" s="37">
        <f>B26</f>
        <v>3970.6529999999998</v>
      </c>
      <c r="C6" s="33"/>
      <c r="D6" s="37">
        <f>IF(ISERROR(TER_kantoor_gas_kWh/1000),0,TER_kantoor_gas_kWh/1000)*0.902</f>
        <v>3262.6647900000003</v>
      </c>
      <c r="E6" s="33">
        <f>$C$26*'E Balans VL '!I12/100/3.6*1000000</f>
        <v>11.503564318400262</v>
      </c>
      <c r="F6" s="33">
        <f>$C$26*('E Balans VL '!L12+'E Balans VL '!N12)/100/3.6*1000000</f>
        <v>449.39043933185968</v>
      </c>
      <c r="G6" s="34"/>
      <c r="H6" s="33"/>
      <c r="I6" s="33"/>
      <c r="J6" s="33">
        <f>$C$26*('E Balans VL '!D12+'E Balans VL '!E12)/100/3.6*1000000</f>
        <v>0</v>
      </c>
      <c r="K6" s="33"/>
      <c r="L6" s="33"/>
      <c r="M6" s="33"/>
      <c r="N6" s="33">
        <f>$C$26*'E Balans VL '!Y12/100/3.6*1000000</f>
        <v>39.743310822240353</v>
      </c>
      <c r="O6" s="33"/>
      <c r="P6" s="33"/>
      <c r="R6" s="32"/>
    </row>
    <row r="7" spans="1:18">
      <c r="A7" s="32" t="s">
        <v>53</v>
      </c>
      <c r="B7" s="37">
        <f t="shared" ref="B7:B12" si="0">B27</f>
        <v>2266.8820000000001</v>
      </c>
      <c r="C7" s="33"/>
      <c r="D7" s="37">
        <f>IF(ISERROR(TER_horeca_gas_kWh/1000),0,TER_horeca_gas_kWh/1000)*0.902</f>
        <v>1585.9333819999999</v>
      </c>
      <c r="E7" s="33">
        <f>$C$27*'E Balans VL '!I9/100/3.6*1000000</f>
        <v>95.157372816867081</v>
      </c>
      <c r="F7" s="33">
        <f>$C$27*('E Balans VL '!L9+'E Balans VL '!N9)/100/3.6*1000000</f>
        <v>487.08608449367318</v>
      </c>
      <c r="G7" s="34"/>
      <c r="H7" s="33"/>
      <c r="I7" s="33"/>
      <c r="J7" s="33">
        <f>$C$27*('E Balans VL '!D9+'E Balans VL '!E9)/100/3.6*1000000</f>
        <v>0</v>
      </c>
      <c r="K7" s="33"/>
      <c r="L7" s="33"/>
      <c r="M7" s="33"/>
      <c r="N7" s="33">
        <f>$C$27*'E Balans VL '!Y9/100/3.6*1000000</f>
        <v>0.58415566679772679</v>
      </c>
      <c r="O7" s="33"/>
      <c r="P7" s="33"/>
      <c r="R7" s="32"/>
    </row>
    <row r="8" spans="1:18">
      <c r="A8" s="6" t="s">
        <v>52</v>
      </c>
      <c r="B8" s="37">
        <f t="shared" si="0"/>
        <v>8027.5020000000004</v>
      </c>
      <c r="C8" s="33"/>
      <c r="D8" s="37">
        <f>IF(ISERROR(TER_handel_gas_kWh/1000),0,TER_handel_gas_kWh/1000)*0.902</f>
        <v>9741.6577280000001</v>
      </c>
      <c r="E8" s="33">
        <f>$C$28*'E Balans VL '!I13/100/3.6*1000000</f>
        <v>86.222052579993701</v>
      </c>
      <c r="F8" s="33">
        <f>$C$28*('E Balans VL '!L13+'E Balans VL '!N13)/100/3.6*1000000</f>
        <v>1039.2264236449666</v>
      </c>
      <c r="G8" s="34"/>
      <c r="H8" s="33"/>
      <c r="I8" s="33"/>
      <c r="J8" s="33">
        <f>$C$28*('E Balans VL '!D13+'E Balans VL '!E13)/100/3.6*1000000</f>
        <v>0</v>
      </c>
      <c r="K8" s="33"/>
      <c r="L8" s="33"/>
      <c r="M8" s="33"/>
      <c r="N8" s="33">
        <f>$C$28*'E Balans VL '!Y13/100/3.6*1000000</f>
        <v>65.119534544667175</v>
      </c>
      <c r="O8" s="33"/>
      <c r="P8" s="33"/>
      <c r="R8" s="32"/>
    </row>
    <row r="9" spans="1:18">
      <c r="A9" s="32" t="s">
        <v>51</v>
      </c>
      <c r="B9" s="37">
        <f t="shared" si="0"/>
        <v>1977.2190000000001</v>
      </c>
      <c r="C9" s="33"/>
      <c r="D9" s="37">
        <f>IF(ISERROR(TER_gezond_gas_kWh/1000),0,TER_gezond_gas_kWh/1000)*0.902</f>
        <v>2676.3413380000002</v>
      </c>
      <c r="E9" s="33">
        <f>$C$29*'E Balans VL '!I10/100/3.6*1000000</f>
        <v>1.5739942070988304</v>
      </c>
      <c r="F9" s="33">
        <f>$C$29*('E Balans VL '!L10+'E Balans VL '!N10)/100/3.6*1000000</f>
        <v>240.35954283816665</v>
      </c>
      <c r="G9" s="34"/>
      <c r="H9" s="33"/>
      <c r="I9" s="33"/>
      <c r="J9" s="33">
        <f>$C$29*('E Balans VL '!D10+'E Balans VL '!E10)/100/3.6*1000000</f>
        <v>0</v>
      </c>
      <c r="K9" s="33"/>
      <c r="L9" s="33"/>
      <c r="M9" s="33"/>
      <c r="N9" s="33">
        <f>$C$29*'E Balans VL '!Y10/100/3.6*1000000</f>
        <v>15.971451252243508</v>
      </c>
      <c r="O9" s="33"/>
      <c r="P9" s="33"/>
      <c r="R9" s="32"/>
    </row>
    <row r="10" spans="1:18">
      <c r="A10" s="32" t="s">
        <v>50</v>
      </c>
      <c r="B10" s="37">
        <f t="shared" si="0"/>
        <v>1925.818</v>
      </c>
      <c r="C10" s="33"/>
      <c r="D10" s="37">
        <f>IF(ISERROR(TER_ander_gas_kWh/1000),0,TER_ander_gas_kWh/1000)*0.902</f>
        <v>1340.4035700000002</v>
      </c>
      <c r="E10" s="33">
        <f>$C$30*'E Balans VL '!I14/100/3.6*1000000</f>
        <v>6.5998794555092104</v>
      </c>
      <c r="F10" s="33">
        <f>$C$30*('E Balans VL '!L14+'E Balans VL '!N14)/100/3.6*1000000</f>
        <v>430.14948517476608</v>
      </c>
      <c r="G10" s="34"/>
      <c r="H10" s="33"/>
      <c r="I10" s="33"/>
      <c r="J10" s="33">
        <f>$C$30*('E Balans VL '!D14+'E Balans VL '!E14)/100/3.6*1000000</f>
        <v>0</v>
      </c>
      <c r="K10" s="33"/>
      <c r="L10" s="33"/>
      <c r="M10" s="33"/>
      <c r="N10" s="33">
        <f>$C$30*'E Balans VL '!Y14/100/3.6*1000000</f>
        <v>1356.556719738086</v>
      </c>
      <c r="O10" s="33"/>
      <c r="P10" s="33"/>
      <c r="R10" s="32"/>
    </row>
    <row r="11" spans="1:18">
      <c r="A11" s="32" t="s">
        <v>55</v>
      </c>
      <c r="B11" s="37">
        <f t="shared" si="0"/>
        <v>388.79199999999997</v>
      </c>
      <c r="C11" s="33"/>
      <c r="D11" s="37">
        <f>IF(ISERROR(TER_onderwijs_gas_kWh/1000),0,TER_onderwijs_gas_kWh/1000)*0.902</f>
        <v>2241.021706</v>
      </c>
      <c r="E11" s="33">
        <f>$C$31*'E Balans VL '!I11/100/3.6*1000000</f>
        <v>0.26875993574875701</v>
      </c>
      <c r="F11" s="33">
        <f>$C$31*('E Balans VL '!L11+'E Balans VL '!N11)/100/3.6*1000000</f>
        <v>101.77445195869198</v>
      </c>
      <c r="G11" s="34"/>
      <c r="H11" s="33"/>
      <c r="I11" s="33"/>
      <c r="J11" s="33">
        <f>$C$31*('E Balans VL '!D11+'E Balans VL '!E11)/100/3.6*1000000</f>
        <v>0</v>
      </c>
      <c r="K11" s="33"/>
      <c r="L11" s="33"/>
      <c r="M11" s="33"/>
      <c r="N11" s="33">
        <f>$C$31*'E Balans VL '!Y11/100/3.6*1000000</f>
        <v>0.38700932128066179</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18556.866000000002</v>
      </c>
      <c r="C16" s="21">
        <f t="shared" ca="1" si="1"/>
        <v>0</v>
      </c>
      <c r="D16" s="21">
        <f t="shared" ca="1" si="1"/>
        <v>20848.022514</v>
      </c>
      <c r="E16" s="21">
        <f t="shared" si="1"/>
        <v>201.32562331361783</v>
      </c>
      <c r="F16" s="21">
        <f t="shared" ca="1" si="1"/>
        <v>2747.9864274421243</v>
      </c>
      <c r="G16" s="21">
        <f t="shared" si="1"/>
        <v>0</v>
      </c>
      <c r="H16" s="21">
        <f t="shared" si="1"/>
        <v>0</v>
      </c>
      <c r="I16" s="21">
        <f t="shared" si="1"/>
        <v>0</v>
      </c>
      <c r="J16" s="21">
        <f t="shared" si="1"/>
        <v>0</v>
      </c>
      <c r="K16" s="21">
        <f t="shared" si="1"/>
        <v>0</v>
      </c>
      <c r="L16" s="21">
        <f t="shared" ca="1" si="1"/>
        <v>0</v>
      </c>
      <c r="M16" s="21">
        <f t="shared" si="1"/>
        <v>0</v>
      </c>
      <c r="N16" s="21">
        <f t="shared" ca="1" si="1"/>
        <v>1478.3621813453153</v>
      </c>
      <c r="O16" s="21">
        <f>O5</f>
        <v>1.5633333333333335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0.20187275371915789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3746.125639817415</v>
      </c>
      <c r="C20" s="23">
        <f t="shared" ref="C20:P20" ca="1" si="2">C16*C18</f>
        <v>0</v>
      </c>
      <c r="D20" s="23">
        <f t="shared" ca="1" si="2"/>
        <v>4211.3005478280002</v>
      </c>
      <c r="E20" s="23">
        <f t="shared" si="2"/>
        <v>45.700916492191247</v>
      </c>
      <c r="F20" s="23">
        <f t="shared" ca="1" si="2"/>
        <v>733.71237612704726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3970.6529999999998</v>
      </c>
      <c r="C26" s="39">
        <f>IF(ISERROR(B26*3.6/1000000/'E Balans VL '!Z12*100),0,B26*3.6/1000000/'E Balans VL '!Z12*100)</f>
        <v>8.7219983679551472E-2</v>
      </c>
      <c r="D26" s="237" t="s">
        <v>692</v>
      </c>
      <c r="F26" s="6"/>
    </row>
    <row r="27" spans="1:18">
      <c r="A27" s="231" t="s">
        <v>53</v>
      </c>
      <c r="B27" s="33">
        <f>IF(ISERROR(TER_horeca_ele_kWh/1000),0,TER_horeca_ele_kWh/1000)</f>
        <v>2266.8820000000001</v>
      </c>
      <c r="C27" s="39">
        <f>IF(ISERROR(B27*3.6/1000000/'E Balans VL '!Z9*100),0,B27*3.6/1000000/'E Balans VL '!Z9*100)</f>
        <v>0.18216656524666561</v>
      </c>
      <c r="D27" s="237" t="s">
        <v>692</v>
      </c>
      <c r="F27" s="6"/>
    </row>
    <row r="28" spans="1:18">
      <c r="A28" s="171" t="s">
        <v>52</v>
      </c>
      <c r="B28" s="33">
        <f>IF(ISERROR(TER_handel_ele_kWh/1000),0,TER_handel_ele_kWh/1000)</f>
        <v>8027.5020000000004</v>
      </c>
      <c r="C28" s="39">
        <f>IF(ISERROR(B28*3.6/1000000/'E Balans VL '!Z13*100),0,B28*3.6/1000000/'E Balans VL '!Z13*100)</f>
        <v>0.2373676260093513</v>
      </c>
      <c r="D28" s="237" t="s">
        <v>692</v>
      </c>
      <c r="F28" s="6"/>
    </row>
    <row r="29" spans="1:18">
      <c r="A29" s="231" t="s">
        <v>51</v>
      </c>
      <c r="B29" s="33">
        <f>IF(ISERROR(TER_gezond_ele_kWh/1000),0,TER_gezond_ele_kWh/1000)</f>
        <v>1977.2190000000001</v>
      </c>
      <c r="C29" s="39">
        <f>IF(ISERROR(B29*3.6/1000000/'E Balans VL '!Z10*100),0,B29*3.6/1000000/'E Balans VL '!Z10*100)</f>
        <v>0.22278153400525041</v>
      </c>
      <c r="D29" s="237" t="s">
        <v>692</v>
      </c>
      <c r="F29" s="6"/>
    </row>
    <row r="30" spans="1:18">
      <c r="A30" s="231" t="s">
        <v>50</v>
      </c>
      <c r="B30" s="33">
        <f>IF(ISERROR(TER_ander_ele_kWh/1000),0,TER_ander_ele_kWh/1000)</f>
        <v>1925.818</v>
      </c>
      <c r="C30" s="39">
        <f>IF(ISERROR(B30*3.6/1000000/'E Balans VL '!Z14*100),0,B30*3.6/1000000/'E Balans VL '!Z14*100)</f>
        <v>0.14564632330283053</v>
      </c>
      <c r="D30" s="237" t="s">
        <v>692</v>
      </c>
      <c r="F30" s="6"/>
    </row>
    <row r="31" spans="1:18">
      <c r="A31" s="231" t="s">
        <v>55</v>
      </c>
      <c r="B31" s="33">
        <f>IF(ISERROR(TER_onderwijs_ele_kWh/1000),0,TER_onderwijs_ele_kWh/1000)</f>
        <v>388.79199999999997</v>
      </c>
      <c r="C31" s="39">
        <f>IF(ISERROR(B31*3.6/1000000/'E Balans VL '!Z11*100),0,B31*3.6/1000000/'E Balans VL '!Z11*100)</f>
        <v>8.0704193781185068E-2</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3</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42821.624000000003</v>
      </c>
      <c r="C5" s="17">
        <f>IF(ISERROR('Eigen informatie GS &amp; warmtenet'!B59),0,'Eigen informatie GS &amp; warmtenet'!B59)</f>
        <v>0</v>
      </c>
      <c r="D5" s="30">
        <f>SUM(D6:D15)</f>
        <v>116321.75493400001</v>
      </c>
      <c r="E5" s="17">
        <f>SUM(E6:E15)</f>
        <v>1058.531088492407</v>
      </c>
      <c r="F5" s="17">
        <f>SUM(F6:F15)</f>
        <v>54430.415079371545</v>
      </c>
      <c r="G5" s="18"/>
      <c r="H5" s="17"/>
      <c r="I5" s="17"/>
      <c r="J5" s="17">
        <f>SUM(J6:J15)</f>
        <v>617.05365254550861</v>
      </c>
      <c r="K5" s="17"/>
      <c r="L5" s="17"/>
      <c r="M5" s="17"/>
      <c r="N5" s="17">
        <f>SUM(N6:N15)</f>
        <v>14508.324953759649</v>
      </c>
      <c r="O5" s="17">
        <f>B43*B44*B45</f>
        <v>0</v>
      </c>
      <c r="P5" s="17">
        <f>B51*B52*B53/1000-B51*B52*B53/1000/B54</f>
        <v>0</v>
      </c>
      <c r="R5" s="32"/>
    </row>
    <row r="6" spans="1:18">
      <c r="A6" s="6" t="s">
        <v>35</v>
      </c>
      <c r="B6" s="37">
        <f>IF( ISERROR(IND_ijzer_ele_kWh/1000),0,IND_ijzer_ele_kWh/1000)</f>
        <v>895.46799999999996</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14324.33</v>
      </c>
      <c r="C8" s="33"/>
      <c r="D8" s="37">
        <f>IF( ISERROR(IND_metaal_Gas_kWH/1000),0,IND_metaal_Gas_kWH/1000)*0.902</f>
        <v>702.91687400000001</v>
      </c>
      <c r="E8" s="33">
        <f>C30*'E Balans VL '!I18/100/3.6*1000000</f>
        <v>358.48784581905267</v>
      </c>
      <c r="F8" s="33">
        <f>C30*'E Balans VL '!L18/100/3.6*1000000+C30*'E Balans VL '!N18/100/3.6*1000000</f>
        <v>4489.3162748818104</v>
      </c>
      <c r="G8" s="34"/>
      <c r="H8" s="33"/>
      <c r="I8" s="33"/>
      <c r="J8" s="40">
        <f>C30*'E Balans VL '!D18/100/3.6*1000000+C30*'E Balans VL '!E18/100/3.6*1000000</f>
        <v>0</v>
      </c>
      <c r="K8" s="33"/>
      <c r="L8" s="33"/>
      <c r="M8" s="33"/>
      <c r="N8" s="33">
        <f>C30*'E Balans VL '!Y18/100/3.6*1000000</f>
        <v>359.86434447802446</v>
      </c>
      <c r="O8" s="33"/>
      <c r="P8" s="33"/>
      <c r="R8" s="32"/>
    </row>
    <row r="9" spans="1:18">
      <c r="A9" s="6" t="s">
        <v>33</v>
      </c>
      <c r="B9" s="37">
        <f t="shared" si="0"/>
        <v>1580.6289999999999</v>
      </c>
      <c r="C9" s="33"/>
      <c r="D9" s="37">
        <f>IF( ISERROR(IND_andere_gas_kWh/1000),0,IND_andere_gas_kWh/1000)*0.902</f>
        <v>1751.5487000000001</v>
      </c>
      <c r="E9" s="33">
        <f>C31*'E Balans VL '!I19/100/3.6*1000000</f>
        <v>434.60814541369115</v>
      </c>
      <c r="F9" s="33">
        <f>C31*'E Balans VL '!L19/100/3.6*1000000+C31*'E Balans VL '!N19/100/3.6*1000000</f>
        <v>1245.810701193971</v>
      </c>
      <c r="G9" s="34"/>
      <c r="H9" s="33"/>
      <c r="I9" s="33"/>
      <c r="J9" s="40">
        <f>C31*'E Balans VL '!D19/100/3.6*1000000+C31*'E Balans VL '!E19/100/3.6*1000000</f>
        <v>0</v>
      </c>
      <c r="K9" s="33"/>
      <c r="L9" s="33"/>
      <c r="M9" s="33"/>
      <c r="N9" s="33">
        <f>C31*'E Balans VL '!Y19/100/3.6*1000000</f>
        <v>511.69132892393907</v>
      </c>
      <c r="O9" s="33"/>
      <c r="P9" s="33"/>
      <c r="R9" s="32"/>
    </row>
    <row r="10" spans="1:18">
      <c r="A10" s="6" t="s">
        <v>41</v>
      </c>
      <c r="B10" s="37">
        <f t="shared" si="0"/>
        <v>25770.183000000001</v>
      </c>
      <c r="C10" s="33"/>
      <c r="D10" s="37">
        <f>IF( ISERROR(IND_voed_gas_kWh/1000),0,IND_voed_gas_kWh/1000)*0.902</f>
        <v>113310.03015200001</v>
      </c>
      <c r="E10" s="33">
        <f>C32*'E Balans VL '!I20/100/3.6*1000000</f>
        <v>262.71281881017757</v>
      </c>
      <c r="F10" s="33">
        <f>C32*'E Balans VL '!L20/100/3.6*1000000+C32*'E Balans VL '!N20/100/3.6*1000000</f>
        <v>48679.714510063903</v>
      </c>
      <c r="G10" s="34"/>
      <c r="H10" s="33"/>
      <c r="I10" s="33"/>
      <c r="J10" s="40">
        <f>C32*'E Balans VL '!D20/100/3.6*1000000+C32*'E Balans VL '!E20/100/3.6*1000000</f>
        <v>616.76479961052803</v>
      </c>
      <c r="K10" s="33"/>
      <c r="L10" s="33"/>
      <c r="M10" s="33"/>
      <c r="N10" s="33">
        <f>C32*'E Balans VL '!Y20/100/3.6*1000000</f>
        <v>13583.854802090576</v>
      </c>
      <c r="O10" s="33"/>
      <c r="P10" s="33"/>
      <c r="R10" s="32"/>
    </row>
    <row r="11" spans="1:18">
      <c r="A11" s="6" t="s">
        <v>40</v>
      </c>
      <c r="B11" s="37">
        <f t="shared" si="0"/>
        <v>30.172000000000001</v>
      </c>
      <c r="C11" s="33"/>
      <c r="D11" s="37">
        <f>IF( ISERROR(IND_textiel_gas_kWh/1000),0,IND_textiel_gas_kWh/1000)*0.902</f>
        <v>0</v>
      </c>
      <c r="E11" s="33">
        <f>C33*'E Balans VL '!I21/100/3.6*1000000</f>
        <v>7.9970560670483595E-2</v>
      </c>
      <c r="F11" s="33">
        <f>C33*'E Balans VL '!L21/100/3.6*1000000+C33*'E Balans VL '!N21/100/3.6*1000000</f>
        <v>1.3475126447356094</v>
      </c>
      <c r="G11" s="34"/>
      <c r="H11" s="33"/>
      <c r="I11" s="33"/>
      <c r="J11" s="40">
        <f>C33*'E Balans VL '!D21/100/3.6*1000000+C33*'E Balans VL '!E21/100/3.6*1000000</f>
        <v>0</v>
      </c>
      <c r="K11" s="33"/>
      <c r="L11" s="33"/>
      <c r="M11" s="33"/>
      <c r="N11" s="33">
        <f>C33*'E Balans VL '!Y21/100/3.6*1000000</f>
        <v>0.28434953178383698</v>
      </c>
      <c r="O11" s="33"/>
      <c r="P11" s="33"/>
      <c r="R11" s="32"/>
    </row>
    <row r="12" spans="1:18">
      <c r="A12" s="6" t="s">
        <v>37</v>
      </c>
      <c r="B12" s="37">
        <f t="shared" si="0"/>
        <v>72.135000000000005</v>
      </c>
      <c r="C12" s="33"/>
      <c r="D12" s="37">
        <f>IF( ISERROR(IND_min_gas_kWh/1000),0,IND_min_gas_kWh/1000)*0.902</f>
        <v>69.565848000000003</v>
      </c>
      <c r="E12" s="33">
        <f>C34*'E Balans VL '!I22/100/3.6*1000000</f>
        <v>0.21846428452118735</v>
      </c>
      <c r="F12" s="33">
        <f>C34*'E Balans VL '!L22/100/3.6*1000000+C34*'E Balans VL '!N22/100/3.6*1000000</f>
        <v>2.2542807670639342</v>
      </c>
      <c r="G12" s="34"/>
      <c r="H12" s="33"/>
      <c r="I12" s="33"/>
      <c r="J12" s="40">
        <f>C34*'E Balans VL '!D22/100/3.6*1000000+C34*'E Balans VL '!E22/100/3.6*1000000</f>
        <v>0.10696019185514187</v>
      </c>
      <c r="K12" s="33"/>
      <c r="L12" s="33"/>
      <c r="M12" s="33"/>
      <c r="N12" s="33">
        <f>C34*'E Balans VL '!Y22/100/3.6*1000000</f>
        <v>0</v>
      </c>
      <c r="O12" s="33"/>
      <c r="P12" s="33"/>
      <c r="R12" s="32"/>
    </row>
    <row r="13" spans="1:18">
      <c r="A13" s="6" t="s">
        <v>39</v>
      </c>
      <c r="B13" s="37">
        <f t="shared" si="0"/>
        <v>105.351</v>
      </c>
      <c r="C13" s="33"/>
      <c r="D13" s="37">
        <f>IF( ISERROR(IND_papier_gas_kWh/1000),0,IND_papier_gas_kWh/1000)*0.902</f>
        <v>115.71307</v>
      </c>
      <c r="E13" s="33">
        <f>C35*'E Balans VL '!I23/100/3.6*1000000</f>
        <v>0.21818903202126957</v>
      </c>
      <c r="F13" s="33">
        <f>C35*'E Balans VL '!L23/100/3.6*1000000+C35*'E Balans VL '!N23/100/3.6*1000000</f>
        <v>2.0893361845929004</v>
      </c>
      <c r="G13" s="34"/>
      <c r="H13" s="33"/>
      <c r="I13" s="33"/>
      <c r="J13" s="40">
        <f>C35*'E Balans VL '!D23/100/3.6*1000000+C35*'E Balans VL '!E23/100/3.6*1000000</f>
        <v>0</v>
      </c>
      <c r="K13" s="33"/>
      <c r="L13" s="33"/>
      <c r="M13" s="33"/>
      <c r="N13" s="33">
        <f>C35*'E Balans VL '!Y23/100/3.6*1000000</f>
        <v>44.484235223868581</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43.356000000000002</v>
      </c>
      <c r="C15" s="33"/>
      <c r="D15" s="37">
        <f>IF( ISERROR(IND_rest_gas_kWh/1000),0,IND_rest_gas_kWh/1000)*0.902</f>
        <v>371.98028999999997</v>
      </c>
      <c r="E15" s="33">
        <f>C37*'E Balans VL '!I15/100/3.6*1000000</f>
        <v>2.2056545722727963</v>
      </c>
      <c r="F15" s="33">
        <f>C37*'E Balans VL '!L15/100/3.6*1000000+C37*'E Balans VL '!N15/100/3.6*1000000</f>
        <v>9.8824636354691595</v>
      </c>
      <c r="G15" s="34"/>
      <c r="H15" s="33"/>
      <c r="I15" s="33"/>
      <c r="J15" s="40">
        <f>C37*'E Balans VL '!D15/100/3.6*1000000+C37*'E Balans VL '!E15/100/3.6*1000000</f>
        <v>0.18189274312542153</v>
      </c>
      <c r="K15" s="33"/>
      <c r="L15" s="33"/>
      <c r="M15" s="33"/>
      <c r="N15" s="33">
        <f>C37*'E Balans VL '!Y15/100/3.6*1000000</f>
        <v>8.145893511459029</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42821.624000000003</v>
      </c>
      <c r="C18" s="21">
        <f>C5+C16</f>
        <v>0</v>
      </c>
      <c r="D18" s="21">
        <f>MAX((D5+D16),0)</f>
        <v>116321.75493400001</v>
      </c>
      <c r="E18" s="21">
        <f>MAX((E5+E16),0)</f>
        <v>1058.531088492407</v>
      </c>
      <c r="F18" s="21">
        <f>MAX((F5+F16),0)</f>
        <v>54430.415079371545</v>
      </c>
      <c r="G18" s="21"/>
      <c r="H18" s="21"/>
      <c r="I18" s="21"/>
      <c r="J18" s="21">
        <f>MAX((J5+J16),0)</f>
        <v>617.05365254550861</v>
      </c>
      <c r="K18" s="21"/>
      <c r="L18" s="21">
        <f>MAX((L5+L16),0)</f>
        <v>0</v>
      </c>
      <c r="M18" s="21"/>
      <c r="N18" s="21">
        <f>MAX((N5+N16),0)</f>
        <v>14508.324953759649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0.20187275371915789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8644.5191556063819</v>
      </c>
      <c r="C22" s="23">
        <f ca="1">C18*C20</f>
        <v>0</v>
      </c>
      <c r="D22" s="23">
        <f>D18*D20</f>
        <v>23496.994496668005</v>
      </c>
      <c r="E22" s="23">
        <f>E18*E20</f>
        <v>240.2865570877764</v>
      </c>
      <c r="F22" s="23">
        <f>F18*F20</f>
        <v>14532.920826192203</v>
      </c>
      <c r="G22" s="23"/>
      <c r="H22" s="23"/>
      <c r="I22" s="23"/>
      <c r="J22" s="23">
        <f>J18*J20</f>
        <v>218.43699300111004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14324.33</v>
      </c>
      <c r="C30" s="39">
        <f>IF(ISERROR(B30*3.6/1000000/'E Balans VL '!Z18*100),0,B30*3.6/1000000/'E Balans VL '!Z18*100)</f>
        <v>2.0049288364291691</v>
      </c>
      <c r="D30" s="237" t="s">
        <v>692</v>
      </c>
    </row>
    <row r="31" spans="1:18">
      <c r="A31" s="6" t="s">
        <v>33</v>
      </c>
      <c r="B31" s="37">
        <f>IF( ISERROR(IND_ander_ele_kWh/1000),0,IND_ander_ele_kWh/1000)</f>
        <v>1580.6289999999999</v>
      </c>
      <c r="C31" s="39">
        <f>IF(ISERROR(B31*3.6/1000000/'E Balans VL '!Z19*100),0,B31*3.6/1000000/'E Balans VL '!Z19*100)</f>
        <v>6.9183874915546284E-2</v>
      </c>
      <c r="D31" s="237" t="s">
        <v>692</v>
      </c>
    </row>
    <row r="32" spans="1:18">
      <c r="A32" s="171" t="s">
        <v>41</v>
      </c>
      <c r="B32" s="37">
        <f>IF( ISERROR(IND_voed_ele_kWh/1000),0,IND_voed_ele_kWh/1000)</f>
        <v>25770.183000000001</v>
      </c>
      <c r="C32" s="39">
        <f>IF(ISERROR(B32*3.6/1000000/'E Balans VL '!Z20*100),0,B32*3.6/1000000/'E Balans VL '!Z20*100)</f>
        <v>6.3798415252346041</v>
      </c>
      <c r="D32" s="237" t="s">
        <v>692</v>
      </c>
    </row>
    <row r="33" spans="1:5">
      <c r="A33" s="171" t="s">
        <v>40</v>
      </c>
      <c r="B33" s="37">
        <f>IF( ISERROR(IND_textiel_ele_kWh/1000),0,IND_textiel_ele_kWh/1000)</f>
        <v>30.172000000000001</v>
      </c>
      <c r="C33" s="39">
        <f>IF(ISERROR(B33*3.6/1000000/'E Balans VL '!Z21*100),0,B33*3.6/1000000/'E Balans VL '!Z21*100)</f>
        <v>3.3998529153234204E-3</v>
      </c>
      <c r="D33" s="237" t="s">
        <v>692</v>
      </c>
    </row>
    <row r="34" spans="1:5">
      <c r="A34" s="171" t="s">
        <v>37</v>
      </c>
      <c r="B34" s="37">
        <f>IF( ISERROR(IND_min_ele_kWh/1000),0,IND_min_ele_kWh/1000)</f>
        <v>72.135000000000005</v>
      </c>
      <c r="C34" s="39">
        <f>IF(ISERROR(B34*3.6/1000000/'E Balans VL '!Z22*100),0,B34*3.6/1000000/'E Balans VL '!Z22*100)</f>
        <v>2.0468970050167234E-3</v>
      </c>
      <c r="D34" s="237" t="s">
        <v>692</v>
      </c>
    </row>
    <row r="35" spans="1:5">
      <c r="A35" s="171" t="s">
        <v>39</v>
      </c>
      <c r="B35" s="37">
        <f>IF( ISERROR(IND_papier_ele_kWh/1000),0,IND_papier_ele_kWh/1000)</f>
        <v>105.351</v>
      </c>
      <c r="C35" s="39">
        <f>IF(ISERROR(B35*3.6/1000000/'E Balans VL '!Z22*100),0,B35*3.6/1000000/'E Balans VL '!Z22*100)</f>
        <v>2.9894315710198493E-3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43.356000000000002</v>
      </c>
      <c r="C37" s="39">
        <f>IF(ISERROR(B37*3.6/1000000/'E Balans VL '!Z15*100),0,B37*3.6/1000000/'E Balans VL '!Z15*100)</f>
        <v>3.2147731713869093E-4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218.37799999999999</v>
      </c>
      <c r="C5" s="17">
        <f>'Eigen informatie GS &amp; warmtenet'!B60</f>
        <v>0</v>
      </c>
      <c r="D5" s="30">
        <f>IF(ISERROR(SUM(LB_lb_gas_kWh,LB_rest_gas_kWh)/1000),0,SUM(LB_lb_gas_kWh,LB_rest_gas_kWh)/1000)*0.902</f>
        <v>130.003456</v>
      </c>
      <c r="E5" s="17">
        <f>B17*'E Balans VL '!I25/3.6*1000000/100</f>
        <v>2.0227085011140491</v>
      </c>
      <c r="F5" s="17">
        <f>B17*('E Balans VL '!L25/3.6*1000000+'E Balans VL '!N25/3.6*1000000)/100</f>
        <v>554.06658696630825</v>
      </c>
      <c r="G5" s="18"/>
      <c r="H5" s="17"/>
      <c r="I5" s="17"/>
      <c r="J5" s="17">
        <f>('E Balans VL '!D25+'E Balans VL '!E25)/3.6*1000000*landbouw!B17/100</f>
        <v>33.479784505592924</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218.37799999999999</v>
      </c>
      <c r="C8" s="21">
        <f>C5+C6</f>
        <v>0</v>
      </c>
      <c r="D8" s="21">
        <f>MAX((D5+D6),0)</f>
        <v>130.003456</v>
      </c>
      <c r="E8" s="21">
        <f>MAX((E5+E6),0)</f>
        <v>2.0227085011140491</v>
      </c>
      <c r="F8" s="21">
        <f>MAX((F5+F6),0)</f>
        <v>554.06658696630825</v>
      </c>
      <c r="G8" s="21"/>
      <c r="H8" s="21"/>
      <c r="I8" s="21"/>
      <c r="J8" s="21">
        <f>MAX((J5+J6),0)</f>
        <v>33.479784505592924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0.20187275371915789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44.08456821168226</v>
      </c>
      <c r="C12" s="23">
        <f ca="1">C8*C10</f>
        <v>0</v>
      </c>
      <c r="D12" s="23">
        <f>D8*D10</f>
        <v>26.260698112</v>
      </c>
      <c r="E12" s="23">
        <f>E8*E10</f>
        <v>0.45915482975288918</v>
      </c>
      <c r="F12" s="23">
        <f>F8*F10</f>
        <v>147.93577872000432</v>
      </c>
      <c r="G12" s="23"/>
      <c r="H12" s="23"/>
      <c r="I12" s="23"/>
      <c r="J12" s="23">
        <f>J8*J10</f>
        <v>11.851843714979895</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3.1048721186037253E-2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38.172976618376161</v>
      </c>
      <c r="C26" s="247">
        <f>B26*'GWP N2O_CH4'!B5</f>
        <v>801.63250898589934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2.851307417521769</v>
      </c>
      <c r="C27" s="247">
        <f>B27*'GWP N2O_CH4'!B5</f>
        <v>59.877455767957152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0.60416786595825889</v>
      </c>
      <c r="C28" s="247">
        <f>B28*'GWP N2O_CH4'!B4</f>
        <v>187.29203844706026</v>
      </c>
      <c r="D28" s="50"/>
    </row>
    <row r="29" spans="1:4">
      <c r="A29" s="41" t="s">
        <v>277</v>
      </c>
      <c r="B29" s="247">
        <f>B34*'ha_N2O bodem landbouw'!B4</f>
        <v>5.7062565212220431</v>
      </c>
      <c r="C29" s="247">
        <f>B29*'GWP N2O_CH4'!B4</f>
        <v>1768.9395215788334</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1.2798128088179399E-3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1.24985672669303E-4</v>
      </c>
      <c r="C5" s="464" t="s">
        <v>211</v>
      </c>
      <c r="D5" s="449">
        <f>SUM(D6:D11)</f>
        <v>3.267729512308356E-4</v>
      </c>
      <c r="E5" s="449">
        <f>SUM(E6:E11)</f>
        <v>2.406986399216176E-3</v>
      </c>
      <c r="F5" s="462" t="s">
        <v>211</v>
      </c>
      <c r="G5" s="449">
        <f>SUM(G6:G11)</f>
        <v>0.78654145785870544</v>
      </c>
      <c r="H5" s="449">
        <f>SUM(H6:H11)</f>
        <v>0.12698749947147131</v>
      </c>
      <c r="I5" s="464" t="s">
        <v>211</v>
      </c>
      <c r="J5" s="464" t="s">
        <v>211</v>
      </c>
      <c r="K5" s="464" t="s">
        <v>211</v>
      </c>
      <c r="L5" s="464" t="s">
        <v>211</v>
      </c>
      <c r="M5" s="449">
        <f>SUM(M6:M11)</f>
        <v>4.9406954679282883E-2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2.8697638317164774E-5</v>
      </c>
      <c r="C6" s="450"/>
      <c r="D6" s="893">
        <f>vkm_2011_GW_PW*SUMIFS(TableVerdeelsleutelVkm[CNG],TableVerdeelsleutelVkm[Voertuigtype],"Lichte voertuigen")*SUMIFS(TableECFTransport[EnergieConsumptieFactor (PJ per km)],TableECFTransport[Index],CONCATENATE($A6,"_CNG_CNG"))</f>
        <v>6.6380796906700403E-5</v>
      </c>
      <c r="E6" s="893">
        <f>vkm_2011_GW_PW*SUMIFS(TableVerdeelsleutelVkm[LPG],TableVerdeelsleutelVkm[Voertuigtype],"Lichte voertuigen")*SUMIFS(TableECFTransport[EnergieConsumptieFactor (PJ per km)],TableECFTransport[Index],CONCATENATE($A6,"_LPG_LPG"))</f>
        <v>4.322316632160243E-4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8.9792930266620191E-2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2.5310771415815152E-2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5.9732854275785559E-3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5.9197497645240092E-2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2.0244469118035347E-5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3.4249107854213484E-3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1.6125947048607266E-5</v>
      </c>
      <c r="C8" s="450"/>
      <c r="D8" s="452">
        <f>vkm_2011_NGW_PW*SUMIFS(TableVerdeelsleutelVkm[CNG],TableVerdeelsleutelVkm[Voertuigtype],"Lichte voertuigen")*SUMIFS(TableECFTransport[EnergieConsumptieFactor (PJ per km)],TableECFTransport[Index],CONCATENATE($A8,"_CNG_CNG"))</f>
        <v>6.5974728813583312E-5</v>
      </c>
      <c r="E8" s="452">
        <f>vkm_2011_NGW_PW*SUMIFS(TableVerdeelsleutelVkm[LPG],TableVerdeelsleutelVkm[Voertuigtype],"Lichte voertuigen")*SUMIFS(TableECFTransport[EnergieConsumptieFactor (PJ per km)],TableECFTransport[Index],CONCATENATE($A8,"_LPG_LPG"))</f>
        <v>3.9646465494223897E-4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7.6992853557623211E-2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2.4324017685263703E-2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5.2024856431546872E-3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1.6447202779822038E-2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5.3221232312706291E-6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9.5155459456295255E-4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8.016208730353095E-5</v>
      </c>
      <c r="C10" s="450"/>
      <c r="D10" s="452">
        <f>vkm_2011_SW_PW*SUMIFS(TableVerdeelsleutelVkm[CNG],TableVerdeelsleutelVkm[Voertuigtype],"Lichte voertuigen")*SUMIFS(TableECFTransport[EnergieConsumptieFactor (PJ per km)],TableECFTransport[Index],CONCATENATE($A10,"_CNG_CNG"))</f>
        <v>1.9441742551055188E-4</v>
      </c>
      <c r="E10" s="452">
        <f>vkm_2011_SW_PW*SUMIFS(TableVerdeelsleutelVkm[LPG],TableVerdeelsleutelVkm[Voertuigtype],"Lichte voertuigen")*SUMIFS(TableECFTransport[EnergieConsumptieFactor (PJ per km)],TableECFTransport[Index],CONCATENATE($A10,"_LPG_LPG"))</f>
        <v>1.5782900810579128E-3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0.29518556178796307</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7.7235399265025859E-2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1.9452768488886076E-2</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0.24892541182143688</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9.1744513017307124E-5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1.4401949739679258E-2</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34.718242408139723</v>
      </c>
      <c r="C14" s="21"/>
      <c r="D14" s="21">
        <f t="shared" ref="D14:M14" si="0">((D5)*10^9/3600)+D12</f>
        <v>90.77026423078766</v>
      </c>
      <c r="E14" s="21">
        <f t="shared" si="0"/>
        <v>668.60733311560443</v>
      </c>
      <c r="F14" s="21"/>
      <c r="G14" s="21">
        <f t="shared" si="0"/>
        <v>218483.73829408485</v>
      </c>
      <c r="H14" s="21">
        <f t="shared" si="0"/>
        <v>35274.305408742031</v>
      </c>
      <c r="I14" s="21"/>
      <c r="J14" s="21"/>
      <c r="K14" s="21"/>
      <c r="L14" s="21"/>
      <c r="M14" s="21">
        <f t="shared" si="0"/>
        <v>13724.154077578578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0.20187275371915789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7.0086671992204135</v>
      </c>
      <c r="C18" s="23"/>
      <c r="D18" s="23">
        <f t="shared" ref="D18:M18" si="1">D14*D16</f>
        <v>18.335593374619108</v>
      </c>
      <c r="E18" s="23">
        <f t="shared" si="1"/>
        <v>151.77386461724222</v>
      </c>
      <c r="F18" s="23"/>
      <c r="G18" s="23">
        <f t="shared" si="1"/>
        <v>58335.158124520654</v>
      </c>
      <c r="H18" s="23">
        <f t="shared" si="1"/>
        <v>8783.3020467767656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8.8330002727839887E-3</v>
      </c>
      <c r="H50" s="321">
        <f t="shared" si="2"/>
        <v>0</v>
      </c>
      <c r="I50" s="321">
        <f t="shared" si="2"/>
        <v>0</v>
      </c>
      <c r="J50" s="321">
        <f t="shared" si="2"/>
        <v>0</v>
      </c>
      <c r="K50" s="321">
        <f t="shared" si="2"/>
        <v>0</v>
      </c>
      <c r="L50" s="321">
        <f t="shared" si="2"/>
        <v>0</v>
      </c>
      <c r="M50" s="321">
        <f t="shared" si="2"/>
        <v>5.0372025597008956E-4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8.8330002727839887E-3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5.0372025597008956E-4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2453.6111868844414</v>
      </c>
      <c r="H54" s="21">
        <f t="shared" si="3"/>
        <v>0</v>
      </c>
      <c r="I54" s="21">
        <f t="shared" si="3"/>
        <v>0</v>
      </c>
      <c r="J54" s="21">
        <f t="shared" si="3"/>
        <v>0</v>
      </c>
      <c r="K54" s="21">
        <f t="shared" si="3"/>
        <v>0</v>
      </c>
      <c r="L54" s="21">
        <f t="shared" si="3"/>
        <v>0</v>
      </c>
      <c r="M54" s="21">
        <f t="shared" si="3"/>
        <v>139.9222933250249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0.20187275371915789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655.11418689814593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8864.1091257761982</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8864.1091257761982</v>
      </c>
      <c r="C10" s="584">
        <f t="shared" ref="C10:L10" si="0">SUM(C8:C9)</f>
        <v>0</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2019-08-12T08:10:24Z</dcterms:modified>
</cp:coreProperties>
</file>