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K20"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N78" l="1"/>
  <c r="N9" i="59"/>
  <c r="L90" i="14"/>
  <c r="L18" i="59"/>
  <c r="L20" s="1"/>
  <c r="N10"/>
  <c r="H90" i="14"/>
  <c r="H18" i="59"/>
  <c r="P22" i="14"/>
  <c r="L78"/>
  <c r="D14" i="48"/>
  <c r="K10" i="18"/>
  <c r="K78" i="14"/>
  <c r="B20" i="18"/>
  <c r="M77" i="14"/>
  <c r="M9" i="59" s="1"/>
  <c r="H9" i="18"/>
  <c r="O9" s="1"/>
  <c r="Q22" i="14"/>
  <c r="L10" i="59"/>
  <c r="D22" i="14"/>
  <c r="L22"/>
  <c r="E10" i="59"/>
  <c r="B8" i="18"/>
  <c r="B10" s="1"/>
  <c r="F13" i="15"/>
  <c r="G77" i="14"/>
  <c r="G9" i="59" s="1"/>
  <c r="G10" s="1"/>
  <c r="P28" i="48"/>
  <c r="I77" i="14"/>
  <c r="I9" i="59" s="1"/>
  <c r="O10"/>
  <c r="H20"/>
  <c r="B98" i="18"/>
  <c r="B102" s="1"/>
  <c r="C17" s="1"/>
  <c r="B13" i="15"/>
  <c r="N13"/>
  <c r="L13"/>
  <c r="F77" i="14"/>
  <c r="F9" i="59" s="1"/>
  <c r="I101" i="18"/>
  <c r="H8" s="1"/>
  <c r="E101"/>
  <c r="E8" s="1"/>
  <c r="F101"/>
  <c r="H101"/>
  <c r="D101"/>
  <c r="G101"/>
  <c r="C101"/>
  <c r="B101"/>
  <c r="C8" s="1"/>
  <c r="I102"/>
  <c r="H17" s="1"/>
  <c r="E102"/>
  <c r="E17" s="1"/>
  <c r="C102"/>
  <c r="F102"/>
  <c r="H102"/>
  <c r="D102"/>
  <c r="G102"/>
  <c r="C89" i="14"/>
  <c r="C19" i="59" s="1"/>
  <c r="O19" i="18"/>
  <c r="O78" i="14"/>
  <c r="N88"/>
  <c r="D10" i="18"/>
  <c r="E78" i="14"/>
  <c r="D77"/>
  <c r="D9" i="59" s="1"/>
  <c r="H77" i="14"/>
  <c r="G90"/>
  <c r="O88"/>
  <c r="G89"/>
  <c r="G19" i="59" s="1"/>
  <c r="G20" s="1"/>
  <c r="G20" i="18"/>
  <c r="O18"/>
  <c r="O25" i="48"/>
  <c r="O27"/>
  <c r="Q11"/>
  <c r="O29"/>
  <c r="P31"/>
  <c r="O28"/>
  <c r="Q12"/>
  <c r="O24"/>
  <c r="O30"/>
  <c r="P24"/>
  <c r="P30"/>
  <c r="Q77" i="14"/>
  <c r="P9" i="59" s="1"/>
  <c r="E90" i="14"/>
  <c r="R9"/>
  <c r="R25"/>
  <c r="K90"/>
  <c r="O90" l="1"/>
  <c r="O18" i="59"/>
  <c r="O20" s="1"/>
  <c r="N90" i="14"/>
  <c r="N18" i="59"/>
  <c r="N20" s="1"/>
  <c r="H78" i="14"/>
  <c r="H9" i="59"/>
  <c r="H10" s="1"/>
  <c r="B89" i="14"/>
  <c r="B19" i="59" s="1"/>
  <c r="J17" i="18"/>
  <c r="I8"/>
  <c r="G78" i="14"/>
  <c r="D10" i="59"/>
  <c r="Q89" i="14"/>
  <c r="P19" i="59" s="1"/>
  <c r="Q14" i="48"/>
  <c r="C77" i="14"/>
  <c r="C9" i="59" s="1"/>
  <c r="J87" i="14"/>
  <c r="J20" i="18"/>
  <c r="H20"/>
  <c r="M87" i="14"/>
  <c r="F76"/>
  <c r="E10" i="18"/>
  <c r="C20"/>
  <c r="D87" i="14"/>
  <c r="D17" i="59" s="1"/>
  <c r="D20" s="1"/>
  <c r="H10" i="18"/>
  <c r="M76" i="14"/>
  <c r="B88"/>
  <c r="B18" i="59" s="1"/>
  <c r="I17" i="18"/>
  <c r="O17" s="1"/>
  <c r="O20" s="1"/>
  <c r="D76" i="14"/>
  <c r="D8" i="59"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O8" i="18"/>
  <c r="O10" s="1"/>
  <c r="Q76" i="14"/>
  <c r="D78"/>
  <c r="I78"/>
  <c r="B76"/>
  <c r="J10" i="18"/>
  <c r="J76" i="14"/>
  <c r="I87"/>
  <c r="I17" i="59" s="1"/>
  <c r="I20" s="1"/>
  <c r="I20" i="18"/>
  <c r="Q87" i="14"/>
  <c r="D90"/>
  <c r="C87"/>
  <c r="A31" i="23"/>
  <c r="A32"/>
  <c r="A33"/>
  <c r="C90" i="14" l="1"/>
  <c r="C17" i="59"/>
  <c r="C20" s="1"/>
  <c r="J78" i="14"/>
  <c r="J8" i="59"/>
  <c r="J10" s="1"/>
  <c r="B78" i="14"/>
  <c r="B8" i="59"/>
  <c r="B10" s="1"/>
  <c r="Q90" i="14"/>
  <c r="B17" i="6" s="1"/>
  <c r="P17" i="59"/>
  <c r="P20" s="1"/>
  <c r="Q78" i="14"/>
  <c r="B9" i="6" s="1"/>
  <c r="P8" i="59"/>
  <c r="P10" s="1"/>
  <c r="B87" i="14"/>
  <c r="I90"/>
  <c r="C76"/>
  <c r="B11" i="44"/>
  <c r="B25"/>
  <c r="B24"/>
  <c r="B4" i="6" l="1"/>
  <c r="C78" i="14"/>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5"/>
  <c r="K27"/>
  <c r="K30"/>
  <c r="K31"/>
  <c r="K24"/>
  <c r="K29"/>
  <c r="B7"/>
  <c r="C24" i="14"/>
  <c r="C26" s="1"/>
  <c r="J24" i="48"/>
  <c r="J32"/>
  <c r="J30"/>
  <c r="J27"/>
  <c r="J31"/>
  <c r="J29"/>
  <c r="J28"/>
  <c r="Q11" i="14"/>
  <c r="P4" i="48"/>
  <c r="P11" i="14"/>
  <c r="O4" i="48"/>
  <c r="I32"/>
  <c r="I28"/>
  <c r="I22"/>
  <c r="I30"/>
  <c r="I31"/>
  <c r="I26"/>
  <c r="I24"/>
  <c r="I29"/>
  <c r="I25"/>
  <c r="I27"/>
  <c r="E11" i="14"/>
  <c r="D4" i="48"/>
  <c r="D22" s="1"/>
  <c r="H32"/>
  <c r="H29"/>
  <c r="H28"/>
  <c r="H26"/>
  <c r="H30"/>
  <c r="H24"/>
  <c r="H25"/>
  <c r="H22"/>
  <c r="H23"/>
  <c r="C4"/>
  <c r="D11" i="14"/>
  <c r="G25" i="48"/>
  <c r="G32"/>
  <c r="G22"/>
  <c r="G30"/>
  <c r="G26"/>
  <c r="G24"/>
  <c r="G29"/>
  <c r="G23"/>
  <c r="C11" i="14"/>
  <c r="B4" i="48"/>
  <c r="F24"/>
  <c r="F32"/>
  <c r="F29"/>
  <c r="F30"/>
  <c r="F27"/>
  <c r="F28"/>
  <c r="F31"/>
  <c r="N32"/>
  <c r="N27"/>
  <c r="N31"/>
  <c r="N24"/>
  <c r="N29"/>
  <c r="N30"/>
  <c r="N28"/>
  <c r="C19" i="14"/>
  <c r="B10" i="48"/>
  <c r="E32"/>
  <c r="E31"/>
  <c r="E28"/>
  <c r="E29"/>
  <c r="E30"/>
  <c r="E24"/>
  <c r="M26"/>
  <c r="M25"/>
  <c r="M32"/>
  <c r="M30"/>
  <c r="M29"/>
  <c r="M22"/>
  <c r="M24"/>
  <c r="M23"/>
  <c r="L10" i="14"/>
  <c r="L16" s="1"/>
  <c r="L27" s="1"/>
  <c r="K5" i="48"/>
  <c r="D30"/>
  <c r="D29"/>
  <c r="D28"/>
  <c r="D24"/>
  <c r="D31"/>
  <c r="D32"/>
  <c r="L32"/>
  <c r="L29"/>
  <c r="L28"/>
  <c r="L31"/>
  <c r="L24"/>
  <c r="L27"/>
  <c r="L22"/>
  <c r="L30"/>
  <c r="P5"/>
  <c r="P23" s="1"/>
  <c r="Q10" i="14"/>
  <c r="N46"/>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K24" i="14"/>
  <c r="K26" s="1"/>
  <c r="J7" i="48"/>
  <c r="J25" s="1"/>
  <c r="C20" i="14"/>
  <c r="B9" i="48"/>
  <c r="O22"/>
  <c r="G11" i="14"/>
  <c r="F4" i="48"/>
  <c r="F22" s="1"/>
  <c r="Q16" i="14"/>
  <c r="Q27" s="1"/>
  <c r="J63"/>
  <c r="K33" i="48"/>
  <c r="D1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H20"/>
  <c r="G9" i="48"/>
  <c r="N19" i="14"/>
  <c r="M10" i="48"/>
  <c r="M28" s="1"/>
  <c r="O22" i="16"/>
  <c r="P43" i="14" s="1"/>
  <c r="P46" s="1"/>
  <c r="P61" s="1"/>
  <c r="P13"/>
  <c r="O8" i="48"/>
  <c r="G10"/>
  <c r="H19" i="14"/>
  <c r="R19" s="1"/>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M27"/>
  <c r="M33" s="1"/>
  <c r="M15"/>
  <c r="G28"/>
  <c r="Q10"/>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<sst xmlns="http://schemas.openxmlformats.org/spreadsheetml/2006/main" count="2419" uniqueCount="907">
  <si>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</si>
  <si>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</si>
  <si>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</si>
  <si>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</si>
  <si>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</si>
  <si>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</si>
  <si>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</si>
  <si>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</si>
  <si>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</si>
  <si>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</si>
  <si>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</si>
  <si>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</si>
  <si>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</si>
  <si>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</si>
  <si>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</si>
  <si>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</si>
  <si>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</si>
  <si>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</si>
  <si>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</si>
  <si>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</si>
  <si>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</si>
  <si>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</si>
  <si>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</si>
  <si>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</si>
  <si>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</si>
  <si>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</si>
  <si>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</si>
  <si>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</si>
  <si>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</si>
  <si>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</si>
  <si>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</si>
  <si>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</si>
  <si>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</si>
  <si>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</si>
  <si>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</si>
  <si>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</si>
  <si>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</si>
  <si>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</si>
  <si>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</si>
  <si>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</si>
  <si>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</si>
  <si>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</si>
  <si>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</si>
  <si>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</si>
  <si>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</si>
  <si>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</si>
  <si>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</si>
  <si>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</si>
  <si>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</si>
  <si>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</si>
  <si>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</si>
  <si>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</si>
  <si>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</si>
  <si>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</si>
  <si>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</si>
  <si>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</si>
  <si>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</si>
  <si>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</si>
  <si>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</si>
  <si>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</si>
  <si>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</si>
  <si>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</si>
  <si>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</si>
  <si>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</si>
  <si>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</si>
  <si>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</si>
  <si>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</si>
  <si>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</si>
  <si>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</si>
  <si>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</si>
  <si>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</si>
  <si>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</si>
  <si>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</si>
  <si>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</si>
  <si>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</si>
  <si>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</si>
  <si>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</si>
  <si>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</si>
  <si>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</si>
  <si>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</si>
  <si>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</si>
  <si>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</si>
  <si>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</si>
  <si>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</si>
  <si>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</si>
  <si>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</si>
  <si>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</si>
  <si>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</si>
  <si>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</si>
  <si>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</si>
  <si>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</si>
  <si>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</si>
  <si>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</si>
  <si>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</si>
  <si>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</si>
  <si>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</si>
  <si>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</si>
  <si>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</si>
  <si>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</si>
  <si>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</si>
  <si>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</si>
  <si>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</si>
  <si>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</si>
  <si>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</si>
  <si>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</si>
  <si>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</si>
  <si>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</si>
  <si>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</si>
  <si>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</si>
  <si>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</si>
  <si>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</si>
  <si>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</si>
  <si>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</si>
  <si>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</si>
  <si>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</si>
  <si>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</si>
  <si>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</si>
  <si>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</si>
  <si>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</si>
  <si>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</si>
  <si>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</si>
  <si>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</si>
  <si>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</si>
  <si>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</si>
  <si>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</si>
  <si>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</si>
  <si>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</si>
  <si>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</si>
  <si>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</si>
  <si>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</si>
  <si>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</si>
  <si>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</si>
  <si>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</si>
  <si>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</si>
  <si>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</si>
  <si>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</si>
  <si>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</si>
  <si>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</si>
  <si>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</si>
  <si>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</si>
  <si>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</si>
  <si>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</si>
  <si>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</si>
  <si>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</si>
  <si>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</si>
  <si>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</si>
  <si>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</si>
  <si>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</si>
  <si>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</si>
  <si>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</si>
  <si>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</si>
  <si>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</si>
  <si>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</si>
  <si>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</si>
  <si>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</si>
  <si>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</si>
  <si>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</si>
  <si>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</si>
  <si>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</si>
  <si>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</si>
  <si>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</si>
  <si>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</si>
  <si>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</si>
  <si>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</si>
  <si>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</si>
  <si>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</si>
  <si>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</si>
  <si>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</si>
  <si>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</si>
  <si>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</si>
  <si>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</si>
  <si>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</si>
  <si>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</si>
  <si>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</si>
  <si>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</si>
  <si>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</si>
  <si>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</si>
  <si>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</si>
  <si>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</si>
  <si>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</si>
  <si>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</si>
  <si>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</si>
  <si>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</si>
  <si>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</si>
  <si>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</si>
  <si>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</si>
  <si>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</si>
  <si>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</si>
  <si>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</si>
  <si>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</si>
  <si>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</si>
  <si>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</si>
  <si>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</si>
  <si>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</si>
  <si>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</si>
  <si>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</si>
  <si>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</si>
  <si>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</si>
  <si>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</si>
  <si>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</si>
  <si>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</si>
  <si>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</si>
  <si>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</si>
  <si>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</si>
  <si>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</si>
  <si>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</si>
  <si>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</si>
  <si>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</si>
  <si>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</si>
  <si>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</si>
  <si>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</si>
  <si>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</si>
  <si>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</si>
  <si>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</si>
  <si>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</si>
  <si>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</si>
  <si>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</si>
  <si>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</si>
  <si>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</si>
  <si>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</si>
  <si>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</si>
  <si>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</si>
  <si>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</si>
  <si>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</si>
  <si>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</si>
  <si>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</si>
  <si>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</si>
  <si>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</si>
  <si>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</si>
  <si>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</si>
  <si>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</si>
  <si>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</si>
  <si>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</si>
  <si>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</si>
  <si>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</si>
  <si>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</si>
  <si>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</si>
  <si>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</si>
  <si>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</si>
  <si>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</si>
  <si>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</si>
  <si>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</si>
  <si>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</si>
  <si>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</si>
  <si>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</si>
  <si>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</si>
  <si>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</si>
  <si>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</si>
  <si>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</si>
  <si>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</si>
  <si>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</si>
  <si>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</si>
  <si>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</si>
  <si>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</si>
  <si>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</si>
  <si>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</si>
  <si>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</si>
  <si>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</si>
  <si>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</si>
  <si>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</si>
  <si>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</si>
  <si>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</si>
  <si>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</si>
  <si>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</si>
  <si>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</si>
  <si>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</si>
  <si>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</si>
  <si>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</si>
  <si>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</si>
  <si>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</si>
  <si>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</si>
  <si>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</si>
  <si>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</si>
  <si>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</si>
  <si>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</si>
  <si>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</si>
  <si>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</si>
  <si>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</si>
  <si>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</si>
  <si>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</si>
  <si>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</si>
  <si>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</si>
  <si>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</si>
  <si>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</si>
  <si>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</si>
  <si>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</si>
  <si>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</si>
  <si>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</si>
  <si>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</si>
  <si>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</si>
  <si>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</si>
  <si>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</si>
  <si>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</si>
  <si>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</si>
  <si>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</si>
  <si>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</si>
  <si>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</si>
  <si>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</si>
  <si>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</si>
  <si>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</si>
  <si>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</si>
  <si>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</si>
  <si>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</si>
  <si>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</si>
  <si>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</si>
  <si>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</si>
  <si>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</si>
  <si>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</si>
  <si>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</si>
  <si>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</si>
  <si>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</si>
  <si>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</si>
  <si>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</si>
  <si>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</si>
  <si>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</si>
  <si>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</si>
  <si>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</si>
  <si>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</si>
  <si>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</si>
  <si>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</si>
  <si>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</si>
  <si>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</si>
  <si>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</si>
  <si>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</si>
  <si>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</si>
  <si>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</si>
  <si>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</si>
  <si>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</si>
  <si>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</si>
  <si>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</si>
  <si>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</si>
  <si>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</si>
  <si>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</si>
  <si>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</si>
  <si>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</si>
  <si>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</si>
  <si>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</si>
  <si>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</si>
  <si>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</si>
  <si>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</si>
  <si>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</si>
  <si>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</si>
  <si>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</si>
  <si>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</si>
  <si>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</si>
  <si>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</si>
  <si>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</si>
  <si>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</si>
  <si>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</si>
  <si>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</si>
  <si>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</si>
  <si>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</si>
  <si>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</si>
  <si>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</si>
  <si>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</si>
  <si>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</si>
  <si>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</si>
  <si>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</si>
  <si>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</si>
  <si>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</si>
  <si>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</si>
  <si>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</si>
  <si>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</si>
  <si>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</si>
  <si>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</si>
  <si>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</si>
  <si>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</si>
  <si>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</si>
  <si>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</si>
  <si>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</si>
  <si>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</si>
  <si>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</si>
  <si>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</si>
  <si>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</si>
  <si>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</si>
  <si>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</si>
  <si>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</si>
  <si>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</si>
  <si>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</si>
  <si>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</si>
  <si>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</si>
  <si>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</si>
  <si>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</si>
  <si>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</si>
  <si>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</si>
  <si>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</si>
  <si>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</si>
  <si>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</si>
  <si>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</si>
  <si>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</si>
  <si>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</si>
  <si>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</si>
  <si>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</si>
  <si>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</si>
  <si>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</si>
  <si>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</si>
  <si>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</si>
  <si>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</si>
  <si>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</si>
  <si>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</si>
  <si>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</si>
  <si>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</si>
  <si>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</si>
  <si>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</si>
  <si>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</si>
  <si>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</si>
  <si>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</si>
  <si>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</si>
  <si>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</si>
  <si>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</si>
  <si>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</si>
  <si>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</si>
  <si>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</si>
  <si>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</si>
  <si>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</si>
  <si>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</si>
  <si>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</si>
  <si>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</si>
  <si>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</si>
  <si>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</si>
  <si>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</si>
  <si>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</si>
  <si>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</si>
  <si>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</si>
  <si>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</si>
  <si>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</si>
  <si>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</si>
  <si>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</si>
  <si>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</si>
  <si>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</si>
  <si>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</si>
  <si>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</si>
  <si>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</si>
  <si>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</si>
  <si>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</si>
  <si>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</si>
  <si>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</si>
  <si>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</si>
  <si>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</si>
  <si>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</si>
  <si>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</si>
  <si>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</si>
  <si>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</si>
  <si>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</si>
  <si>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</si>
  <si>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</si>
  <si>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</si>
  <si>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</si>
  <si>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</si>
  <si>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</si>
  <si>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</si>
  <si>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</si>
  <si>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</si>
  <si>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</si>
  <si>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</si>
  <si>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</si>
  <si>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</si>
  <si>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</si>
  <si>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</si>
  <si>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</si>
  <si>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</si>
  <si>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</si>
  <si>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</si>
  <si>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</si>
  <si>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</si>
  <si>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</si>
  <si>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</si>
  <si>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</si>
  <si>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</si>
  <si>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</si>
  <si>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</si>
  <si>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</si>
  <si>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</si>
  <si>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</si>
  <si>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</si>
  <si>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</si>
  <si>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</si>
  <si>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</si>
  <si>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</si>
  <si>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</si>
  <si>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</si>
  <si>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</si>
  <si>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</si>
  <si>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</si>
  <si>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</si>
  <si>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</si>
  <si>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</si>
  <si>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</si>
  <si>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</si>
  <si>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</si>
  <si>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</si>
  <si>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</si>
  <si>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</si>
  <si>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</si>
  <si>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</si>
  <si>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</si>
  <si>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</si>
  <si>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</si>
  <si>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</si>
  <si>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</si>
  <si>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</si>
  <si>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</si>
  <si>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</si>
  <si>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</si>
  <si>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</si>
  <si>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</si>
  <si>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</si>
  <si>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</si>
  <si>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</si>
  <si>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</si>
  <si>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</si>
  <si>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</si>
  <si>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</si>
  <si>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</si>
  <si>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</si>
  <si>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</si>
  <si>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</si>
  <si>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</si>
  <si>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</si>
  <si>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</si>
  <si>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</si>
  <si>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</si>
  <si>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</si>
  <si>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</si>
  <si>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</si>
  <si>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</si>
  <si>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</si>
  <si>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</si>
  <si>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</si>
  <si>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</si>
  <si>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</si>
  <si>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</si>
  <si>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</si>
  <si>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</si>
  <si>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</si>
  <si>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</si>
  <si>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</si>
  <si>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</si>
  <si>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</si>
  <si>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</si>
  <si>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</si>
  <si>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</si>
  <si>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</si>
  <si>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</si>
  <si>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</si>
  <si>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</si>
  <si>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</si>
  <si>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</si>
  <si>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</si>
  <si>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</si>
  <si>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</si>
  <si>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</si>
  <si>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</si>
  <si>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</si>
  <si>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</si>
  <si>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</si>
  <si>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</si>
  <si>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</si>
  <si>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</si>
  <si>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</si>
  <si>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</si>
  <si>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</si>
  <si>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</si>
  <si>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</si>
  <si>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</si>
  <si>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</si>
  <si>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</si>
  <si>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</si>
  <si>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</si>
  <si>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</si>
  <si>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</si>
  <si>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</si>
  <si>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</si>
  <si>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</si>
  <si>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</si>
  <si>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</si>
  <si>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</si>
  <si>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</si>
  <si>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</si>
  <si>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</si>
  <si>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</si>
  <si>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</si>
  <si>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</si>
  <si>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</si>
  <si>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</si>
  <si>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</si>
  <si>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</si>
  <si>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</si>
  <si>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</si>
  <si>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</si>
  <si>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</si>
  <si>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</si>
  <si>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</si>
  <si>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</si>
  <si>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</si>
  <si>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</si>
  <si>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</si>
  <si>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</si>
  <si>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</si>
  <si>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</si>
  <si>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</si>
  <si>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</si>
  <si>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</si>
  <si>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</si>
  <si>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</si>
  <si>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</si>
  <si>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</si>
  <si>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</si>
  <si>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</si>
  <si>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</si>
  <si>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</si>
  <si>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</si>
  <si>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</si>
  <si>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</si>
  <si>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</si>
  <si>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</si>
  <si>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</si>
  <si>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</si>
  <si>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</si>
  <si>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</si>
  <si>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</si>
  <si>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</si>
  <si>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</si>
  <si>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</si>
  <si>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</si>
  <si>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</si>
  <si>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</si>
  <si>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</si>
  <si>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</si>
  <si>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</si>
  <si>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</si>
  <si>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</si>
  <si>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</si>
  <si>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</si>
  <si>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</si>
  <si>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</si>
  <si>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</si>
  <si>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</si>
  <si>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</si>
  <si>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</si>
  <si>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</si>
  <si>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</si>
  <si>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</si>
  <si>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</si>
  <si>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</si>
  <si>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</si>
  <si>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</si>
  <si>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</si>
  <si>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</si>
  <si>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</si>
  <si>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</si>
  <si>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</si>
  <si>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</si>
  <si>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</si>
  <si>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</si>
  <si>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</si>
  <si>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</si>
  <si>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</si>
  <si>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</si>
  <si>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</si>
  <si>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</si>
  <si>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</si>
  <si>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</si>
  <si>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</si>
  <si>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</si>
  <si>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</si>
  <si>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</si>
  <si>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</si>
  <si>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</si>
  <si>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</si>
  <si>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</si>
  <si>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</si>
  <si>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</si>
  <si>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</si>
  <si>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</si>
  <si>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</si>
  <si>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</si>
  <si>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</si>
  <si>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</si>
  <si>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</si>
  <si>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</si>
  <si>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</si>
  <si>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</si>
  <si>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</si>
  <si>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</si>
  <si>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</si>
  <si>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</si>
  <si>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</si>
  <si>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</si>
  <si>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</si>
  <si>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</si>
  <si>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</si>
  <si>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</si>
  <si>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</si>
  <si>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</si>
  <si>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</si>
  <si>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</si>
  <si>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</si>
  <si>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</si>
  <si>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</si>
  <si>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</si>
  <si>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</si>
  <si>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</si>
  <si>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</si>
  <si>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</si>
  <si>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</si>
  <si>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</si>
  <si>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</si>
  <si>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</si>
  <si>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</si>
  <si>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</si>
  <si>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</si>
  <si>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</si>
  <si>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</si>
  <si>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</si>
  <si>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</si>
  <si>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</si>
  <si>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</si>
  <si>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</si>
  <si>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</si>
  <si>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</si>
  <si>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</si>
  <si>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</si>
  <si>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</si>
  <si>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</si>
  <si>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</si>
  <si>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</si>
  <si>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</si>
  <si>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</si>
  <si>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</si>
  <si>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</si>
  <si>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</si>
  <si>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</si>
  <si>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</si>
  <si>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</si>
  <si>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</si>
  <si>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</si>
  <si>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</si>
  <si>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</si>
  <si>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</si>
  <si>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</si>
  <si>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</si>
  <si>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</si>
  <si>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</si>
  <si>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</si>
  <si>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</si>
  <si>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</si>
  <si>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</si>
  <si>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</si>
  <si>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</si>
  <si>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</si>
  <si>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</si>
  <si>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</si>
  <si>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</si>
  <si>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</si>
  <si>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</si>
  <si>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</si>
  <si>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</si>
  <si>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</si>
  <si>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</si>
  <si>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</si>
  <si>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</si>
  <si>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</si>
  <si>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</si>
  <si>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</si>
  <si>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</si>
  <si>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</si>
  <si>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</si>
  <si>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</si>
  <si>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</si>
  <si>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</si>
  <si>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</si>
  <si>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</si>
  <si>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</si>
  <si>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</si>
  <si>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</si>
  <si>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</si>
  <si>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</si>
  <si>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</si>
  <si>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</si>
  <si>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</si>
  <si>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</si>
  <si>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</si>
  <si>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</si>
  <si>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</si>
  <si>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</si>
  <si>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</si>
  <si>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</si>
  <si>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</si>
  <si>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</si>
  <si>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</si>
  <si>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</si>
  <si>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</si>
  <si>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</si>
  <si>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</si>
  <si>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</si>
  <si>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</si>
  <si>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</si>
  <si>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</si>
  <si>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</si>
  <si>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</si>
  <si>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</si>
  <si>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</si>
  <si>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</si>
  <si>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</si>
  <si>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</si>
  <si>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</si>
  <si>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</si>
  <si>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</si>
  <si>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</si>
  <si>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</si>
  <si>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</si>
  <si>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</si>
  <si>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</si>
  <si>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</si>
  <si>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</si>
  <si>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</si>
  <si>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</si>
  <si>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</si>
  <si>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</si>
  <si>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</si>
  <si>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</si>
  <si>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</si>
  <si>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</si>
  <si>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</si>
  <si>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</si>
  <si>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</si>
  <si>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</si>
  <si>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</si>
  <si>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</si>
  <si>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</si>
  <si>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</si>
  <si>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</si>
  <si>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</si>
  <si>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</si>
  <si>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</si>
  <si>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</si>
  <si>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</si>
  <si>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</si>
  <si>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</si>
  <si>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</si>
  <si>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</si>
  <si>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</si>
  <si>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</si>
  <si>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</si>
  <si>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</si>
  <si>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</si>
  <si>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</si>
  <si>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</si>
  <si>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</si>
  <si>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</si>
  <si>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</si>
  <si>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</si>
  <si>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</si>
  <si>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</si>
  <si>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</si>
  <si>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</si>
  <si>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</si>
  <si>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</si>
  <si>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</si>
  <si>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</si>
  <si>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</si>
  <si>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</si>
  <si>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</si>
  <si>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</si>
  <si>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</si>
  <si>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</si>
  <si>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</si>
  <si>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</si>
  <si>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</si>
  <si>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</si>
  <si>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</si>
  <si>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</si>
  <si>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</si>
  <si>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</si>
  <si>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</si>
  <si>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</si>
  <si>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</si>
  <si>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</si>
  <si>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</si>
  <si>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</si>
  <si>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</si>
  <si>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</si>
  <si>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</si>
  <si>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</si>
  <si>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</si>
  <si>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</si>
  <si>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</si>
  <si>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</si>
  <si>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</si>
  <si>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</si>
  <si>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</si>
  <si>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</si>
  <si>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</si>
  <si>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</si>
  <si>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</si>
  <si>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</si>
  <si>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</si>
  <si>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</si>
  <si>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71017</t>
  </si>
  <si>
    <t>GINGELOM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</si>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</sst>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86543.815387760027</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86543.815387760027</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19299.813320179153</c:v>
                </c:pt>
                <c:pt idx="2">
                  <c:v>1481.1112353558742</c:v>
                </c:pt>
                <c:pt idx="3">
                  <c:v>90.469093239892629</c:v>
                </c:pt>
                <c:pt idx="4">
                  <c:v>1225.7640292670815</c:v>
                </c:pt>
                <c:pt idx="5">
                  <c:v>453.94349868090092</c:v>
                </c:pt>
                <c:pt idx="6">
                  <c:v>18874.048129595689</c:v>
                </c:pt>
                <c:pt idx="7">
                  <c:v>244.95617774192354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4640"/>
        <c:axId val="147190528"/>
      </c:barChart>
      <c:catAx>
        <c:axId val="147184640"/>
        <c:scaling>
          <c:orientation val="minMax"/>
        </c:scaling>
        <c:axPos val="b"/>
        <c:numFmt formatCode="General" sourceLinked="0"/>
        <c:tickLblPos val="nextTo"/>
        <c:crossAx val="147190528"/>
        <c:crosses val="autoZero"/>
        <c:auto val="1"/>
        <c:lblAlgn val="ctr"/>
        <c:lblOffset val="100"/>
      </c:catAx>
      <c:valAx>
        <c:axId val="147190528"/>
        <c:scaling>
          <c:orientation val="minMax"/>
        </c:scaling>
        <c:axPos val="l"/>
        <c:majorGridlines/>
        <c:numFmt formatCode="#,##0" sourceLinked="1"/>
        <c:tickLblPos val="nextTo"/>
        <c:crossAx val="14718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19299.813320179153</c:v>
                </c:pt>
                <c:pt idx="2">
                  <c:v>1481.1112353558742</c:v>
                </c:pt>
                <c:pt idx="3">
                  <c:v>90.469093239892629</c:v>
                </c:pt>
                <c:pt idx="4">
                  <c:v>1225.7640292670815</c:v>
                </c:pt>
                <c:pt idx="5">
                  <c:v>453.94349868090092</c:v>
                </c:pt>
                <c:pt idx="6">
                  <c:v>18874.048129595689</c:v>
                </c:pt>
                <c:pt idx="7">
                  <c:v>244.95617774192354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71017</v>
      </c>
      <c r="B6" s="416"/>
      <c r="C6" s="417"/>
    </row>
    <row r="7" spans="1:7" s="414" customFormat="1" ht="15.75" customHeight="1">
      <c r="A7" s="418" t="str">
        <f>txtMunicipality</f>
        <v>GINGELOM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0.19200456137945132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0.19200456137945132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3324</v>
      </c>
      <c r="C9" s="342">
        <v>3466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4425</v>
      </c>
    </row>
    <row r="15" spans="1:6">
      <c r="A15" s="348" t="s">
        <v>184</v>
      </c>
      <c r="B15" s="334">
        <v>1</v>
      </c>
    </row>
    <row r="16" spans="1:6">
      <c r="A16" s="348" t="s">
        <v>6</v>
      </c>
      <c r="B16" s="334">
        <v>0</v>
      </c>
    </row>
    <row r="17" spans="1:6">
      <c r="A17" s="348" t="s">
        <v>7</v>
      </c>
      <c r="B17" s="334">
        <v>77</v>
      </c>
    </row>
    <row r="18" spans="1:6">
      <c r="A18" s="348" t="s">
        <v>8</v>
      </c>
      <c r="B18" s="334">
        <v>119</v>
      </c>
    </row>
    <row r="19" spans="1:6">
      <c r="A19" s="348" t="s">
        <v>9</v>
      </c>
      <c r="B19" s="334">
        <v>166</v>
      </c>
    </row>
    <row r="20" spans="1:6">
      <c r="A20" s="348" t="s">
        <v>10</v>
      </c>
      <c r="B20" s="334">
        <v>76</v>
      </c>
    </row>
    <row r="21" spans="1:6">
      <c r="A21" s="348" t="s">
        <v>11</v>
      </c>
      <c r="B21" s="334">
        <v>676</v>
      </c>
    </row>
    <row r="22" spans="1:6">
      <c r="A22" s="348" t="s">
        <v>12</v>
      </c>
      <c r="B22" s="334">
        <v>2144</v>
      </c>
    </row>
    <row r="23" spans="1:6">
      <c r="A23" s="348" t="s">
        <v>13</v>
      </c>
      <c r="B23" s="334">
        <v>32</v>
      </c>
    </row>
    <row r="24" spans="1:6">
      <c r="A24" s="348" t="s">
        <v>14</v>
      </c>
      <c r="B24" s="334">
        <v>2</v>
      </c>
    </row>
    <row r="25" spans="1:6">
      <c r="A25" s="348" t="s">
        <v>15</v>
      </c>
      <c r="B25" s="334">
        <v>150</v>
      </c>
    </row>
    <row r="26" spans="1:6">
      <c r="A26" s="348" t="s">
        <v>16</v>
      </c>
      <c r="B26" s="334">
        <v>58</v>
      </c>
    </row>
    <row r="27" spans="1:6">
      <c r="A27" s="348" t="s">
        <v>17</v>
      </c>
      <c r="B27" s="334">
        <v>2</v>
      </c>
    </row>
    <row r="28" spans="1:6" s="356" customFormat="1">
      <c r="A28" s="355" t="s">
        <v>18</v>
      </c>
      <c r="B28" s="355">
        <v>0</v>
      </c>
    </row>
    <row r="29" spans="1:6">
      <c r="A29" s="355" t="s">
        <v>901</v>
      </c>
      <c r="B29" s="355">
        <v>30</v>
      </c>
      <c r="C29" s="356"/>
      <c r="D29" s="356"/>
      <c r="E29" s="356"/>
      <c r="F29" s="356"/>
    </row>
    <row r="30" spans="1:6">
      <c r="A30" s="341" t="s">
        <v>902</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5901</v>
      </c>
    </row>
    <row r="37" spans="1:6">
      <c r="A37" s="348" t="s">
        <v>25</v>
      </c>
      <c r="B37" s="348" t="s">
        <v>28</v>
      </c>
      <c r="C37" s="334">
        <v>0</v>
      </c>
      <c r="D37" s="334">
        <v>0</v>
      </c>
      <c r="E37" s="334">
        <v>0</v>
      </c>
      <c r="F37" s="334">
        <v>0</v>
      </c>
    </row>
    <row r="38" spans="1:6">
      <c r="A38" s="348" t="s">
        <v>25</v>
      </c>
      <c r="B38" s="348" t="s">
        <v>29</v>
      </c>
      <c r="C38" s="334">
        <v>0</v>
      </c>
      <c r="D38" s="334">
        <v>0</v>
      </c>
      <c r="E38" s="334">
        <v>2</v>
      </c>
      <c r="F38" s="334">
        <v>23648</v>
      </c>
    </row>
    <row r="39" spans="1:6">
      <c r="A39" s="348" t="s">
        <v>30</v>
      </c>
      <c r="B39" s="348" t="s">
        <v>31</v>
      </c>
      <c r="C39" s="334">
        <v>671</v>
      </c>
      <c r="D39" s="334">
        <v>11016125</v>
      </c>
      <c r="E39" s="334">
        <v>3357</v>
      </c>
      <c r="F39" s="334">
        <v>13253087</v>
      </c>
    </row>
    <row r="40" spans="1:6">
      <c r="A40" s="348" t="s">
        <v>30</v>
      </c>
      <c r="B40" s="348" t="s">
        <v>29</v>
      </c>
      <c r="C40" s="334">
        <v>0</v>
      </c>
      <c r="D40" s="334">
        <v>0</v>
      </c>
      <c r="E40" s="334">
        <v>0</v>
      </c>
      <c r="F40" s="334">
        <v>0</v>
      </c>
    </row>
    <row r="41" spans="1:6">
      <c r="A41" s="348" t="s">
        <v>32</v>
      </c>
      <c r="B41" s="348" t="s">
        <v>33</v>
      </c>
      <c r="C41" s="334">
        <v>6</v>
      </c>
      <c r="D41" s="334">
        <v>127082</v>
      </c>
      <c r="E41" s="334">
        <v>38</v>
      </c>
      <c r="F41" s="334">
        <v>690091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18146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27259</v>
      </c>
      <c r="E48" s="334">
        <v>3</v>
      </c>
      <c r="F48" s="334">
        <v>14769</v>
      </c>
    </row>
    <row r="49" spans="1:6">
      <c r="A49" s="348" t="s">
        <v>32</v>
      </c>
      <c r="B49" s="348" t="s">
        <v>40</v>
      </c>
      <c r="C49" s="334">
        <v>0</v>
      </c>
      <c r="D49" s="334">
        <v>0</v>
      </c>
      <c r="E49" s="334">
        <v>0</v>
      </c>
      <c r="F49" s="334">
        <v>0</v>
      </c>
    </row>
    <row r="50" spans="1:6">
      <c r="A50" s="348" t="s">
        <v>32</v>
      </c>
      <c r="B50" s="348" t="s">
        <v>41</v>
      </c>
      <c r="C50" s="334">
        <v>0</v>
      </c>
      <c r="D50" s="334">
        <v>0</v>
      </c>
      <c r="E50" s="334">
        <v>4</v>
      </c>
      <c r="F50" s="334">
        <v>135744</v>
      </c>
    </row>
    <row r="51" spans="1:6">
      <c r="A51" s="348" t="s">
        <v>42</v>
      </c>
      <c r="B51" s="348" t="s">
        <v>43</v>
      </c>
      <c r="C51" s="334">
        <v>6</v>
      </c>
      <c r="D51" s="334">
        <v>105689</v>
      </c>
      <c r="E51" s="334">
        <v>66</v>
      </c>
      <c r="F51" s="334">
        <v>1303192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v>
      </c>
      <c r="F54" s="334">
        <v>471182</v>
      </c>
    </row>
    <row r="55" spans="1:6">
      <c r="A55" s="348" t="s">
        <v>46</v>
      </c>
      <c r="B55" s="348" t="s">
        <v>29</v>
      </c>
      <c r="C55" s="334">
        <v>0</v>
      </c>
      <c r="D55" s="334">
        <v>0</v>
      </c>
      <c r="E55" s="334">
        <v>0</v>
      </c>
      <c r="F55" s="334">
        <v>0</v>
      </c>
    </row>
    <row r="56" spans="1:6">
      <c r="A56" s="348" t="s">
        <v>48</v>
      </c>
      <c r="B56" s="348" t="s">
        <v>29</v>
      </c>
      <c r="C56" s="334">
        <v>19</v>
      </c>
      <c r="D56" s="334">
        <v>1188274</v>
      </c>
      <c r="E56" s="334">
        <v>49</v>
      </c>
      <c r="F56" s="334">
        <v>166103</v>
      </c>
    </row>
    <row r="57" spans="1:6">
      <c r="A57" s="348" t="s">
        <v>49</v>
      </c>
      <c r="B57" s="348" t="s">
        <v>50</v>
      </c>
      <c r="C57" s="334">
        <v>4</v>
      </c>
      <c r="D57" s="334">
        <v>65568</v>
      </c>
      <c r="E57" s="334">
        <v>40</v>
      </c>
      <c r="F57" s="334">
        <v>1500622</v>
      </c>
    </row>
    <row r="58" spans="1:6">
      <c r="A58" s="348" t="s">
        <v>49</v>
      </c>
      <c r="B58" s="348" t="s">
        <v>51</v>
      </c>
      <c r="C58" s="334">
        <v>4</v>
      </c>
      <c r="D58" s="334">
        <v>73699</v>
      </c>
      <c r="E58" s="334">
        <v>17</v>
      </c>
      <c r="F58" s="334">
        <v>362547</v>
      </c>
    </row>
    <row r="59" spans="1:6">
      <c r="A59" s="348" t="s">
        <v>49</v>
      </c>
      <c r="B59" s="348" t="s">
        <v>52</v>
      </c>
      <c r="C59" s="334">
        <v>5</v>
      </c>
      <c r="D59" s="334">
        <v>141859</v>
      </c>
      <c r="E59" s="334">
        <v>52</v>
      </c>
      <c r="F59" s="334">
        <v>1772226</v>
      </c>
    </row>
    <row r="60" spans="1:6">
      <c r="A60" s="348" t="s">
        <v>49</v>
      </c>
      <c r="B60" s="348" t="s">
        <v>53</v>
      </c>
      <c r="C60" s="334">
        <v>3</v>
      </c>
      <c r="D60" s="334">
        <v>103991</v>
      </c>
      <c r="E60" s="334">
        <v>27</v>
      </c>
      <c r="F60" s="334">
        <v>538254</v>
      </c>
    </row>
    <row r="61" spans="1:6">
      <c r="A61" s="348" t="s">
        <v>49</v>
      </c>
      <c r="B61" s="348" t="s">
        <v>54</v>
      </c>
      <c r="C61" s="334">
        <v>19</v>
      </c>
      <c r="D61" s="334">
        <v>698604</v>
      </c>
      <c r="E61" s="334">
        <v>118</v>
      </c>
      <c r="F61" s="334">
        <v>1127181</v>
      </c>
    </row>
    <row r="62" spans="1:6">
      <c r="A62" s="348" t="s">
        <v>49</v>
      </c>
      <c r="B62" s="348" t="s">
        <v>55</v>
      </c>
      <c r="C62" s="334">
        <v>0</v>
      </c>
      <c r="D62" s="334">
        <v>0</v>
      </c>
      <c r="E62" s="334">
        <v>4</v>
      </c>
      <c r="F62" s="334">
        <v>102979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21943</v>
      </c>
      <c r="E65" s="334">
        <v>2</v>
      </c>
      <c r="F65" s="334">
        <v>209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25372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35515634</v>
      </c>
      <c r="E73" s="476">
        <v>36822567.957545571</v>
      </c>
    </row>
    <row r="74" spans="1:6">
      <c r="A74" s="348" t="s">
        <v>64</v>
      </c>
      <c r="B74" s="348" t="s">
        <v>714</v>
      </c>
      <c r="C74" s="1311" t="s">
        <v>716</v>
      </c>
      <c r="D74" s="476">
        <v>2154965.790726901</v>
      </c>
      <c r="E74" s="476">
        <v>2274651.9721211689</v>
      </c>
    </row>
    <row r="75" spans="1:6">
      <c r="A75" s="348" t="s">
        <v>65</v>
      </c>
      <c r="B75" s="348" t="s">
        <v>713</v>
      </c>
      <c r="C75" s="1311" t="s">
        <v>717</v>
      </c>
      <c r="D75" s="476">
        <v>11617183</v>
      </c>
      <c r="E75" s="476">
        <v>12038951.974400703</v>
      </c>
    </row>
    <row r="76" spans="1:6">
      <c r="A76" s="348" t="s">
        <v>65</v>
      </c>
      <c r="B76" s="348" t="s">
        <v>714</v>
      </c>
      <c r="C76" s="1311" t="s">
        <v>718</v>
      </c>
      <c r="D76" s="476">
        <v>4341.7</v>
      </c>
      <c r="E76" s="476">
        <v>4503.7724978743508</v>
      </c>
    </row>
    <row r="77" spans="1:6">
      <c r="A77" s="348" t="s">
        <v>66</v>
      </c>
      <c r="B77" s="348" t="s">
        <v>713</v>
      </c>
      <c r="C77" s="1311" t="s">
        <v>719</v>
      </c>
      <c r="D77" s="476">
        <v>37891537</v>
      </c>
      <c r="E77" s="476">
        <v>40290259.784739763</v>
      </c>
    </row>
    <row r="78" spans="1:6">
      <c r="A78" s="341" t="s">
        <v>66</v>
      </c>
      <c r="B78" s="341" t="s">
        <v>714</v>
      </c>
      <c r="C78" s="341" t="s">
        <v>720</v>
      </c>
      <c r="D78" s="1307">
        <v>4851716</v>
      </c>
      <c r="E78" s="1307">
        <v>5070742.5881827502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259142.41854619791</v>
      </c>
      <c r="C83" s="476">
        <v>254724.8457274524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2016.9656580551946</v>
      </c>
    </row>
    <row r="92" spans="1:6">
      <c r="A92" s="341" t="s">
        <v>69</v>
      </c>
      <c r="B92" s="342">
        <v>1064.2577898716827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23484.741545149758</v>
      </c>
      <c r="C3" s="43" t="s">
        <v>170</v>
      </c>
      <c r="D3" s="43"/>
      <c r="E3" s="154"/>
      <c r="F3" s="43"/>
      <c r="G3" s="43"/>
      <c r="H3" s="43"/>
      <c r="I3" s="43"/>
      <c r="J3" s="43"/>
      <c r="K3" s="96"/>
    </row>
    <row r="4" spans="1:11">
      <c r="A4" s="384" t="s">
        <v>171</v>
      </c>
      <c r="B4" s="49">
        <f>IF(ISERROR('SEAP template'!B78+'SEAP template'!C78),0,'SEAP template'!B78+'SEAP template'!C78)</f>
        <v>3081.2234479268773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0.19200456137945132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471.18200000000002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0.19200456137945132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90.469093239892629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13253.087</v>
      </c>
      <c r="C5" s="17">
        <f>IF(ISERROR('Eigen informatie GS &amp; warmtenet'!B57),0,'Eigen informatie GS &amp; warmtenet'!B57)</f>
        <v>0</v>
      </c>
      <c r="D5" s="30">
        <f>(SUM(HH_hh_gas_kWh,HH_rest_gas_kWh)/1000)*0.902</f>
        <v>9936.5447500000009</v>
      </c>
      <c r="E5" s="17">
        <f>B46*B57</f>
        <v>3353.3181316586488</v>
      </c>
      <c r="F5" s="17">
        <f>B51*B62</f>
        <v>48999.115283881016</v>
      </c>
      <c r="G5" s="18"/>
      <c r="H5" s="17"/>
      <c r="I5" s="17"/>
      <c r="J5" s="17">
        <f>B50*B61+C50*C61</f>
        <v>1459.7302857214445</v>
      </c>
      <c r="K5" s="17"/>
      <c r="L5" s="17"/>
      <c r="M5" s="17"/>
      <c r="N5" s="17">
        <f>B48*B59+C48*C59</f>
        <v>6732.3476117770688</v>
      </c>
      <c r="O5" s="17">
        <f>B69*B70*B71</f>
        <v>106.30666666666667</v>
      </c>
      <c r="P5" s="17">
        <f>B77*B78*B79/1000-B77*B78*B79/1000/B80</f>
        <v>686.4</v>
      </c>
    </row>
    <row r="6" spans="1:16">
      <c r="A6" s="16" t="s">
        <v>631</v>
      </c>
      <c r="B6" s="789">
        <f>kWh_PV_kleiner_dan_10kW</f>
        <v>2016.9656580551946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15270.052658055194</v>
      </c>
      <c r="C8" s="21">
        <f>C5</f>
        <v>0</v>
      </c>
      <c r="D8" s="21">
        <f>D5</f>
        <v>9936.5447500000009</v>
      </c>
      <c r="E8" s="21">
        <f>E5</f>
        <v>3353.3181316586488</v>
      </c>
      <c r="F8" s="21">
        <f>F5</f>
        <v>48999.115283881016</v>
      </c>
      <c r="G8" s="21"/>
      <c r="H8" s="21"/>
      <c r="I8" s="21"/>
      <c r="J8" s="21">
        <f>J5</f>
        <v>1459.7302857214445</v>
      </c>
      <c r="K8" s="21"/>
      <c r="L8" s="21">
        <f>L5</f>
        <v>0</v>
      </c>
      <c r="M8" s="21">
        <f>M5</f>
        <v>0</v>
      </c>
      <c r="N8" s="21">
        <f>N5</f>
        <v>6732.3476117770688</v>
      </c>
      <c r="O8" s="21">
        <f>O5</f>
        <v>106.30666666666667</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0.19200456137945132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2931.9197628510124</v>
      </c>
      <c r="C12" s="23">
        <f ca="1">C10*C8</f>
        <v>0</v>
      </c>
      <c r="D12" s="23">
        <f>D8*D10</f>
        <v>2007.1820395000004</v>
      </c>
      <c r="E12" s="23">
        <f>E10*E8</f>
        <v>761.20321588651325</v>
      </c>
      <c r="F12" s="23">
        <f>F10*F8</f>
        <v>13082.763780796233</v>
      </c>
      <c r="G12" s="23"/>
      <c r="H12" s="23"/>
      <c r="I12" s="23"/>
      <c r="J12" s="23">
        <f>J10*J8</f>
        <v>516.74452114539133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3324</v>
      </c>
      <c r="C28" s="36"/>
      <c r="D28" s="228"/>
    </row>
    <row r="29" spans="1:7" s="15" customFormat="1">
      <c r="A29" s="230" t="s">
        <v>741</v>
      </c>
      <c r="B29" s="37">
        <f>SUM(HH_hh_gas_aantal,HH_rest_gas_aantal)</f>
        <v>671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671</v>
      </c>
      <c r="C32" s="167">
        <f>IF(ISERROR(B32/SUM($B$32,$B$34,$B$35,$B$36,$B$38,$B$39)*100),0,B32/SUM($B$32,$B$34,$B$35,$B$36,$B$38,$B$39)*100)</f>
        <v>20.407542579075425</v>
      </c>
      <c r="D32" s="233"/>
      <c r="G32" s="15"/>
    </row>
    <row r="33" spans="1:7">
      <c r="A33" s="171" t="s">
        <v>72</v>
      </c>
      <c r="B33" s="34" t="s">
        <v>111</v>
      </c>
      <c r="C33" s="167"/>
      <c r="D33" s="233"/>
      <c r="G33" s="15"/>
    </row>
    <row r="34" spans="1:7">
      <c r="A34" s="171" t="s">
        <v>73</v>
      </c>
      <c r="B34" s="33">
        <f>IF((($B$28-$B$32-$B$39-$B$77-$B$38)*C20/100)&lt;0,0,($B$28-$B$32-$B$39-$B$77-$B$38)*C20/100)</f>
        <v>224.74576271186442</v>
      </c>
      <c r="C34" s="167">
        <f>IF(ISERROR(B34/SUM($B$32,$B$34,$B$35,$B$36,$B$38,$B$39)*100),0,B34/SUM($B$32,$B$34,$B$35,$B$36,$B$38,$B$39)*100)</f>
        <v>6.8353334158109611</v>
      </c>
      <c r="D34" s="233"/>
      <c r="G34" s="15"/>
    </row>
    <row r="35" spans="1:7">
      <c r="A35" s="171" t="s">
        <v>74</v>
      </c>
      <c r="B35" s="33">
        <f>IF((($B$28-$B$32-$B$39-$B$77-$B$38)*C21/100)&lt;0,0,($B$28-$B$32-$B$39-$B$77-$B$38)*C21/100)</f>
        <v>241.27118644067795</v>
      </c>
      <c r="C35" s="167">
        <f>IF(ISERROR(B35/SUM($B$32,$B$34,$B$35,$B$36,$B$38,$B$39)*100),0,B35/SUM($B$32,$B$34,$B$35,$B$36,$B$38,$B$39)*100)</f>
        <v>7.3379314610911779</v>
      </c>
      <c r="D35" s="233"/>
      <c r="G35" s="15"/>
    </row>
    <row r="36" spans="1:7">
      <c r="A36" s="171" t="s">
        <v>75</v>
      </c>
      <c r="B36" s="33">
        <f>IF((($B$28-$B$32-$B$39-$B$77-$B$38)*C22/100)&lt;0,0,($B$28-$B$32-$B$39-$B$77-$B$38)*C22/100)</f>
        <v>118.98305084745763</v>
      </c>
      <c r="C36" s="167">
        <f>IF(ISERROR(B36/SUM($B$32,$B$34,$B$35,$B$36,$B$38,$B$39)*100),0,B36/SUM($B$32,$B$34,$B$35,$B$36,$B$38,$B$39)*100)</f>
        <v>3.6187059260175678</v>
      </c>
      <c r="D36" s="233"/>
      <c r="G36" s="15"/>
    </row>
    <row r="37" spans="1:7">
      <c r="A37" s="171" t="s">
        <v>76</v>
      </c>
      <c r="B37" s="34" t="s">
        <v>111</v>
      </c>
      <c r="C37" s="167"/>
      <c r="D37" s="173"/>
      <c r="G37" s="15"/>
    </row>
    <row r="38" spans="1:7">
      <c r="A38" s="171" t="s">
        <v>77</v>
      </c>
      <c r="B38" s="33">
        <f>IF((B24-(B29-B18)*0.1)&lt;0,0,B24-(B29-B18)*0.1)</f>
        <v>41.5</v>
      </c>
      <c r="C38" s="167">
        <f>IF(ISERROR(B38/SUM($B$32,$B$34,$B$35,$B$36,$B$38,$B$39)*100),0,B38/SUM($B$32,$B$34,$B$35,$B$36,$B$38,$B$39)*100)</f>
        <v>1.2621654501216546</v>
      </c>
      <c r="D38" s="234"/>
      <c r="G38" s="15"/>
    </row>
    <row r="39" spans="1:7">
      <c r="A39" s="171" t="s">
        <v>78</v>
      </c>
      <c r="B39" s="33">
        <f>IF((B25-(B29-B18))&lt;0,0,B25-(B29-B18)*0.9)</f>
        <v>1990.5</v>
      </c>
      <c r="C39" s="167">
        <f>IF(ISERROR(B39/SUM($B$32,$B$34,$B$35,$B$36,$B$38,$B$39)*100),0,B39/SUM($B$32,$B$34,$B$35,$B$36,$B$38,$B$39)*100)</f>
        <v>60.538321167883211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671</v>
      </c>
      <c r="C44" s="34" t="s">
        <v>111</v>
      </c>
      <c r="D44" s="174"/>
    </row>
    <row r="45" spans="1:7">
      <c r="A45" s="171" t="s">
        <v>72</v>
      </c>
      <c r="B45" s="33" t="str">
        <f t="shared" si="0"/>
        <v>-</v>
      </c>
      <c r="C45" s="34" t="s">
        <v>111</v>
      </c>
      <c r="D45" s="174"/>
    </row>
    <row r="46" spans="1:7">
      <c r="A46" s="171" t="s">
        <v>73</v>
      </c>
      <c r="B46" s="33">
        <f t="shared" si="0"/>
        <v>224.74576271186442</v>
      </c>
      <c r="C46" s="34" t="s">
        <v>111</v>
      </c>
      <c r="D46" s="174"/>
    </row>
    <row r="47" spans="1:7">
      <c r="A47" s="171" t="s">
        <v>74</v>
      </c>
      <c r="B47" s="33">
        <f t="shared" si="0"/>
        <v>241.27118644067795</v>
      </c>
      <c r="C47" s="34" t="s">
        <v>111</v>
      </c>
      <c r="D47" s="174"/>
    </row>
    <row r="48" spans="1:7">
      <c r="A48" s="171" t="s">
        <v>75</v>
      </c>
      <c r="B48" s="33">
        <f t="shared" si="0"/>
        <v>118.98305084745763</v>
      </c>
      <c r="C48" s="33">
        <f>B48*10</f>
        <v>1189.8305084745764</v>
      </c>
      <c r="D48" s="234"/>
    </row>
    <row r="49" spans="1:6">
      <c r="A49" s="171" t="s">
        <v>76</v>
      </c>
      <c r="B49" s="33" t="str">
        <f t="shared" si="0"/>
        <v>-</v>
      </c>
      <c r="C49" s="34" t="s">
        <v>111</v>
      </c>
      <c r="D49" s="234"/>
    </row>
    <row r="50" spans="1:6">
      <c r="A50" s="171" t="s">
        <v>77</v>
      </c>
      <c r="B50" s="33">
        <f t="shared" si="0"/>
        <v>41.5</v>
      </c>
      <c r="C50" s="33">
        <f>B50*2</f>
        <v>83</v>
      </c>
      <c r="D50" s="234"/>
    </row>
    <row r="51" spans="1:6">
      <c r="A51" s="171" t="s">
        <v>78</v>
      </c>
      <c r="B51" s="33">
        <f t="shared" si="0"/>
        <v>1990.5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5403.8090000000002</v>
      </c>
      <c r="C5" s="17">
        <f>IF(ISERROR('Eigen informatie GS &amp; warmtenet'!B58),0,'Eigen informatie GS &amp; warmtenet'!B58)</f>
        <v>0</v>
      </c>
      <c r="D5" s="30">
        <f>SUM(D6:D12)</f>
        <v>977.51634200000012</v>
      </c>
      <c r="E5" s="17">
        <f>SUM(E6:E12)</f>
        <v>50.397697526402261</v>
      </c>
      <c r="F5" s="17">
        <f>SUM(F6:F12)</f>
        <v>878.86397044962177</v>
      </c>
      <c r="G5" s="18"/>
      <c r="H5" s="17"/>
      <c r="I5" s="17"/>
      <c r="J5" s="17">
        <f>SUM(J6:J12)</f>
        <v>0</v>
      </c>
      <c r="K5" s="17"/>
      <c r="L5" s="17"/>
      <c r="M5" s="17"/>
      <c r="N5" s="17">
        <f>SUM(N6:N12)</f>
        <v>1085.8747486709601</v>
      </c>
      <c r="O5" s="17">
        <f>B38*B39*B40</f>
        <v>0</v>
      </c>
      <c r="P5" s="17">
        <f>B46*B47*B48/1000-B46*B47*B48/1000/B49</f>
        <v>38.133333333333333</v>
      </c>
      <c r="R5" s="32"/>
    </row>
    <row r="6" spans="1:18">
      <c r="A6" s="32" t="s">
        <v>54</v>
      </c>
      <c r="B6" s="37">
        <f>B26</f>
        <v>1127.181</v>
      </c>
      <c r="C6" s="33"/>
      <c r="D6" s="37">
        <f>IF(ISERROR(TER_kantoor_gas_kWh/1000),0,TER_kantoor_gas_kWh/1000)*0.902</f>
        <v>630.14080800000011</v>
      </c>
      <c r="E6" s="33">
        <f>$C$26*'E Balans VL '!I12/100/3.6*1000000</f>
        <v>3.2656087379024874</v>
      </c>
      <c r="F6" s="33">
        <f>$C$26*('E Balans VL '!L12+'E Balans VL '!N12)/100/3.6*1000000</f>
        <v>127.57205547715323</v>
      </c>
      <c r="G6" s="34"/>
      <c r="H6" s="33"/>
      <c r="I6" s="33"/>
      <c r="J6" s="33">
        <f>$C$26*('E Balans VL '!D12+'E Balans VL '!E12)/100/3.6*1000000</f>
        <v>0</v>
      </c>
      <c r="K6" s="33"/>
      <c r="L6" s="33"/>
      <c r="M6" s="33"/>
      <c r="N6" s="33">
        <f>$C$26*'E Balans VL '!Y12/100/3.6*1000000</f>
        <v>11.282251265956432</v>
      </c>
      <c r="O6" s="33"/>
      <c r="P6" s="33"/>
      <c r="R6" s="32"/>
    </row>
    <row r="7" spans="1:18">
      <c r="A7" s="32" t="s">
        <v>53</v>
      </c>
      <c r="B7" s="37">
        <f t="shared" ref="B7:B12" si="0">B27</f>
        <v>538.25400000000002</v>
      </c>
      <c r="C7" s="33"/>
      <c r="D7" s="37">
        <f>IF(ISERROR(TER_horeca_gas_kWh/1000),0,TER_horeca_gas_kWh/1000)*0.902</f>
        <v>93.799881999999997</v>
      </c>
      <c r="E7" s="33">
        <f>$C$27*'E Balans VL '!I9/100/3.6*1000000</f>
        <v>22.594399068045881</v>
      </c>
      <c r="F7" s="33">
        <f>$C$27*('E Balans VL '!L9+'E Balans VL '!N9)/100/3.6*1000000</f>
        <v>115.65490983785551</v>
      </c>
      <c r="G7" s="34"/>
      <c r="H7" s="33"/>
      <c r="I7" s="33"/>
      <c r="J7" s="33">
        <f>$C$27*('E Balans VL '!D9+'E Balans VL '!E9)/100/3.6*1000000</f>
        <v>0</v>
      </c>
      <c r="K7" s="33"/>
      <c r="L7" s="33"/>
      <c r="M7" s="33"/>
      <c r="N7" s="33">
        <f>$C$27*'E Balans VL '!Y9/100/3.6*1000000</f>
        <v>0.13870334859800537</v>
      </c>
      <c r="O7" s="33"/>
      <c r="P7" s="33"/>
      <c r="R7" s="32"/>
    </row>
    <row r="8" spans="1:18">
      <c r="A8" s="6" t="s">
        <v>52</v>
      </c>
      <c r="B8" s="37">
        <f t="shared" si="0"/>
        <v>1772.2260000000001</v>
      </c>
      <c r="C8" s="33"/>
      <c r="D8" s="37">
        <f>IF(ISERROR(TER_handel_gas_kWh/1000),0,TER_handel_gas_kWh/1000)*0.902</f>
        <v>127.95681800000001</v>
      </c>
      <c r="E8" s="33">
        <f>$C$28*'E Balans VL '!I13/100/3.6*1000000</f>
        <v>19.035182221771098</v>
      </c>
      <c r="F8" s="33">
        <f>$C$28*('E Balans VL '!L13+'E Balans VL '!N13)/100/3.6*1000000</f>
        <v>229.42929044061586</v>
      </c>
      <c r="G8" s="34"/>
      <c r="H8" s="33"/>
      <c r="I8" s="33"/>
      <c r="J8" s="33">
        <f>$C$28*('E Balans VL '!D13+'E Balans VL '!E13)/100/3.6*1000000</f>
        <v>0</v>
      </c>
      <c r="K8" s="33"/>
      <c r="L8" s="33"/>
      <c r="M8" s="33"/>
      <c r="N8" s="33">
        <f>$C$28*'E Balans VL '!Y13/100/3.6*1000000</f>
        <v>14.376394079747016</v>
      </c>
      <c r="O8" s="33"/>
      <c r="P8" s="33"/>
      <c r="R8" s="32"/>
    </row>
    <row r="9" spans="1:18">
      <c r="A9" s="32" t="s">
        <v>51</v>
      </c>
      <c r="B9" s="37">
        <f t="shared" si="0"/>
        <v>362.54700000000003</v>
      </c>
      <c r="C9" s="33"/>
      <c r="D9" s="37">
        <f>IF(ISERROR(TER_gezond_gas_kWh/1000),0,TER_gezond_gas_kWh/1000)*0.902</f>
        <v>66.476498000000007</v>
      </c>
      <c r="E9" s="33">
        <f>$C$29*'E Balans VL '!I10/100/3.6*1000000</f>
        <v>0.28861086091174509</v>
      </c>
      <c r="F9" s="33">
        <f>$C$29*('E Balans VL '!L10+'E Balans VL '!N10)/100/3.6*1000000</f>
        <v>44.07282712605371</v>
      </c>
      <c r="G9" s="34"/>
      <c r="H9" s="33"/>
      <c r="I9" s="33"/>
      <c r="J9" s="33">
        <f>$C$29*('E Balans VL '!D10+'E Balans VL '!E10)/100/3.6*1000000</f>
        <v>0</v>
      </c>
      <c r="K9" s="33"/>
      <c r="L9" s="33"/>
      <c r="M9" s="33"/>
      <c r="N9" s="33">
        <f>$C$29*'E Balans VL '!Y10/100/3.6*1000000</f>
        <v>2.928558615483225</v>
      </c>
      <c r="O9" s="33"/>
      <c r="P9" s="33"/>
      <c r="R9" s="32"/>
    </row>
    <row r="10" spans="1:18">
      <c r="A10" s="32" t="s">
        <v>50</v>
      </c>
      <c r="B10" s="37">
        <f t="shared" si="0"/>
        <v>1500.6220000000001</v>
      </c>
      <c r="C10" s="33"/>
      <c r="D10" s="37">
        <f>IF(ISERROR(TER_ander_gas_kWh/1000),0,TER_ander_gas_kWh/1000)*0.902</f>
        <v>59.142336</v>
      </c>
      <c r="E10" s="33">
        <f>$C$30*'E Balans VL '!I14/100/3.6*1000000</f>
        <v>5.1427104265746513</v>
      </c>
      <c r="F10" s="33">
        <f>$C$30*('E Balans VL '!L14+'E Balans VL '!N14)/100/3.6*1000000</f>
        <v>335.17797670492632</v>
      </c>
      <c r="G10" s="34"/>
      <c r="H10" s="33"/>
      <c r="I10" s="33"/>
      <c r="J10" s="33">
        <f>$C$30*('E Balans VL '!D14+'E Balans VL '!E14)/100/3.6*1000000</f>
        <v>0</v>
      </c>
      <c r="K10" s="33"/>
      <c r="L10" s="33"/>
      <c r="M10" s="33"/>
      <c r="N10" s="33">
        <f>$C$30*'E Balans VL '!Y14/100/3.6*1000000</f>
        <v>1057.0463345377425</v>
      </c>
      <c r="O10" s="33"/>
      <c r="P10" s="33"/>
      <c r="R10" s="32"/>
    </row>
    <row r="11" spans="1:18">
      <c r="A11" s="32" t="s">
        <v>55</v>
      </c>
      <c r="B11" s="37">
        <f t="shared" si="0"/>
        <v>102.979</v>
      </c>
      <c r="C11" s="33"/>
      <c r="D11" s="37">
        <f>IF(ISERROR(TER_onderwijs_gas_kWh/1000),0,TER_onderwijs_gas_kWh/1000)*0.902</f>
        <v>0</v>
      </c>
      <c r="E11" s="33">
        <f>$C$31*'E Balans VL '!I11/100/3.6*1000000</f>
        <v>7.1186211196401269E-2</v>
      </c>
      <c r="F11" s="33">
        <f>$C$31*('E Balans VL '!L11+'E Balans VL '!N11)/100/3.6*1000000</f>
        <v>26.956910863017086</v>
      </c>
      <c r="G11" s="34"/>
      <c r="H11" s="33"/>
      <c r="I11" s="33"/>
      <c r="J11" s="33">
        <f>$C$31*('E Balans VL '!D11+'E Balans VL '!E11)/100/3.6*1000000</f>
        <v>0</v>
      </c>
      <c r="K11" s="33"/>
      <c r="L11" s="33"/>
      <c r="M11" s="33"/>
      <c r="N11" s="33">
        <f>$C$31*'E Balans VL '!Y11/100/3.6*1000000</f>
        <v>0.10250682343299568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5403.8090000000002</v>
      </c>
      <c r="C16" s="21">
        <f t="shared" ca="1" si="1"/>
        <v>0</v>
      </c>
      <c r="D16" s="21">
        <f t="shared" ca="1" si="1"/>
        <v>977.51634200000012</v>
      </c>
      <c r="E16" s="21">
        <f t="shared" si="1"/>
        <v>50.397697526402261</v>
      </c>
      <c r="F16" s="21">
        <f t="shared" ca="1" si="1"/>
        <v>878.86397044962177</v>
      </c>
      <c r="G16" s="21">
        <f t="shared" si="1"/>
        <v>0</v>
      </c>
      <c r="H16" s="21">
        <f t="shared" si="1"/>
        <v>0</v>
      </c>
      <c r="I16" s="21">
        <f t="shared" si="1"/>
        <v>0</v>
      </c>
      <c r="J16" s="21">
        <f t="shared" si="1"/>
        <v>0</v>
      </c>
      <c r="K16" s="21">
        <f t="shared" si="1"/>
        <v>0</v>
      </c>
      <c r="L16" s="21">
        <f t="shared" ca="1" si="1"/>
        <v>0</v>
      </c>
      <c r="M16" s="21">
        <f t="shared" si="1"/>
        <v>0</v>
      </c>
      <c r="N16" s="21">
        <f t="shared" ca="1" si="1"/>
        <v>1085.8747486709601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0.19200456137945132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1037.5559768233315</v>
      </c>
      <c r="C20" s="23">
        <f t="shared" ref="C20:P20" ca="1" si="2">C16*C18</f>
        <v>0</v>
      </c>
      <c r="D20" s="23">
        <f t="shared" ca="1" si="2"/>
        <v>197.45830108400003</v>
      </c>
      <c r="E20" s="23">
        <f t="shared" si="2"/>
        <v>11.440277338493313</v>
      </c>
      <c r="F20" s="23">
        <f t="shared" ca="1" si="2"/>
        <v>234.65668011004902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1127.181</v>
      </c>
      <c r="C26" s="39">
        <f>IF(ISERROR(B26*3.6/1000000/'E Balans VL '!Z12*100),0,B26*3.6/1000000/'E Balans VL '!Z12*100)</f>
        <v>2.4759833816730022E-2</v>
      </c>
      <c r="D26" s="237" t="s">
        <v>692</v>
      </c>
      <c r="F26" s="6"/>
    </row>
    <row r="27" spans="1:18">
      <c r="A27" s="231" t="s">
        <v>53</v>
      </c>
      <c r="B27" s="33">
        <f>IF(ISERROR(TER_horeca_ele_kWh/1000),0,TER_horeca_ele_kWh/1000)</f>
        <v>538.25400000000002</v>
      </c>
      <c r="C27" s="39">
        <f>IF(ISERROR(B27*3.6/1000000/'E Balans VL '!Z9*100),0,B27*3.6/1000000/'E Balans VL '!Z9*100)</f>
        <v>4.3254074279242924E-2</v>
      </c>
      <c r="D27" s="237" t="s">
        <v>692</v>
      </c>
      <c r="F27" s="6"/>
    </row>
    <row r="28" spans="1:18">
      <c r="A28" s="171" t="s">
        <v>52</v>
      </c>
      <c r="B28" s="33">
        <f>IF(ISERROR(TER_handel_ele_kWh/1000),0,TER_handel_ele_kWh/1000)</f>
        <v>1772.2260000000001</v>
      </c>
      <c r="C28" s="39">
        <f>IF(ISERROR(B28*3.6/1000000/'E Balans VL '!Z13*100),0,B28*3.6/1000000/'E Balans VL '!Z13*100)</f>
        <v>5.2403484716920481E-2</v>
      </c>
      <c r="D28" s="237" t="s">
        <v>692</v>
      </c>
      <c r="F28" s="6"/>
    </row>
    <row r="29" spans="1:18">
      <c r="A29" s="231" t="s">
        <v>51</v>
      </c>
      <c r="B29" s="33">
        <f>IF(ISERROR(TER_gezond_ele_kWh/1000),0,TER_gezond_ele_kWh/1000)</f>
        <v>362.54700000000003</v>
      </c>
      <c r="C29" s="39">
        <f>IF(ISERROR(B29*3.6/1000000/'E Balans VL '!Z10*100),0,B29*3.6/1000000/'E Balans VL '!Z10*100)</f>
        <v>4.0849686761558292E-2</v>
      </c>
      <c r="D29" s="237" t="s">
        <v>692</v>
      </c>
      <c r="F29" s="6"/>
    </row>
    <row r="30" spans="1:18">
      <c r="A30" s="231" t="s">
        <v>50</v>
      </c>
      <c r="B30" s="33">
        <f>IF(ISERROR(TER_ander_ele_kWh/1000),0,TER_ander_ele_kWh/1000)</f>
        <v>1500.6220000000001</v>
      </c>
      <c r="C30" s="39">
        <f>IF(ISERROR(B30*3.6/1000000/'E Balans VL '!Z14*100),0,B30*3.6/1000000/'E Balans VL '!Z14*100)</f>
        <v>0.11348947666256114</v>
      </c>
      <c r="D30" s="237" t="s">
        <v>692</v>
      </c>
      <c r="F30" s="6"/>
    </row>
    <row r="31" spans="1:18">
      <c r="A31" s="231" t="s">
        <v>55</v>
      </c>
      <c r="B31" s="33">
        <f>IF(ISERROR(TER_onderwijs_ele_kWh/1000),0,TER_onderwijs_ele_kWh/1000)</f>
        <v>102.979</v>
      </c>
      <c r="C31" s="39">
        <f>IF(ISERROR(B31*3.6/1000000/'E Balans VL '!Z11*100),0,B31*3.6/1000000/'E Balans VL '!Z11*100)</f>
        <v>2.1376049845142533E-2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858.75</v>
      </c>
      <c r="C5" s="17">
        <f>IF(ISERROR('Eigen informatie GS &amp; warmtenet'!B59),0,'Eigen informatie GS &amp; warmtenet'!B59)</f>
        <v>0</v>
      </c>
      <c r="D5" s="30">
        <f>SUM(D6:D15)</f>
        <v>139.21558199999998</v>
      </c>
      <c r="E5" s="17">
        <f>SUM(E6:E15)</f>
        <v>192.33603201457234</v>
      </c>
      <c r="F5" s="17">
        <f>SUM(F6:F15)</f>
        <v>809.384816893932</v>
      </c>
      <c r="G5" s="18"/>
      <c r="H5" s="17"/>
      <c r="I5" s="17"/>
      <c r="J5" s="17">
        <f>SUM(J6:J15)</f>
        <v>3.3107589104784054</v>
      </c>
      <c r="K5" s="17"/>
      <c r="L5" s="17"/>
      <c r="M5" s="17"/>
      <c r="N5" s="17">
        <f>SUM(N6:N15)</f>
        <v>298.18412748590561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18.146000000000001</v>
      </c>
      <c r="C8" s="33"/>
      <c r="D8" s="37">
        <f>IF( ISERROR(IND_metaal_Gas_kWH/1000),0,IND_metaal_Gas_kWH/1000)*0.902</f>
        <v>0</v>
      </c>
      <c r="E8" s="33">
        <f>C30*'E Balans VL '!I18/100/3.6*1000000</f>
        <v>0.45413087036060529</v>
      </c>
      <c r="F8" s="33">
        <f>C30*'E Balans VL '!L18/100/3.6*1000000+C30*'E Balans VL '!N18/100/3.6*1000000</f>
        <v>5.6870466628460337</v>
      </c>
      <c r="G8" s="34"/>
      <c r="H8" s="33"/>
      <c r="I8" s="33"/>
      <c r="J8" s="40">
        <f>C30*'E Balans VL '!D18/100/3.6*1000000+C30*'E Balans VL '!E18/100/3.6*1000000</f>
        <v>0</v>
      </c>
      <c r="K8" s="33"/>
      <c r="L8" s="33"/>
      <c r="M8" s="33"/>
      <c r="N8" s="33">
        <f>C30*'E Balans VL '!Y18/100/3.6*1000000</f>
        <v>0.45587461297653925</v>
      </c>
      <c r="O8" s="33"/>
      <c r="P8" s="33"/>
      <c r="R8" s="32"/>
    </row>
    <row r="9" spans="1:18">
      <c r="A9" s="6" t="s">
        <v>33</v>
      </c>
      <c r="B9" s="37">
        <f t="shared" si="0"/>
        <v>690.09100000000001</v>
      </c>
      <c r="C9" s="33"/>
      <c r="D9" s="37">
        <f>IF( ISERROR(IND_andere_gas_kWh/1000),0,IND_andere_gas_kWh/1000)*0.902</f>
        <v>114.62796399999999</v>
      </c>
      <c r="E9" s="33">
        <f>C31*'E Balans VL '!I19/100/3.6*1000000</f>
        <v>189.74672087926993</v>
      </c>
      <c r="F9" s="33">
        <f>C31*'E Balans VL '!L19/100/3.6*1000000+C31*'E Balans VL '!N19/100/3.6*1000000</f>
        <v>543.91179245581895</v>
      </c>
      <c r="G9" s="34"/>
      <c r="H9" s="33"/>
      <c r="I9" s="33"/>
      <c r="J9" s="40">
        <f>C31*'E Balans VL '!D19/100/3.6*1000000+C31*'E Balans VL '!E19/100/3.6*1000000</f>
        <v>0</v>
      </c>
      <c r="K9" s="33"/>
      <c r="L9" s="33"/>
      <c r="M9" s="33"/>
      <c r="N9" s="33">
        <f>C31*'E Balans VL '!Y19/100/3.6*1000000</f>
        <v>223.40067205425817</v>
      </c>
      <c r="O9" s="33"/>
      <c r="P9" s="33"/>
      <c r="R9" s="32"/>
    </row>
    <row r="10" spans="1:18">
      <c r="A10" s="6" t="s">
        <v>41</v>
      </c>
      <c r="B10" s="37">
        <f t="shared" si="0"/>
        <v>135.744</v>
      </c>
      <c r="C10" s="33"/>
      <c r="D10" s="37">
        <f>IF( ISERROR(IND_voed_gas_kWh/1000),0,IND_voed_gas_kWh/1000)*0.902</f>
        <v>0</v>
      </c>
      <c r="E10" s="33">
        <f>C32*'E Balans VL '!I20/100/3.6*1000000</f>
        <v>1.3838352982036932</v>
      </c>
      <c r="F10" s="33">
        <f>C32*'E Balans VL '!L20/100/3.6*1000000+C32*'E Balans VL '!N20/100/3.6*1000000</f>
        <v>256.41956700323442</v>
      </c>
      <c r="G10" s="34"/>
      <c r="H10" s="33"/>
      <c r="I10" s="33"/>
      <c r="J10" s="40">
        <f>C32*'E Balans VL '!D20/100/3.6*1000000+C32*'E Balans VL '!E20/100/3.6*1000000</f>
        <v>3.2487980763788724</v>
      </c>
      <c r="K10" s="33"/>
      <c r="L10" s="33"/>
      <c r="M10" s="33"/>
      <c r="N10" s="33">
        <f>C32*'E Balans VL '!Y20/100/3.6*1000000</f>
        <v>71.552723791483487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14.769</v>
      </c>
      <c r="C15" s="33"/>
      <c r="D15" s="37">
        <f>IF( ISERROR(IND_rest_gas_kWh/1000),0,IND_rest_gas_kWh/1000)*0.902</f>
        <v>24.587618000000003</v>
      </c>
      <c r="E15" s="33">
        <f>C37*'E Balans VL '!I15/100/3.6*1000000</f>
        <v>0.7513449667380967</v>
      </c>
      <c r="F15" s="33">
        <f>C37*'E Balans VL '!L15/100/3.6*1000000+C37*'E Balans VL '!N15/100/3.6*1000000</f>
        <v>3.3664107720325673</v>
      </c>
      <c r="G15" s="34"/>
      <c r="H15" s="33"/>
      <c r="I15" s="33"/>
      <c r="J15" s="40">
        <f>C37*'E Balans VL '!D15/100/3.6*1000000+C37*'E Balans VL '!E15/100/3.6*1000000</f>
        <v>6.1960834099532944E-2</v>
      </c>
      <c r="K15" s="33"/>
      <c r="L15" s="33"/>
      <c r="M15" s="33"/>
      <c r="N15" s="33">
        <f>C37*'E Balans VL '!Y15/100/3.6*1000000</f>
        <v>2.774857027187434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858.75</v>
      </c>
      <c r="C18" s="21">
        <f>C5+C16</f>
        <v>0</v>
      </c>
      <c r="D18" s="21">
        <f>MAX((D5+D16),0)</f>
        <v>139.21558199999998</v>
      </c>
      <c r="E18" s="21">
        <f>MAX((E5+E16),0)</f>
        <v>192.33603201457234</v>
      </c>
      <c r="F18" s="21">
        <f>MAX((F5+F16),0)</f>
        <v>809.384816893932</v>
      </c>
      <c r="G18" s="21"/>
      <c r="H18" s="21"/>
      <c r="I18" s="21"/>
      <c r="J18" s="21">
        <f>MAX((J5+J16),0)</f>
        <v>3.3107589104784054</v>
      </c>
      <c r="K18" s="21"/>
      <c r="L18" s="21">
        <f>MAX((L5+L16),0)</f>
        <v>0</v>
      </c>
      <c r="M18" s="21"/>
      <c r="N18" s="21">
        <f>MAX((N5+N16),0)</f>
        <v>298.18412748590561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0.19200456137945132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164.88391708460381</v>
      </c>
      <c r="C22" s="23">
        <f ca="1">C18*C20</f>
        <v>0</v>
      </c>
      <c r="D22" s="23">
        <f>D18*D20</f>
        <v>28.121547564</v>
      </c>
      <c r="E22" s="23">
        <f>E18*E20</f>
        <v>43.660279267307921</v>
      </c>
      <c r="F22" s="23">
        <f>F18*F20</f>
        <v>216.10574611067986</v>
      </c>
      <c r="G22" s="23"/>
      <c r="H22" s="23"/>
      <c r="I22" s="23"/>
      <c r="J22" s="23">
        <f>J18*J20</f>
        <v>1.1720086543093555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18.146000000000001</v>
      </c>
      <c r="C30" s="39">
        <f>IF(ISERROR(B30*3.6/1000000/'E Balans VL '!Z18*100),0,B30*3.6/1000000/'E Balans VL '!Z18*100)</f>
        <v>2.5398352778694499E-3</v>
      </c>
      <c r="D30" s="237" t="s">
        <v>692</v>
      </c>
    </row>
    <row r="31" spans="1:18">
      <c r="A31" s="6" t="s">
        <v>33</v>
      </c>
      <c r="B31" s="37">
        <f>IF( ISERROR(IND_ander_ele_kWh/1000),0,IND_ander_ele_kWh/1000)</f>
        <v>690.09100000000001</v>
      </c>
      <c r="C31" s="39">
        <f>IF(ISERROR(B31*3.6/1000000/'E Balans VL '!Z19*100),0,B31*3.6/1000000/'E Balans VL '!Z19*100)</f>
        <v>3.0205171121334768E-2</v>
      </c>
      <c r="D31" s="237" t="s">
        <v>692</v>
      </c>
    </row>
    <row r="32" spans="1:18">
      <c r="A32" s="171" t="s">
        <v>41</v>
      </c>
      <c r="B32" s="37">
        <f>IF( ISERROR(IND_voed_ele_kWh/1000),0,IND_voed_ele_kWh/1000)</f>
        <v>135.744</v>
      </c>
      <c r="C32" s="39">
        <f>IF(ISERROR(B32*3.6/1000000/'E Balans VL '!Z20*100),0,B32*3.6/1000000/'E Balans VL '!Z20*100)</f>
        <v>3.3605706564111167E-2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14.769</v>
      </c>
      <c r="C37" s="39">
        <f>IF(ISERROR(B37*3.6/1000000/'E Balans VL '!Z15*100),0,B37*3.6/1000000/'E Balans VL '!Z15*100)</f>
        <v>1.0950960644020033E-4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1303.192</v>
      </c>
      <c r="C5" s="17">
        <f>'Eigen informatie GS &amp; warmtenet'!B60</f>
        <v>0</v>
      </c>
      <c r="D5" s="30">
        <f>IF(ISERROR(SUM(LB_lb_gas_kWh,LB_rest_gas_kWh)/1000),0,SUM(LB_lb_gas_kWh,LB_rest_gas_kWh)/1000)*0.902</f>
        <v>95.33147799999999</v>
      </c>
      <c r="E5" s="17">
        <f>B17*'E Balans VL '!I25/3.6*1000000/100</f>
        <v>12.070710130983064</v>
      </c>
      <c r="F5" s="17">
        <f>B17*('E Balans VL '!L25/3.6*1000000+'E Balans VL '!N25/3.6*1000000)/100</f>
        <v>3306.4463618212326</v>
      </c>
      <c r="G5" s="18"/>
      <c r="H5" s="17"/>
      <c r="I5" s="17"/>
      <c r="J5" s="17">
        <f>('E Balans VL '!D25+'E Balans VL '!E25)/3.6*1000000*landbouw!B17/100</f>
        <v>199.79387726516705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1303.192</v>
      </c>
      <c r="C8" s="21">
        <f>C5+C6</f>
        <v>0</v>
      </c>
      <c r="D8" s="21">
        <f>MAX((D5+D6),0)</f>
        <v>95.33147799999999</v>
      </c>
      <c r="E8" s="21">
        <f>MAX((E5+E6),0)</f>
        <v>12.070710130983064</v>
      </c>
      <c r="F8" s="21">
        <f>MAX((F5+F6),0)</f>
        <v>3306.4463618212326</v>
      </c>
      <c r="G8" s="21"/>
      <c r="H8" s="21"/>
      <c r="I8" s="21"/>
      <c r="J8" s="21">
        <f>MAX((J5+J6),0)</f>
        <v>199.79387726516705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0.19200456137945132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250.21880835320994</v>
      </c>
      <c r="C12" s="23">
        <f ca="1">C8*C10</f>
        <v>0</v>
      </c>
      <c r="D12" s="23">
        <f>D8*D10</f>
        <v>19.256958556000001</v>
      </c>
      <c r="E12" s="23">
        <f>E8*E10</f>
        <v>2.7400511997331556</v>
      </c>
      <c r="F12" s="23">
        <f>F8*F10</f>
        <v>882.8211786062692</v>
      </c>
      <c r="G12" s="23"/>
      <c r="H12" s="23"/>
      <c r="I12" s="23"/>
      <c r="J12" s="23">
        <f>J8*J10</f>
        <v>70.727032551869129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0.18528626995335729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27.953004756478403</v>
      </c>
      <c r="C26" s="247">
        <f>B26*'GWP N2O_CH4'!B5</f>
        <v>587.01309988604646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15.77846617009695</v>
      </c>
      <c r="C27" s="247">
        <f>B27*'GWP N2O_CH4'!B5</f>
        <v>331.34778957203594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0.49547198310580332</v>
      </c>
      <c r="C28" s="247">
        <f>B28*'GWP N2O_CH4'!B4</f>
        <v>153.59631476279904</v>
      </c>
      <c r="D28" s="50"/>
    </row>
    <row r="29" spans="1:4">
      <c r="A29" s="41" t="s">
        <v>277</v>
      </c>
      <c r="B29" s="247">
        <f>B34*'ha_N2O bodem landbouw'!B4</f>
        <v>29.292558128082995</v>
      </c>
      <c r="C29" s="247">
        <f>B29*'GWP N2O_CH4'!B4</f>
        <v>9080.6930197057281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6.5698047320410487E-3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4.1950393540421649E-5</v>
      </c>
      <c r="C5" s="464" t="s">
        <v>211</v>
      </c>
      <c r="D5" s="449">
        <f>SUM(D6:D11)</f>
        <v>1.0932519299473338E-4</v>
      </c>
      <c r="E5" s="449">
        <f>SUM(E6:E11)</f>
        <v>7.7293526643071547E-4</v>
      </c>
      <c r="F5" s="462" t="s">
        <v>211</v>
      </c>
      <c r="G5" s="449">
        <f>SUM(G6:G11)</f>
        <v>0.21441567151212779</v>
      </c>
      <c r="H5" s="449">
        <f>SUM(H6:H11)</f>
        <v>4.2136523339077213E-2</v>
      </c>
      <c r="I5" s="464" t="s">
        <v>211</v>
      </c>
      <c r="J5" s="464" t="s">
        <v>211</v>
      </c>
      <c r="K5" s="464" t="s">
        <v>211</v>
      </c>
      <c r="L5" s="464" t="s">
        <v>211</v>
      </c>
      <c r="M5" s="449">
        <f>SUM(M6:M11)</f>
        <v>1.3700091918226406E-2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1.7523153697087533E-5</v>
      </c>
      <c r="C6" s="450"/>
      <c r="D6" s="893">
        <f>vkm_2011_GW_PW*SUMIFS(TableVerdeelsleutelVkm[CNG],TableVerdeelsleutelVkm[Voertuigtype],"Lichte voertuigen")*SUMIFS(TableECFTransport[EnergieConsumptieFactor (PJ per km)],TableECFTransport[Index],CONCATENATE($A6,"_CNG_CNG"))</f>
        <v>4.0532983720668201E-5</v>
      </c>
      <c r="E6" s="893">
        <f>vkm_2011_GW_PW*SUMIFS(TableVerdeelsleutelVkm[LPG],TableVerdeelsleutelVkm[Voertuigtype],"Lichte voertuigen")*SUMIFS(TableECFTransport[EnergieConsumptieFactor (PJ per km)],TableECFTransport[Index],CONCATENATE($A6,"_LPG_LPG"))</f>
        <v>2.6392631280574522E-4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5.4828738887294635E-2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1.5455088422586177E-2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3.6473662908151593E-3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2.0103340699388506E-2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6.8749774255168705E-6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1.1630922103659539E-3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5.7318330072945471E-6</v>
      </c>
      <c r="C8" s="450"/>
      <c r="D8" s="452">
        <f>vkm_2011_NGW_PW*SUMIFS(TableVerdeelsleutelVkm[CNG],TableVerdeelsleutelVkm[Voertuigtype],"Lichte voertuigen")*SUMIFS(TableECFTransport[EnergieConsumptieFactor (PJ per km)],TableECFTransport[Index],CONCATENATE($A8,"_CNG_CNG"))</f>
        <v>2.3450165569882807E-5</v>
      </c>
      <c r="E8" s="452">
        <f>vkm_2011_NGW_PW*SUMIFS(TableVerdeelsleutelVkm[LPG],TableVerdeelsleutelVkm[Voertuigtype],"Lichte voertuigen")*SUMIFS(TableECFTransport[EnergieConsumptieFactor (PJ per km)],TableECFTransport[Index],CONCATENATE($A8,"_LPG_LPG"))</f>
        <v>1.4092004572344372E-4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2.7366465858852874E-2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8.6457686496280595E-3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1.8491800102980896E-3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5.1671236423517794E-5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1.6720210204707933E-8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2.9894446541309654E-6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1.8695406836039564E-5</v>
      </c>
      <c r="C10" s="450"/>
      <c r="D10" s="452">
        <f>vkm_2011_SW_PW*SUMIFS(TableVerdeelsleutelVkm[CNG],TableVerdeelsleutelVkm[Voertuigtype],"Lichte voertuigen")*SUMIFS(TableECFTransport[EnergieConsumptieFactor (PJ per km)],TableECFTransport[Index],CONCATENATE($A10,"_CNG_CNG"))</f>
        <v>4.5342043704182377E-5</v>
      </c>
      <c r="E10" s="452">
        <f>vkm_2011_SW_PW*SUMIFS(TableVerdeelsleutelVkm[LPG],TableVerdeelsleutelVkm[Voertuigtype],"Lichte voertuigen")*SUMIFS(TableECFTransport[EnergieConsumptieFactor (PJ per km)],TableECFTransport[Index],CONCATENATE($A10,"_LPG_LPG"))</f>
        <v>3.6808890790152656E-4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6.8843194524798507E-2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1.8012844475171329E-2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4.5367758403042054E-3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4.3222260305369742E-2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1.5930094055917275E-5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2.5006881217888655E-3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11.652887094561569</v>
      </c>
      <c r="C14" s="21"/>
      <c r="D14" s="21">
        <f t="shared" ref="D14:M14" si="0">((D5)*10^9/3600)+D12</f>
        <v>30.36810916520372</v>
      </c>
      <c r="E14" s="21">
        <f t="shared" si="0"/>
        <v>214.70424067519875</v>
      </c>
      <c r="F14" s="21"/>
      <c r="G14" s="21">
        <f t="shared" si="0"/>
        <v>59559.908753368829</v>
      </c>
      <c r="H14" s="21">
        <f t="shared" si="0"/>
        <v>11704.589816410336</v>
      </c>
      <c r="I14" s="21"/>
      <c r="J14" s="21"/>
      <c r="K14" s="21"/>
      <c r="L14" s="21"/>
      <c r="M14" s="21">
        <f t="shared" si="0"/>
        <v>3805.581088396224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0.19200456137945132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2.2374074753955631</v>
      </c>
      <c r="C18" s="23"/>
      <c r="D18" s="23">
        <f t="shared" ref="D18:M18" si="1">D14*D16</f>
        <v>6.1343580513711515</v>
      </c>
      <c r="E18" s="23">
        <f t="shared" si="1"/>
        <v>48.737862633270119</v>
      </c>
      <c r="F18" s="23"/>
      <c r="G18" s="23">
        <f t="shared" si="1"/>
        <v>15902.495637149479</v>
      </c>
      <c r="H18" s="23">
        <f t="shared" si="1"/>
        <v>2914.442864286174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3.3027799246102049E-3</v>
      </c>
      <c r="H50" s="321">
        <f t="shared" si="2"/>
        <v>0</v>
      </c>
      <c r="I50" s="321">
        <f t="shared" si="2"/>
        <v>0</v>
      </c>
      <c r="J50" s="321">
        <f t="shared" si="2"/>
        <v>0</v>
      </c>
      <c r="K50" s="321">
        <f t="shared" si="2"/>
        <v>0</v>
      </c>
      <c r="L50" s="321">
        <f t="shared" si="2"/>
        <v>0</v>
      </c>
      <c r="M50" s="321">
        <f t="shared" si="2"/>
        <v>1.8834791097693094E-4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3.3027799246102049E-3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1.8834791097693094E-4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917.43886794727916</v>
      </c>
      <c r="H54" s="21">
        <f t="shared" si="3"/>
        <v>0</v>
      </c>
      <c r="I54" s="21">
        <f t="shared" si="3"/>
        <v>0</v>
      </c>
      <c r="J54" s="21">
        <f t="shared" si="3"/>
        <v>0</v>
      </c>
      <c r="K54" s="21">
        <f t="shared" si="3"/>
        <v>0</v>
      </c>
      <c r="L54" s="21">
        <f t="shared" si="3"/>
        <v>0</v>
      </c>
      <c r="M54" s="21">
        <f t="shared" si="3"/>
        <v>52.318864160258592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0.19200456137945132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244.95617774192354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5874.991</v>
      </c>
      <c r="D10" s="1025">
        <f ca="1">tertiair!C16</f>
        <v>0</v>
      </c>
      <c r="E10" s="1025">
        <f ca="1">tertiair!D16</f>
        <v>977.51634200000012</v>
      </c>
      <c r="F10" s="1025">
        <f>tertiair!E16</f>
        <v>50.397697526402261</v>
      </c>
      <c r="G10" s="1025">
        <f ca="1">tertiair!F16</f>
        <v>878.86397044962177</v>
      </c>
      <c r="H10" s="1025">
        <f>tertiair!G16</f>
        <v>0</v>
      </c>
      <c r="I10" s="1025">
        <f>tertiair!H16</f>
        <v>0</v>
      </c>
      <c r="J10" s="1025">
        <f>tertiair!I16</f>
        <v>0</v>
      </c>
      <c r="K10" s="1025">
        <f>tertiair!J16</f>
        <v>0</v>
      </c>
      <c r="L10" s="1025">
        <f>tertiair!K16</f>
        <v>0</v>
      </c>
      <c r="M10" s="1025">
        <f ca="1">tertiair!L16</f>
        <v>0</v>
      </c>
      <c r="N10" s="1025">
        <f>tertiair!M16</f>
        <v>0</v>
      </c>
      <c r="O10" s="1025">
        <f ca="1">tertiair!N16</f>
        <v>1085.8747486709601</v>
      </c>
      <c r="P10" s="1025">
        <f>tertiair!O16</f>
        <v>0</v>
      </c>
      <c r="Q10" s="1026">
        <f>tertiair!P16</f>
        <v>38.133333333333333</v>
      </c>
      <c r="R10" s="701">
        <f ca="1">SUM(C10:Q10)</f>
        <v>8905.777091980317</v>
      </c>
      <c r="S10" s="67"/>
    </row>
    <row r="11" spans="1:19" s="474" customFormat="1">
      <c r="A11" s="810" t="s">
        <v>225</v>
      </c>
      <c r="B11" s="815"/>
      <c r="C11" s="1025">
        <f>huishoudens!B8</f>
        <v>15270.052658055194</v>
      </c>
      <c r="D11" s="1025">
        <f>huishoudens!C8</f>
        <v>0</v>
      </c>
      <c r="E11" s="1025">
        <f>huishoudens!D8</f>
        <v>9936.5447500000009</v>
      </c>
      <c r="F11" s="1025">
        <f>huishoudens!E8</f>
        <v>3353.3181316586488</v>
      </c>
      <c r="G11" s="1025">
        <f>huishoudens!F8</f>
        <v>48999.115283881016</v>
      </c>
      <c r="H11" s="1025">
        <f>huishoudens!G8</f>
        <v>0</v>
      </c>
      <c r="I11" s="1025">
        <f>huishoudens!H8</f>
        <v>0</v>
      </c>
      <c r="J11" s="1025">
        <f>huishoudens!I8</f>
        <v>0</v>
      </c>
      <c r="K11" s="1025">
        <f>huishoudens!J8</f>
        <v>1459.7302857214445</v>
      </c>
      <c r="L11" s="1025">
        <f>huishoudens!K8</f>
        <v>0</v>
      </c>
      <c r="M11" s="1025">
        <f>huishoudens!L8</f>
        <v>0</v>
      </c>
      <c r="N11" s="1025">
        <f>huishoudens!M8</f>
        <v>0</v>
      </c>
      <c r="O11" s="1025">
        <f>huishoudens!N8</f>
        <v>6732.3476117770688</v>
      </c>
      <c r="P11" s="1025">
        <f>huishoudens!O8</f>
        <v>106.30666666666667</v>
      </c>
      <c r="Q11" s="1026">
        <f>huishoudens!P8</f>
        <v>686.4</v>
      </c>
      <c r="R11" s="701">
        <f>SUM(C11:Q11)</f>
        <v>86543.815387760027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858.75</v>
      </c>
      <c r="D13" s="1025">
        <f>industrie!C18</f>
        <v>0</v>
      </c>
      <c r="E13" s="1025">
        <f>industrie!D18</f>
        <v>139.21558199999998</v>
      </c>
      <c r="F13" s="1025">
        <f>industrie!E18</f>
        <v>192.33603201457234</v>
      </c>
      <c r="G13" s="1025">
        <f>industrie!F18</f>
        <v>809.384816893932</v>
      </c>
      <c r="H13" s="1025">
        <f>industrie!G18</f>
        <v>0</v>
      </c>
      <c r="I13" s="1025">
        <f>industrie!H18</f>
        <v>0</v>
      </c>
      <c r="J13" s="1025">
        <f>industrie!I18</f>
        <v>0</v>
      </c>
      <c r="K13" s="1025">
        <f>industrie!J18</f>
        <v>3.3107589104784054</v>
      </c>
      <c r="L13" s="1025">
        <f>industrie!K18</f>
        <v>0</v>
      </c>
      <c r="M13" s="1025">
        <f>industrie!L18</f>
        <v>0</v>
      </c>
      <c r="N13" s="1025">
        <f>industrie!M18</f>
        <v>0</v>
      </c>
      <c r="O13" s="1025">
        <f>industrie!N18</f>
        <v>298.18412748590561</v>
      </c>
      <c r="P13" s="1025">
        <f>industrie!O18</f>
        <v>0</v>
      </c>
      <c r="Q13" s="1026">
        <f>industrie!P18</f>
        <v>0</v>
      </c>
      <c r="R13" s="701">
        <f>SUM(C13:Q13)</f>
        <v>2301.1813173048886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22003.793658055194</v>
      </c>
      <c r="D16" s="733">
        <f t="shared" ref="D16:R16" ca="1" si="0">SUM(D9:D15)</f>
        <v>0</v>
      </c>
      <c r="E16" s="733">
        <f t="shared" ca="1" si="0"/>
        <v>11053.276674000002</v>
      </c>
      <c r="F16" s="733">
        <f t="shared" si="0"/>
        <v>3596.0518611996235</v>
      </c>
      <c r="G16" s="733">
        <f t="shared" ca="1" si="0"/>
        <v>50687.364071224569</v>
      </c>
      <c r="H16" s="733">
        <f t="shared" si="0"/>
        <v>0</v>
      </c>
      <c r="I16" s="733">
        <f t="shared" si="0"/>
        <v>0</v>
      </c>
      <c r="J16" s="733">
        <f t="shared" si="0"/>
        <v>0</v>
      </c>
      <c r="K16" s="733">
        <f t="shared" si="0"/>
        <v>1463.0410446319229</v>
      </c>
      <c r="L16" s="733">
        <f t="shared" si="0"/>
        <v>0</v>
      </c>
      <c r="M16" s="733">
        <f t="shared" ca="1" si="0"/>
        <v>0</v>
      </c>
      <c r="N16" s="733">
        <f t="shared" si="0"/>
        <v>0</v>
      </c>
      <c r="O16" s="733">
        <f t="shared" ca="1" si="0"/>
        <v>8116.4064879339339</v>
      </c>
      <c r="P16" s="733">
        <f t="shared" si="0"/>
        <v>106.30666666666667</v>
      </c>
      <c r="Q16" s="733">
        <f t="shared" si="0"/>
        <v>724.5333333333333</v>
      </c>
      <c r="R16" s="733">
        <f t="shared" ca="1" si="0"/>
        <v>97750.773797045229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917.43886794727916</v>
      </c>
      <c r="I19" s="1025">
        <f>transport!H54</f>
        <v>0</v>
      </c>
      <c r="J19" s="1025">
        <f>transport!I54</f>
        <v>0</v>
      </c>
      <c r="K19" s="1025">
        <f>transport!J54</f>
        <v>0</v>
      </c>
      <c r="L19" s="1025">
        <f>transport!K54</f>
        <v>0</v>
      </c>
      <c r="M19" s="1025">
        <f>transport!L54</f>
        <v>0</v>
      </c>
      <c r="N19" s="1025">
        <f>transport!M54</f>
        <v>52.318864160258592</v>
      </c>
      <c r="O19" s="1025">
        <f>transport!N54</f>
        <v>0</v>
      </c>
      <c r="P19" s="1025">
        <f>transport!O54</f>
        <v>0</v>
      </c>
      <c r="Q19" s="1026">
        <f>transport!P54</f>
        <v>0</v>
      </c>
      <c r="R19" s="701">
        <f>SUM(C19:Q19)</f>
        <v>969.75773210753778</v>
      </c>
      <c r="S19" s="67"/>
    </row>
    <row r="20" spans="1:19" s="474" customFormat="1">
      <c r="A20" s="810" t="s">
        <v>307</v>
      </c>
      <c r="B20" s="815"/>
      <c r="C20" s="1025">
        <f>transport!B14</f>
        <v>11.652887094561569</v>
      </c>
      <c r="D20" s="1025">
        <f>transport!C14</f>
        <v>0</v>
      </c>
      <c r="E20" s="1025">
        <f>transport!D14</f>
        <v>30.36810916520372</v>
      </c>
      <c r="F20" s="1025">
        <f>transport!E14</f>
        <v>214.70424067519875</v>
      </c>
      <c r="G20" s="1025">
        <f>transport!F14</f>
        <v>0</v>
      </c>
      <c r="H20" s="1025">
        <f>transport!G14</f>
        <v>59559.908753368829</v>
      </c>
      <c r="I20" s="1025">
        <f>transport!H14</f>
        <v>11704.589816410336</v>
      </c>
      <c r="J20" s="1025">
        <f>transport!I14</f>
        <v>0</v>
      </c>
      <c r="K20" s="1025">
        <f>transport!J14</f>
        <v>0</v>
      </c>
      <c r="L20" s="1025">
        <f>transport!K14</f>
        <v>0</v>
      </c>
      <c r="M20" s="1025">
        <f>transport!L14</f>
        <v>0</v>
      </c>
      <c r="N20" s="1025">
        <f>transport!M14</f>
        <v>3805.581088396224</v>
      </c>
      <c r="O20" s="1025">
        <f>transport!N14</f>
        <v>0</v>
      </c>
      <c r="P20" s="1025">
        <f>transport!O14</f>
        <v>0</v>
      </c>
      <c r="Q20" s="1026">
        <f>transport!P14</f>
        <v>0</v>
      </c>
      <c r="R20" s="701">
        <f>SUM(C20:Q20)</f>
        <v>75326.804895110356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11.652887094561569</v>
      </c>
      <c r="D22" s="813">
        <f t="shared" ref="D22:R22" si="1">SUM(D18:D21)</f>
        <v>0</v>
      </c>
      <c r="E22" s="813">
        <f t="shared" si="1"/>
        <v>30.36810916520372</v>
      </c>
      <c r="F22" s="813">
        <f t="shared" si="1"/>
        <v>214.70424067519875</v>
      </c>
      <c r="G22" s="813">
        <f t="shared" si="1"/>
        <v>0</v>
      </c>
      <c r="H22" s="813">
        <f t="shared" si="1"/>
        <v>60477.347621316105</v>
      </c>
      <c r="I22" s="813">
        <f t="shared" si="1"/>
        <v>11704.589816410336</v>
      </c>
      <c r="J22" s="813">
        <f t="shared" si="1"/>
        <v>0</v>
      </c>
      <c r="K22" s="813">
        <f t="shared" si="1"/>
        <v>0</v>
      </c>
      <c r="L22" s="813">
        <f t="shared" si="1"/>
        <v>0</v>
      </c>
      <c r="M22" s="813">
        <f t="shared" si="1"/>
        <v>0</v>
      </c>
      <c r="N22" s="813">
        <f t="shared" si="1"/>
        <v>3857.8999525564827</v>
      </c>
      <c r="O22" s="813">
        <f t="shared" si="1"/>
        <v>0</v>
      </c>
      <c r="P22" s="813">
        <f t="shared" si="1"/>
        <v>0</v>
      </c>
      <c r="Q22" s="813">
        <f t="shared" si="1"/>
        <v>0</v>
      </c>
      <c r="R22" s="813">
        <f t="shared" si="1"/>
        <v>76296.562627217892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1303.192</v>
      </c>
      <c r="D24" s="1025">
        <f>+landbouw!C8</f>
        <v>0</v>
      </c>
      <c r="E24" s="1025">
        <f>+landbouw!D8</f>
        <v>95.33147799999999</v>
      </c>
      <c r="F24" s="1025">
        <f>+landbouw!E8</f>
        <v>12.070710130983064</v>
      </c>
      <c r="G24" s="1025">
        <f>+landbouw!F8</f>
        <v>3306.4463618212326</v>
      </c>
      <c r="H24" s="1025">
        <f>+landbouw!G8</f>
        <v>0</v>
      </c>
      <c r="I24" s="1025">
        <f>+landbouw!H8</f>
        <v>0</v>
      </c>
      <c r="J24" s="1025">
        <f>+landbouw!I8</f>
        <v>0</v>
      </c>
      <c r="K24" s="1025">
        <f>+landbouw!J8</f>
        <v>199.79387726516705</v>
      </c>
      <c r="L24" s="1025">
        <f>+landbouw!K8</f>
        <v>0</v>
      </c>
      <c r="M24" s="1025">
        <f>+landbouw!L8</f>
        <v>0</v>
      </c>
      <c r="N24" s="1025">
        <f>+landbouw!M8</f>
        <v>0</v>
      </c>
      <c r="O24" s="1025">
        <f>+landbouw!N8</f>
        <v>0</v>
      </c>
      <c r="P24" s="1025">
        <f>+landbouw!O8</f>
        <v>0</v>
      </c>
      <c r="Q24" s="1026">
        <f>+landbouw!P8</f>
        <v>0</v>
      </c>
      <c r="R24" s="701">
        <f>SUM(C24:Q24)</f>
        <v>4916.8344272173827</v>
      </c>
      <c r="S24" s="67"/>
    </row>
    <row r="25" spans="1:19" s="474" customFormat="1" ht="15" thickBot="1">
      <c r="A25" s="832" t="s">
        <v>864</v>
      </c>
      <c r="B25" s="1028"/>
      <c r="C25" s="1029">
        <f>IF(Onbekend_ele_kWh="---",0,Onbekend_ele_kWh)/1000+IF(REST_rest_ele_kWh="---",0,REST_rest_ele_kWh)/1000</f>
        <v>166.10300000000001</v>
      </c>
      <c r="D25" s="1029"/>
      <c r="E25" s="1029">
        <f>IF(onbekend_gas_kWh="---",0,onbekend_gas_kWh)/1000+IF(REST_rest_gas_kWh="---",0,REST_rest_gas_kWh)/1000</f>
        <v>1188.2739999999999</v>
      </c>
      <c r="F25" s="1029"/>
      <c r="G25" s="1029"/>
      <c r="H25" s="1029"/>
      <c r="I25" s="1029"/>
      <c r="J25" s="1029"/>
      <c r="K25" s="1029"/>
      <c r="L25" s="1029"/>
      <c r="M25" s="1029"/>
      <c r="N25" s="1029"/>
      <c r="O25" s="1029"/>
      <c r="P25" s="1029"/>
      <c r="Q25" s="1030"/>
      <c r="R25" s="701">
        <f>SUM(C25:Q25)</f>
        <v>1354.377</v>
      </c>
      <c r="S25" s="67"/>
    </row>
    <row r="26" spans="1:19" s="474" customFormat="1" ht="15.75" thickBot="1">
      <c r="A26" s="706" t="s">
        <v>865</v>
      </c>
      <c r="B26" s="818"/>
      <c r="C26" s="813">
        <f>SUM(C24:C25)</f>
        <v>1469.2950000000001</v>
      </c>
      <c r="D26" s="813">
        <f t="shared" ref="D26:R26" si="2">SUM(D24:D25)</f>
        <v>0</v>
      </c>
      <c r="E26" s="813">
        <f t="shared" si="2"/>
        <v>1283.6054779999999</v>
      </c>
      <c r="F26" s="813">
        <f t="shared" si="2"/>
        <v>12.070710130983064</v>
      </c>
      <c r="G26" s="813">
        <f t="shared" si="2"/>
        <v>3306.4463618212326</v>
      </c>
      <c r="H26" s="813">
        <f t="shared" si="2"/>
        <v>0</v>
      </c>
      <c r="I26" s="813">
        <f t="shared" si="2"/>
        <v>0</v>
      </c>
      <c r="J26" s="813">
        <f t="shared" si="2"/>
        <v>0</v>
      </c>
      <c r="K26" s="813">
        <f t="shared" si="2"/>
        <v>199.79387726516705</v>
      </c>
      <c r="L26" s="813">
        <f t="shared" si="2"/>
        <v>0</v>
      </c>
      <c r="M26" s="813">
        <f t="shared" si="2"/>
        <v>0</v>
      </c>
      <c r="N26" s="813">
        <f t="shared" si="2"/>
        <v>0</v>
      </c>
      <c r="O26" s="813">
        <f t="shared" si="2"/>
        <v>0</v>
      </c>
      <c r="P26" s="813">
        <f t="shared" si="2"/>
        <v>0</v>
      </c>
      <c r="Q26" s="813">
        <f t="shared" si="2"/>
        <v>0</v>
      </c>
      <c r="R26" s="813">
        <f t="shared" si="2"/>
        <v>6271.2114272173822</v>
      </c>
      <c r="S26" s="67"/>
    </row>
    <row r="27" spans="1:19" s="474" customFormat="1" ht="17.25" thickTop="1" thickBot="1">
      <c r="A27" s="707" t="s">
        <v>116</v>
      </c>
      <c r="B27" s="806"/>
      <c r="C27" s="708">
        <f ca="1">C22+C16+C26</f>
        <v>23484.741545149758</v>
      </c>
      <c r="D27" s="708">
        <f t="shared" ref="D27:R27" ca="1" si="3">D22+D16+D26</f>
        <v>0</v>
      </c>
      <c r="E27" s="708">
        <f t="shared" ca="1" si="3"/>
        <v>12367.250261165205</v>
      </c>
      <c r="F27" s="708">
        <f t="shared" si="3"/>
        <v>3822.8268120058056</v>
      </c>
      <c r="G27" s="708">
        <f t="shared" ca="1" si="3"/>
        <v>53993.810433045801</v>
      </c>
      <c r="H27" s="708">
        <f t="shared" si="3"/>
        <v>60477.347621316105</v>
      </c>
      <c r="I27" s="708">
        <f t="shared" si="3"/>
        <v>11704.589816410336</v>
      </c>
      <c r="J27" s="708">
        <f t="shared" si="3"/>
        <v>0</v>
      </c>
      <c r="K27" s="708">
        <f t="shared" si="3"/>
        <v>1662.83492189709</v>
      </c>
      <c r="L27" s="708">
        <f t="shared" si="3"/>
        <v>0</v>
      </c>
      <c r="M27" s="708">
        <f t="shared" ca="1" si="3"/>
        <v>0</v>
      </c>
      <c r="N27" s="708">
        <f t="shared" si="3"/>
        <v>3857.8999525564827</v>
      </c>
      <c r="O27" s="708">
        <f t="shared" ca="1" si="3"/>
        <v>8116.4064879339339</v>
      </c>
      <c r="P27" s="708">
        <f t="shared" si="3"/>
        <v>106.30666666666667</v>
      </c>
      <c r="Q27" s="708">
        <f t="shared" si="3"/>
        <v>724.5333333333333</v>
      </c>
      <c r="R27" s="708">
        <f t="shared" ca="1" si="3"/>
        <v>180318.54785148051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1128.0250700632241</v>
      </c>
      <c r="D40" s="1025">
        <f ca="1">tertiair!C20</f>
        <v>0</v>
      </c>
      <c r="E40" s="1025">
        <f ca="1">tertiair!D20</f>
        <v>197.45830108400003</v>
      </c>
      <c r="F40" s="1025">
        <f>tertiair!E20</f>
        <v>11.440277338493313</v>
      </c>
      <c r="G40" s="1025">
        <f ca="1">tertiair!F20</f>
        <v>234.65668011004902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1571.5803285957668</v>
      </c>
    </row>
    <row r="41" spans="1:18">
      <c r="A41" s="823" t="s">
        <v>225</v>
      </c>
      <c r="B41" s="830"/>
      <c r="C41" s="1025">
        <f ca="1">huishoudens!B12</f>
        <v>2931.9197628510124</v>
      </c>
      <c r="D41" s="1025">
        <f ca="1">huishoudens!C12</f>
        <v>0</v>
      </c>
      <c r="E41" s="1025">
        <f>huishoudens!D12</f>
        <v>2007.1820395000004</v>
      </c>
      <c r="F41" s="1025">
        <f>huishoudens!E12</f>
        <v>761.20321588651325</v>
      </c>
      <c r="G41" s="1025">
        <f>huishoudens!F12</f>
        <v>13082.763780796233</v>
      </c>
      <c r="H41" s="1025">
        <f>huishoudens!G12</f>
        <v>0</v>
      </c>
      <c r="I41" s="1025">
        <f>huishoudens!H12</f>
        <v>0</v>
      </c>
      <c r="J41" s="1025">
        <f>huishoudens!I12</f>
        <v>0</v>
      </c>
      <c r="K41" s="1025">
        <f>huishoudens!J12</f>
        <v>516.74452114539133</v>
      </c>
      <c r="L41" s="1025">
        <f>huishoudens!K12</f>
        <v>0</v>
      </c>
      <c r="M41" s="1025">
        <f>huishoudens!L12</f>
        <v>0</v>
      </c>
      <c r="N41" s="1025">
        <f>huishoudens!M12</f>
        <v>0</v>
      </c>
      <c r="O41" s="1025">
        <f>huishoudens!N12</f>
        <v>0</v>
      </c>
      <c r="P41" s="1025">
        <f>huishoudens!O12</f>
        <v>0</v>
      </c>
      <c r="Q41" s="775">
        <f>huishoudens!P12</f>
        <v>0</v>
      </c>
      <c r="R41" s="851">
        <f t="shared" ca="1" si="4"/>
        <v>19299.813320179153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164.88391708460381</v>
      </c>
      <c r="D43" s="1025">
        <f ca="1">industrie!C22</f>
        <v>0</v>
      </c>
      <c r="E43" s="1025">
        <f>industrie!D22</f>
        <v>28.121547564</v>
      </c>
      <c r="F43" s="1025">
        <f>industrie!E22</f>
        <v>43.660279267307921</v>
      </c>
      <c r="G43" s="1025">
        <f>industrie!F22</f>
        <v>216.10574611067986</v>
      </c>
      <c r="H43" s="1025">
        <f>industrie!G22</f>
        <v>0</v>
      </c>
      <c r="I43" s="1025">
        <f>industrie!H22</f>
        <v>0</v>
      </c>
      <c r="J43" s="1025">
        <f>industrie!I22</f>
        <v>0</v>
      </c>
      <c r="K43" s="1025">
        <f>industrie!J22</f>
        <v>1.1720086543093555</v>
      </c>
      <c r="L43" s="1025">
        <f>industrie!K22</f>
        <v>0</v>
      </c>
      <c r="M43" s="1025">
        <f>industrie!L22</f>
        <v>0</v>
      </c>
      <c r="N43" s="1025">
        <f>industrie!M22</f>
        <v>0</v>
      </c>
      <c r="O43" s="1025">
        <f>industrie!N22</f>
        <v>0</v>
      </c>
      <c r="P43" s="1025">
        <f>industrie!O22</f>
        <v>0</v>
      </c>
      <c r="Q43" s="775">
        <f>industrie!P22</f>
        <v>0</v>
      </c>
      <c r="R43" s="850">
        <f t="shared" ca="1" si="4"/>
        <v>453.94349868090092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4224.8287499988401</v>
      </c>
      <c r="D46" s="733">
        <f t="shared" ref="D46:Q46" ca="1" si="5">SUM(D39:D45)</f>
        <v>0</v>
      </c>
      <c r="E46" s="733">
        <f t="shared" ca="1" si="5"/>
        <v>2232.7618881480007</v>
      </c>
      <c r="F46" s="733">
        <f t="shared" si="5"/>
        <v>816.30377249231447</v>
      </c>
      <c r="G46" s="733">
        <f t="shared" ca="1" si="5"/>
        <v>13533.526207016961</v>
      </c>
      <c r="H46" s="733">
        <f t="shared" si="5"/>
        <v>0</v>
      </c>
      <c r="I46" s="733">
        <f t="shared" si="5"/>
        <v>0</v>
      </c>
      <c r="J46" s="733">
        <f t="shared" si="5"/>
        <v>0</v>
      </c>
      <c r="K46" s="733">
        <f t="shared" si="5"/>
        <v>517.9165297997007</v>
      </c>
      <c r="L46" s="733">
        <f t="shared" si="5"/>
        <v>0</v>
      </c>
      <c r="M46" s="733">
        <f t="shared" ca="1" si="5"/>
        <v>0</v>
      </c>
      <c r="N46" s="733">
        <f t="shared" si="5"/>
        <v>0</v>
      </c>
      <c r="O46" s="733">
        <f t="shared" ca="1" si="5"/>
        <v>0</v>
      </c>
      <c r="P46" s="733">
        <f t="shared" si="5"/>
        <v>0</v>
      </c>
      <c r="Q46" s="733">
        <f t="shared" si="5"/>
        <v>0</v>
      </c>
      <c r="R46" s="733">
        <f ca="1">SUM(R39:R45)</f>
        <v>21325.337147455819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244.95617774192354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244.95617774192354</v>
      </c>
    </row>
    <row r="50" spans="1:18">
      <c r="A50" s="826" t="s">
        <v>307</v>
      </c>
      <c r="B50" s="836"/>
      <c r="C50" s="704">
        <f ca="1">transport!B18</f>
        <v>2.2374074753955631</v>
      </c>
      <c r="D50" s="704">
        <f>transport!C18</f>
        <v>0</v>
      </c>
      <c r="E50" s="704">
        <f>transport!D18</f>
        <v>6.1343580513711515</v>
      </c>
      <c r="F50" s="704">
        <f>transport!E18</f>
        <v>48.737862633270119</v>
      </c>
      <c r="G50" s="704">
        <f>transport!F18</f>
        <v>0</v>
      </c>
      <c r="H50" s="704">
        <f>transport!G18</f>
        <v>15902.495637149479</v>
      </c>
      <c r="I50" s="704">
        <f>transport!H18</f>
        <v>2914.442864286174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18874.048129595689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2.2374074753955631</v>
      </c>
      <c r="D52" s="733">
        <f t="shared" ref="D52:Q52" ca="1" si="6">SUM(D48:D51)</f>
        <v>0</v>
      </c>
      <c r="E52" s="733">
        <f t="shared" si="6"/>
        <v>6.1343580513711515</v>
      </c>
      <c r="F52" s="733">
        <f t="shared" si="6"/>
        <v>48.737862633270119</v>
      </c>
      <c r="G52" s="733">
        <f t="shared" si="6"/>
        <v>0</v>
      </c>
      <c r="H52" s="733">
        <f t="shared" si="6"/>
        <v>16147.451814891403</v>
      </c>
      <c r="I52" s="733">
        <f t="shared" si="6"/>
        <v>2914.442864286174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19119.004307337611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250.21880835320994</v>
      </c>
      <c r="D54" s="704">
        <f ca="1">+landbouw!C12</f>
        <v>0</v>
      </c>
      <c r="E54" s="704">
        <f>+landbouw!D12</f>
        <v>19.256958556000001</v>
      </c>
      <c r="F54" s="704">
        <f>+landbouw!E12</f>
        <v>2.7400511997331556</v>
      </c>
      <c r="G54" s="704">
        <f>+landbouw!F12</f>
        <v>882.8211786062692</v>
      </c>
      <c r="H54" s="704">
        <f>+landbouw!G12</f>
        <v>0</v>
      </c>
      <c r="I54" s="704">
        <f>+landbouw!H12</f>
        <v>0</v>
      </c>
      <c r="J54" s="704">
        <f>+landbouw!I12</f>
        <v>0</v>
      </c>
      <c r="K54" s="704">
        <f>+landbouw!J12</f>
        <v>70.727032551869129</v>
      </c>
      <c r="L54" s="704">
        <f>+landbouw!K12</f>
        <v>0</v>
      </c>
      <c r="M54" s="704">
        <f>+landbouw!L12</f>
        <v>0</v>
      </c>
      <c r="N54" s="704">
        <f>+landbouw!M12</f>
        <v>0</v>
      </c>
      <c r="O54" s="704">
        <f>+landbouw!N12</f>
        <v>0</v>
      </c>
      <c r="P54" s="704">
        <f>+landbouw!O12</f>
        <v>0</v>
      </c>
      <c r="Q54" s="705">
        <f>+landbouw!P12</f>
        <v>0</v>
      </c>
      <c r="R54" s="732">
        <f ca="1">SUM(C54:Q54)</f>
        <v>1225.7640292670815</v>
      </c>
    </row>
    <row r="55" spans="1:18" ht="15" thickBot="1">
      <c r="A55" s="826" t="s">
        <v>864</v>
      </c>
      <c r="B55" s="836"/>
      <c r="C55" s="704">
        <f ca="1">C25*'EF ele_warmte'!B12</f>
        <v>31.892533658811004</v>
      </c>
      <c r="D55" s="704"/>
      <c r="E55" s="704">
        <f>E25*EF_CO2_aardgas</f>
        <v>240.03134799999998</v>
      </c>
      <c r="F55" s="704"/>
      <c r="G55" s="704"/>
      <c r="H55" s="704"/>
      <c r="I55" s="704"/>
      <c r="J55" s="704"/>
      <c r="K55" s="704"/>
      <c r="L55" s="704"/>
      <c r="M55" s="704"/>
      <c r="N55" s="704"/>
      <c r="O55" s="704"/>
      <c r="P55" s="704"/>
      <c r="Q55" s="705"/>
      <c r="R55" s="732">
        <f ca="1">SUM(C55:Q55)</f>
        <v>271.92388165881096</v>
      </c>
    </row>
    <row r="56" spans="1:18" ht="15.75" thickBot="1">
      <c r="A56" s="824" t="s">
        <v>865</v>
      </c>
      <c r="B56" s="837"/>
      <c r="C56" s="733">
        <f ca="1">SUM(C54:C55)</f>
        <v>282.11134201202094</v>
      </c>
      <c r="D56" s="733">
        <f t="shared" ref="D56:Q56" ca="1" si="7">SUM(D54:D55)</f>
        <v>0</v>
      </c>
      <c r="E56" s="733">
        <f t="shared" si="7"/>
        <v>259.28830655599995</v>
      </c>
      <c r="F56" s="733">
        <f t="shared" si="7"/>
        <v>2.7400511997331556</v>
      </c>
      <c r="G56" s="733">
        <f t="shared" si="7"/>
        <v>882.8211786062692</v>
      </c>
      <c r="H56" s="733">
        <f t="shared" si="7"/>
        <v>0</v>
      </c>
      <c r="I56" s="733">
        <f t="shared" si="7"/>
        <v>0</v>
      </c>
      <c r="J56" s="733">
        <f t="shared" si="7"/>
        <v>0</v>
      </c>
      <c r="K56" s="733">
        <f t="shared" si="7"/>
        <v>70.727032551869129</v>
      </c>
      <c r="L56" s="733">
        <f t="shared" si="7"/>
        <v>0</v>
      </c>
      <c r="M56" s="733">
        <f t="shared" si="7"/>
        <v>0</v>
      </c>
      <c r="N56" s="733">
        <f t="shared" si="7"/>
        <v>0</v>
      </c>
      <c r="O56" s="733">
        <f t="shared" si="7"/>
        <v>0</v>
      </c>
      <c r="P56" s="733">
        <f t="shared" si="7"/>
        <v>0</v>
      </c>
      <c r="Q56" s="734">
        <f t="shared" si="7"/>
        <v>0</v>
      </c>
      <c r="R56" s="735">
        <f ca="1">SUM(R54:R55)</f>
        <v>1497.6879109258925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4509.1774994862562</v>
      </c>
      <c r="D61" s="741">
        <f t="shared" ref="D61:Q61" ca="1" si="8">D46+D52+D56</f>
        <v>0</v>
      </c>
      <c r="E61" s="741">
        <f t="shared" ca="1" si="8"/>
        <v>2498.1845527553719</v>
      </c>
      <c r="F61" s="741">
        <f t="shared" si="8"/>
        <v>867.78168632531765</v>
      </c>
      <c r="G61" s="741">
        <f t="shared" ca="1" si="8"/>
        <v>14416.34738562323</v>
      </c>
      <c r="H61" s="741">
        <f t="shared" si="8"/>
        <v>16147.451814891403</v>
      </c>
      <c r="I61" s="741">
        <f t="shared" si="8"/>
        <v>2914.442864286174</v>
      </c>
      <c r="J61" s="741">
        <f t="shared" si="8"/>
        <v>0</v>
      </c>
      <c r="K61" s="741">
        <f t="shared" si="8"/>
        <v>588.64356235156981</v>
      </c>
      <c r="L61" s="741">
        <f t="shared" si="8"/>
        <v>0</v>
      </c>
      <c r="M61" s="741">
        <f t="shared" ca="1" si="8"/>
        <v>0</v>
      </c>
      <c r="N61" s="741">
        <f t="shared" si="8"/>
        <v>0</v>
      </c>
      <c r="O61" s="741">
        <f t="shared" ca="1" si="8"/>
        <v>0</v>
      </c>
      <c r="P61" s="741">
        <f t="shared" si="8"/>
        <v>0</v>
      </c>
      <c r="Q61" s="741">
        <f t="shared" si="8"/>
        <v>0</v>
      </c>
      <c r="R61" s="741">
        <f ca="1">R46+R52+R56</f>
        <v>41942.029365719325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0.19200456137945127</v>
      </c>
      <c r="D63" s="782">
        <f t="shared" ca="1" si="9"/>
        <v>0</v>
      </c>
      <c r="E63" s="1036">
        <f t="shared" ca="1" si="9"/>
        <v>0.20200000000000004</v>
      </c>
      <c r="F63" s="782">
        <f t="shared" si="9"/>
        <v>0.22699999999999995</v>
      </c>
      <c r="G63" s="782">
        <f t="shared" ca="1" si="9"/>
        <v>0.26700000000000002</v>
      </c>
      <c r="H63" s="782">
        <f t="shared" si="9"/>
        <v>0.26700000000000007</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3081.2234479268773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3081.2234479268773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3081.2234479268773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3081.2234479268773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15270.052658055194</v>
      </c>
      <c r="C4" s="478">
        <f>huishoudens!C8</f>
        <v>0</v>
      </c>
      <c r="D4" s="478">
        <f>huishoudens!D8</f>
        <v>9936.5447500000009</v>
      </c>
      <c r="E4" s="478">
        <f>huishoudens!E8</f>
        <v>3353.3181316586488</v>
      </c>
      <c r="F4" s="478">
        <f>huishoudens!F8</f>
        <v>48999.115283881016</v>
      </c>
      <c r="G4" s="478">
        <f>huishoudens!G8</f>
        <v>0</v>
      </c>
      <c r="H4" s="478">
        <f>huishoudens!H8</f>
        <v>0</v>
      </c>
      <c r="I4" s="478">
        <f>huishoudens!I8</f>
        <v>0</v>
      </c>
      <c r="J4" s="478">
        <f>huishoudens!J8</f>
        <v>1459.7302857214445</v>
      </c>
      <c r="K4" s="478">
        <f>huishoudens!K8</f>
        <v>0</v>
      </c>
      <c r="L4" s="478">
        <f>huishoudens!L8</f>
        <v>0</v>
      </c>
      <c r="M4" s="478">
        <f>huishoudens!M8</f>
        <v>0</v>
      </c>
      <c r="N4" s="478">
        <f>huishoudens!N8</f>
        <v>6732.3476117770688</v>
      </c>
      <c r="O4" s="478">
        <f>huishoudens!O8</f>
        <v>106.30666666666667</v>
      </c>
      <c r="P4" s="479">
        <f>huishoudens!P8</f>
        <v>686.4</v>
      </c>
      <c r="Q4" s="480">
        <f>SUM(B4:P4)</f>
        <v>86543.815387760027</v>
      </c>
    </row>
    <row r="5" spans="1:17">
      <c r="A5" s="477" t="s">
        <v>156</v>
      </c>
      <c r="B5" s="478">
        <f ca="1">tertiair!B16</f>
        <v>5403.8090000000002</v>
      </c>
      <c r="C5" s="478">
        <f ca="1">tertiair!C16</f>
        <v>0</v>
      </c>
      <c r="D5" s="478">
        <f ca="1">tertiair!D16</f>
        <v>977.51634200000012</v>
      </c>
      <c r="E5" s="478">
        <f>tertiair!E16</f>
        <v>50.397697526402261</v>
      </c>
      <c r="F5" s="478">
        <f ca="1">tertiair!F16</f>
        <v>878.86397044962177</v>
      </c>
      <c r="G5" s="478">
        <f>tertiair!G16</f>
        <v>0</v>
      </c>
      <c r="H5" s="478">
        <f>tertiair!H16</f>
        <v>0</v>
      </c>
      <c r="I5" s="478">
        <f>tertiair!I16</f>
        <v>0</v>
      </c>
      <c r="J5" s="478">
        <f>tertiair!J16</f>
        <v>0</v>
      </c>
      <c r="K5" s="478">
        <f>tertiair!K16</f>
        <v>0</v>
      </c>
      <c r="L5" s="478">
        <f ca="1">tertiair!L16</f>
        <v>0</v>
      </c>
      <c r="M5" s="478">
        <f>tertiair!M16</f>
        <v>0</v>
      </c>
      <c r="N5" s="478">
        <f ca="1">tertiair!N16</f>
        <v>1085.8747486709601</v>
      </c>
      <c r="O5" s="478">
        <f>tertiair!O16</f>
        <v>0</v>
      </c>
      <c r="P5" s="479">
        <f>tertiair!P16</f>
        <v>38.133333333333333</v>
      </c>
      <c r="Q5" s="477">
        <f t="shared" ref="Q5:Q14" ca="1" si="0">SUM(B5:P5)</f>
        <v>8434.5950919803181</v>
      </c>
    </row>
    <row r="6" spans="1:17">
      <c r="A6" s="477" t="s">
        <v>194</v>
      </c>
      <c r="B6" s="478">
        <f>'openbare verlichting'!B8</f>
        <v>471.18200000000002</v>
      </c>
      <c r="C6" s="478"/>
      <c r="D6" s="478"/>
      <c r="E6" s="478"/>
      <c r="F6" s="478"/>
      <c r="G6" s="478"/>
      <c r="H6" s="478"/>
      <c r="I6" s="478"/>
      <c r="J6" s="478"/>
      <c r="K6" s="478"/>
      <c r="L6" s="478"/>
      <c r="M6" s="478"/>
      <c r="N6" s="478"/>
      <c r="O6" s="478"/>
      <c r="P6" s="479"/>
      <c r="Q6" s="477">
        <f t="shared" si="0"/>
        <v>471.18200000000002</v>
      </c>
    </row>
    <row r="7" spans="1:17">
      <c r="A7" s="477" t="s">
        <v>112</v>
      </c>
      <c r="B7" s="478">
        <f>landbouw!B8</f>
        <v>1303.192</v>
      </c>
      <c r="C7" s="478">
        <f>landbouw!C8</f>
        <v>0</v>
      </c>
      <c r="D7" s="478">
        <f>landbouw!D8</f>
        <v>95.33147799999999</v>
      </c>
      <c r="E7" s="478">
        <f>landbouw!E8</f>
        <v>12.070710130983064</v>
      </c>
      <c r="F7" s="478">
        <f>landbouw!F8</f>
        <v>3306.4463618212326</v>
      </c>
      <c r="G7" s="478">
        <f>landbouw!G8</f>
        <v>0</v>
      </c>
      <c r="H7" s="478">
        <f>landbouw!H8</f>
        <v>0</v>
      </c>
      <c r="I7" s="478">
        <f>landbouw!I8</f>
        <v>0</v>
      </c>
      <c r="J7" s="478">
        <f>landbouw!J8</f>
        <v>199.79387726516705</v>
      </c>
      <c r="K7" s="478">
        <f>landbouw!K8</f>
        <v>0</v>
      </c>
      <c r="L7" s="478">
        <f>landbouw!L8</f>
        <v>0</v>
      </c>
      <c r="M7" s="478">
        <f>landbouw!M8</f>
        <v>0</v>
      </c>
      <c r="N7" s="478">
        <f>landbouw!N8</f>
        <v>0</v>
      </c>
      <c r="O7" s="478">
        <f>landbouw!O8</f>
        <v>0</v>
      </c>
      <c r="P7" s="479">
        <f>landbouw!P8</f>
        <v>0</v>
      </c>
      <c r="Q7" s="477">
        <f t="shared" si="0"/>
        <v>4916.8344272173827</v>
      </c>
    </row>
    <row r="8" spans="1:17">
      <c r="A8" s="477" t="s">
        <v>650</v>
      </c>
      <c r="B8" s="478">
        <f>industrie!B18</f>
        <v>858.75</v>
      </c>
      <c r="C8" s="478">
        <f>industrie!C18</f>
        <v>0</v>
      </c>
      <c r="D8" s="478">
        <f>industrie!D18</f>
        <v>139.21558199999998</v>
      </c>
      <c r="E8" s="478">
        <f>industrie!E18</f>
        <v>192.33603201457234</v>
      </c>
      <c r="F8" s="478">
        <f>industrie!F18</f>
        <v>809.384816893932</v>
      </c>
      <c r="G8" s="478">
        <f>industrie!G18</f>
        <v>0</v>
      </c>
      <c r="H8" s="478">
        <f>industrie!H18</f>
        <v>0</v>
      </c>
      <c r="I8" s="478">
        <f>industrie!I18</f>
        <v>0</v>
      </c>
      <c r="J8" s="478">
        <f>industrie!J18</f>
        <v>3.3107589104784054</v>
      </c>
      <c r="K8" s="478">
        <f>industrie!K18</f>
        <v>0</v>
      </c>
      <c r="L8" s="478">
        <f>industrie!L18</f>
        <v>0</v>
      </c>
      <c r="M8" s="478">
        <f>industrie!M18</f>
        <v>0</v>
      </c>
      <c r="N8" s="478">
        <f>industrie!N18</f>
        <v>298.18412748590561</v>
      </c>
      <c r="O8" s="478">
        <f>industrie!O18</f>
        <v>0</v>
      </c>
      <c r="P8" s="479">
        <f>industrie!P18</f>
        <v>0</v>
      </c>
      <c r="Q8" s="477">
        <f t="shared" si="0"/>
        <v>2301.1813173048886</v>
      </c>
    </row>
    <row r="9" spans="1:17" s="483" customFormat="1">
      <c r="A9" s="481" t="s">
        <v>571</v>
      </c>
      <c r="B9" s="482">
        <f>transport!B14</f>
        <v>11.652887094561569</v>
      </c>
      <c r="C9" s="482">
        <f>transport!C14</f>
        <v>0</v>
      </c>
      <c r="D9" s="482">
        <f>transport!D14</f>
        <v>30.36810916520372</v>
      </c>
      <c r="E9" s="482">
        <f>transport!E14</f>
        <v>214.70424067519875</v>
      </c>
      <c r="F9" s="482">
        <f>transport!F14</f>
        <v>0</v>
      </c>
      <c r="G9" s="482">
        <f>transport!G14</f>
        <v>59559.908753368829</v>
      </c>
      <c r="H9" s="482">
        <f>transport!H14</f>
        <v>11704.589816410336</v>
      </c>
      <c r="I9" s="482">
        <f>transport!I14</f>
        <v>0</v>
      </c>
      <c r="J9" s="482">
        <f>transport!J14</f>
        <v>0</v>
      </c>
      <c r="K9" s="482">
        <f>transport!K14</f>
        <v>0</v>
      </c>
      <c r="L9" s="482">
        <f>transport!L14</f>
        <v>0</v>
      </c>
      <c r="M9" s="482">
        <f>transport!M14</f>
        <v>3805.581088396224</v>
      </c>
      <c r="N9" s="482">
        <f>transport!N14</f>
        <v>0</v>
      </c>
      <c r="O9" s="482">
        <f>transport!O14</f>
        <v>0</v>
      </c>
      <c r="P9" s="482">
        <f>transport!P14</f>
        <v>0</v>
      </c>
      <c r="Q9" s="481">
        <f>SUM(B9:P9)</f>
        <v>75326.804895110356</v>
      </c>
    </row>
    <row r="10" spans="1:17">
      <c r="A10" s="477" t="s">
        <v>561</v>
      </c>
      <c r="B10" s="478">
        <f>transport!B54</f>
        <v>0</v>
      </c>
      <c r="C10" s="478">
        <f>transport!C54</f>
        <v>0</v>
      </c>
      <c r="D10" s="478">
        <f>transport!D54</f>
        <v>0</v>
      </c>
      <c r="E10" s="478">
        <f>transport!E54</f>
        <v>0</v>
      </c>
      <c r="F10" s="478">
        <f>transport!F54</f>
        <v>0</v>
      </c>
      <c r="G10" s="478">
        <f>transport!G54</f>
        <v>917.43886794727916</v>
      </c>
      <c r="H10" s="478">
        <f>transport!H54</f>
        <v>0</v>
      </c>
      <c r="I10" s="478">
        <f>transport!I54</f>
        <v>0</v>
      </c>
      <c r="J10" s="478">
        <f>transport!J54</f>
        <v>0</v>
      </c>
      <c r="K10" s="478">
        <f>transport!K54</f>
        <v>0</v>
      </c>
      <c r="L10" s="478">
        <f>transport!L54</f>
        <v>0</v>
      </c>
      <c r="M10" s="478">
        <f>transport!M54</f>
        <v>52.318864160258592</v>
      </c>
      <c r="N10" s="478">
        <f>transport!N54</f>
        <v>0</v>
      </c>
      <c r="O10" s="478">
        <f>transport!O54</f>
        <v>0</v>
      </c>
      <c r="P10" s="479">
        <f>transport!P54</f>
        <v>0</v>
      </c>
      <c r="Q10" s="477">
        <f t="shared" si="0"/>
        <v>969.75773210753778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166.10300000000001</v>
      </c>
      <c r="C14" s="485"/>
      <c r="D14" s="485">
        <f>'SEAP template'!E25</f>
        <v>1188.2739999999999</v>
      </c>
      <c r="E14" s="485"/>
      <c r="F14" s="485"/>
      <c r="G14" s="485"/>
      <c r="H14" s="485"/>
      <c r="I14" s="485"/>
      <c r="J14" s="485"/>
      <c r="K14" s="485"/>
      <c r="L14" s="485"/>
      <c r="M14" s="485"/>
      <c r="N14" s="485"/>
      <c r="O14" s="485"/>
      <c r="P14" s="486"/>
      <c r="Q14" s="477">
        <f t="shared" si="0"/>
        <v>1354.377</v>
      </c>
    </row>
    <row r="15" spans="1:17" s="487" customFormat="1">
      <c r="A15" s="1051" t="s">
        <v>565</v>
      </c>
      <c r="B15" s="991">
        <f ca="1">SUM(B4:B14)</f>
        <v>23484.741545149755</v>
      </c>
      <c r="C15" s="991">
        <f t="shared" ref="C15:Q15" ca="1" si="1">SUM(C4:C14)</f>
        <v>0</v>
      </c>
      <c r="D15" s="991">
        <f t="shared" ca="1" si="1"/>
        <v>12367.250261165205</v>
      </c>
      <c r="E15" s="991">
        <f t="shared" si="1"/>
        <v>3822.8268120058056</v>
      </c>
      <c r="F15" s="991">
        <f t="shared" ca="1" si="1"/>
        <v>53993.810433045801</v>
      </c>
      <c r="G15" s="991">
        <f t="shared" si="1"/>
        <v>60477.347621316105</v>
      </c>
      <c r="H15" s="991">
        <f t="shared" si="1"/>
        <v>11704.589816410336</v>
      </c>
      <c r="I15" s="991">
        <f t="shared" si="1"/>
        <v>0</v>
      </c>
      <c r="J15" s="991">
        <f t="shared" si="1"/>
        <v>1662.83492189709</v>
      </c>
      <c r="K15" s="991">
        <f t="shared" si="1"/>
        <v>0</v>
      </c>
      <c r="L15" s="991">
        <f t="shared" ca="1" si="1"/>
        <v>0</v>
      </c>
      <c r="M15" s="991">
        <f t="shared" si="1"/>
        <v>3857.8999525564827</v>
      </c>
      <c r="N15" s="991">
        <f t="shared" ca="1" si="1"/>
        <v>8116.4064879339339</v>
      </c>
      <c r="O15" s="991">
        <f t="shared" si="1"/>
        <v>106.30666666666667</v>
      </c>
      <c r="P15" s="991">
        <f t="shared" si="1"/>
        <v>724.5333333333333</v>
      </c>
      <c r="Q15" s="991">
        <f t="shared" ca="1" si="1"/>
        <v>180318.54785148051</v>
      </c>
    </row>
    <row r="17" spans="1:17">
      <c r="A17" s="488" t="s">
        <v>566</v>
      </c>
      <c r="B17" s="787">
        <f ca="1">huishoudens!B10</f>
        <v>0.19200456137945132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2931.9197628510124</v>
      </c>
      <c r="C22" s="478">
        <f t="shared" ref="C22:C32" ca="1" si="3">C4*$C$17</f>
        <v>0</v>
      </c>
      <c r="D22" s="478">
        <f t="shared" ref="D22:D32" si="4">D4*$D$17</f>
        <v>2007.1820395000004</v>
      </c>
      <c r="E22" s="478">
        <f t="shared" ref="E22:E32" si="5">E4*$E$17</f>
        <v>761.20321588651325</v>
      </c>
      <c r="F22" s="478">
        <f t="shared" ref="F22:F32" si="6">F4*$F$17</f>
        <v>13082.763780796233</v>
      </c>
      <c r="G22" s="478">
        <f t="shared" ref="G22:G32" si="7">G4*$G$17</f>
        <v>0</v>
      </c>
      <c r="H22" s="478">
        <f t="shared" ref="H22:H32" si="8">H4*$H$17</f>
        <v>0</v>
      </c>
      <c r="I22" s="478">
        <f t="shared" ref="I22:I32" si="9">I4*$I$17</f>
        <v>0</v>
      </c>
      <c r="J22" s="478">
        <f t="shared" ref="J22:J32" si="10">J4*$J$17</f>
        <v>516.74452114539133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19299.813320179153</v>
      </c>
    </row>
    <row r="23" spans="1:17">
      <c r="A23" s="477" t="s">
        <v>156</v>
      </c>
      <c r="B23" s="478">
        <f t="shared" ca="1" si="2"/>
        <v>1037.5559768233315</v>
      </c>
      <c r="C23" s="478">
        <f t="shared" ca="1" si="3"/>
        <v>0</v>
      </c>
      <c r="D23" s="478">
        <f t="shared" ca="1" si="4"/>
        <v>197.45830108400003</v>
      </c>
      <c r="E23" s="478">
        <f t="shared" si="5"/>
        <v>11.440277338493313</v>
      </c>
      <c r="F23" s="478">
        <f t="shared" ca="1" si="6"/>
        <v>234.65668011004902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1481.1112353558742</v>
      </c>
    </row>
    <row r="24" spans="1:17">
      <c r="A24" s="477" t="s">
        <v>194</v>
      </c>
      <c r="B24" s="478">
        <f t="shared" ca="1" si="2"/>
        <v>90.469093239892629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90.469093239892629</v>
      </c>
    </row>
    <row r="25" spans="1:17">
      <c r="A25" s="477" t="s">
        <v>112</v>
      </c>
      <c r="B25" s="478">
        <f t="shared" ca="1" si="2"/>
        <v>250.21880835320994</v>
      </c>
      <c r="C25" s="478">
        <f t="shared" ca="1" si="3"/>
        <v>0</v>
      </c>
      <c r="D25" s="478">
        <f t="shared" si="4"/>
        <v>19.256958556000001</v>
      </c>
      <c r="E25" s="478">
        <f t="shared" si="5"/>
        <v>2.7400511997331556</v>
      </c>
      <c r="F25" s="478">
        <f t="shared" si="6"/>
        <v>882.8211786062692</v>
      </c>
      <c r="G25" s="478">
        <f t="shared" si="7"/>
        <v>0</v>
      </c>
      <c r="H25" s="478">
        <f t="shared" si="8"/>
        <v>0</v>
      </c>
      <c r="I25" s="478">
        <f t="shared" si="9"/>
        <v>0</v>
      </c>
      <c r="J25" s="478">
        <f t="shared" si="10"/>
        <v>70.727032551869129</v>
      </c>
      <c r="K25" s="478">
        <f t="shared" si="11"/>
        <v>0</v>
      </c>
      <c r="L25" s="478">
        <f t="shared" si="12"/>
        <v>0</v>
      </c>
      <c r="M25" s="478">
        <f t="shared" si="13"/>
        <v>0</v>
      </c>
      <c r="N25" s="478">
        <f t="shared" si="14"/>
        <v>0</v>
      </c>
      <c r="O25" s="478">
        <f t="shared" si="15"/>
        <v>0</v>
      </c>
      <c r="P25" s="479">
        <f t="shared" si="16"/>
        <v>0</v>
      </c>
      <c r="Q25" s="477">
        <f t="shared" ca="1" si="17"/>
        <v>1225.7640292670815</v>
      </c>
    </row>
    <row r="26" spans="1:17">
      <c r="A26" s="477" t="s">
        <v>650</v>
      </c>
      <c r="B26" s="478">
        <f t="shared" ca="1" si="2"/>
        <v>164.88391708460381</v>
      </c>
      <c r="C26" s="478">
        <f t="shared" ca="1" si="3"/>
        <v>0</v>
      </c>
      <c r="D26" s="478">
        <f t="shared" si="4"/>
        <v>28.121547564</v>
      </c>
      <c r="E26" s="478">
        <f t="shared" si="5"/>
        <v>43.660279267307921</v>
      </c>
      <c r="F26" s="478">
        <f t="shared" si="6"/>
        <v>216.10574611067986</v>
      </c>
      <c r="G26" s="478">
        <f t="shared" si="7"/>
        <v>0</v>
      </c>
      <c r="H26" s="478">
        <f t="shared" si="8"/>
        <v>0</v>
      </c>
      <c r="I26" s="478">
        <f t="shared" si="9"/>
        <v>0</v>
      </c>
      <c r="J26" s="478">
        <f t="shared" si="10"/>
        <v>1.1720086543093555</v>
      </c>
      <c r="K26" s="478">
        <f t="shared" si="11"/>
        <v>0</v>
      </c>
      <c r="L26" s="478">
        <f t="shared" si="12"/>
        <v>0</v>
      </c>
      <c r="M26" s="478">
        <f t="shared" si="13"/>
        <v>0</v>
      </c>
      <c r="N26" s="478">
        <f t="shared" si="14"/>
        <v>0</v>
      </c>
      <c r="O26" s="478">
        <f t="shared" si="15"/>
        <v>0</v>
      </c>
      <c r="P26" s="479">
        <f t="shared" si="16"/>
        <v>0</v>
      </c>
      <c r="Q26" s="477">
        <f t="shared" ca="1" si="17"/>
        <v>453.94349868090092</v>
      </c>
    </row>
    <row r="27" spans="1:17" s="483" customFormat="1">
      <c r="A27" s="481" t="s">
        <v>571</v>
      </c>
      <c r="B27" s="781">
        <f t="shared" ca="1" si="2"/>
        <v>2.2374074753955631</v>
      </c>
      <c r="C27" s="482">
        <f t="shared" ca="1" si="3"/>
        <v>0</v>
      </c>
      <c r="D27" s="482">
        <f t="shared" si="4"/>
        <v>6.1343580513711515</v>
      </c>
      <c r="E27" s="482">
        <f t="shared" si="5"/>
        <v>48.737862633270119</v>
      </c>
      <c r="F27" s="482">
        <f t="shared" si="6"/>
        <v>0</v>
      </c>
      <c r="G27" s="482">
        <f t="shared" si="7"/>
        <v>15902.495637149479</v>
      </c>
      <c r="H27" s="482">
        <f t="shared" si="8"/>
        <v>2914.442864286174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18874.048129595689</v>
      </c>
    </row>
    <row r="28" spans="1:17">
      <c r="A28" s="477" t="s">
        <v>561</v>
      </c>
      <c r="B28" s="478">
        <f t="shared" ca="1" si="2"/>
        <v>0</v>
      </c>
      <c r="C28" s="478">
        <f t="shared" ca="1" si="3"/>
        <v>0</v>
      </c>
      <c r="D28" s="478">
        <f t="shared" si="4"/>
        <v>0</v>
      </c>
      <c r="E28" s="478">
        <f t="shared" si="5"/>
        <v>0</v>
      </c>
      <c r="F28" s="478">
        <f t="shared" si="6"/>
        <v>0</v>
      </c>
      <c r="G28" s="478">
        <f t="shared" si="7"/>
        <v>244.95617774192354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244.95617774192354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31.892533658811004</v>
      </c>
      <c r="C32" s="478">
        <f t="shared" ca="1" si="3"/>
        <v>0</v>
      </c>
      <c r="D32" s="478">
        <f t="shared" si="4"/>
        <v>240.03134799999998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271.92388165881096</v>
      </c>
    </row>
    <row r="33" spans="1:17" s="487" customFormat="1">
      <c r="A33" s="1051" t="s">
        <v>565</v>
      </c>
      <c r="B33" s="991">
        <f ca="1">SUM(B22:B32)</f>
        <v>4509.1774994862562</v>
      </c>
      <c r="C33" s="991">
        <f t="shared" ref="C33:Q33" ca="1" si="18">SUM(C22:C32)</f>
        <v>0</v>
      </c>
      <c r="D33" s="991">
        <f t="shared" ca="1" si="18"/>
        <v>2498.1845527553719</v>
      </c>
      <c r="E33" s="991">
        <f t="shared" si="18"/>
        <v>867.78168632531765</v>
      </c>
      <c r="F33" s="991">
        <f t="shared" ca="1" si="18"/>
        <v>14416.34738562323</v>
      </c>
      <c r="G33" s="991">
        <f t="shared" si="18"/>
        <v>16147.451814891403</v>
      </c>
      <c r="H33" s="991">
        <f t="shared" si="18"/>
        <v>2914.442864286174</v>
      </c>
      <c r="I33" s="991">
        <f t="shared" si="18"/>
        <v>0</v>
      </c>
      <c r="J33" s="991">
        <f t="shared" si="18"/>
        <v>588.64356235156981</v>
      </c>
      <c r="K33" s="991">
        <f t="shared" si="18"/>
        <v>0</v>
      </c>
      <c r="L33" s="991">
        <f t="shared" ca="1" si="18"/>
        <v>0</v>
      </c>
      <c r="M33" s="991">
        <f t="shared" si="18"/>
        <v>0</v>
      </c>
      <c r="N33" s="991">
        <f t="shared" ca="1" si="18"/>
        <v>0</v>
      </c>
      <c r="O33" s="991">
        <f t="shared" si="18"/>
        <v>0</v>
      </c>
      <c r="P33" s="991">
        <f t="shared" si="18"/>
        <v>0</v>
      </c>
      <c r="Q33" s="991">
        <f t="shared" ca="1" si="18"/>
        <v>41942.029365719325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3081.2234479268773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3081.2234479268773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0.19200456137945132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0.19200456137945132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2019-08-12T08:10:15Z</dcterms:modified>
</cp:coreProperties>
</file>