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E89" i="14" s="1"/>
  <c r="E19" i="59" s="1"/>
  <c r="C19" i="18"/>
  <c r="D89" i="14" s="1"/>
  <c r="D19" i="59" s="1"/>
  <c r="B19" i="18"/>
  <c r="N18"/>
  <c r="M18"/>
  <c r="L18"/>
  <c r="K18"/>
  <c r="J18"/>
  <c r="J88" i="14" s="1"/>
  <c r="J18" i="59" s="1"/>
  <c r="I18" i="18"/>
  <c r="H18"/>
  <c r="M88" i="14" s="1"/>
  <c r="M18" i="59" s="1"/>
  <c r="G18" i="18"/>
  <c r="H88" i="14" s="1"/>
  <c r="F18" i="18"/>
  <c r="F20" s="1"/>
  <c r="E18"/>
  <c r="D18"/>
  <c r="E88" i="14" s="1"/>
  <c r="E18" i="59" s="1"/>
  <c r="C18" i="18"/>
  <c r="B18"/>
  <c r="L9"/>
  <c r="O77" i="14" s="1"/>
  <c r="O9" i="59" s="1"/>
  <c r="K9" i="18"/>
  <c r="N77" i="14" s="1"/>
  <c r="G9" i="18"/>
  <c r="G10" s="1"/>
  <c r="F9"/>
  <c r="F10" s="1"/>
  <c r="D9"/>
  <c r="E77" i="14" s="1"/>
  <c r="E9" i="59" s="1"/>
  <c r="C9" i="18"/>
  <c r="K22"/>
  <c r="J22"/>
  <c r="I22"/>
  <c r="H22"/>
  <c r="K12"/>
  <c r="J12"/>
  <c r="I12"/>
  <c r="H12"/>
  <c r="W92"/>
  <c r="V92"/>
  <c r="U92"/>
  <c r="T92"/>
  <c r="S92"/>
  <c r="R92"/>
  <c r="Q92"/>
  <c r="P92"/>
  <c r="O92"/>
  <c r="N92"/>
  <c r="M92"/>
  <c r="W91"/>
  <c r="V91"/>
  <c r="U91"/>
  <c r="T91"/>
  <c r="S91"/>
  <c r="R91"/>
  <c r="Q91"/>
  <c r="P91"/>
  <c r="O91"/>
  <c r="N91"/>
  <c r="M91"/>
  <c r="W90"/>
  <c r="V90"/>
  <c r="U90"/>
  <c r="T90"/>
  <c r="S90"/>
  <c r="R90"/>
  <c r="Q90"/>
  <c r="P90"/>
  <c r="O90"/>
  <c r="C16" i="16" s="1"/>
  <c r="N90" i="18"/>
  <c r="B16" i="16" s="1"/>
  <c r="M90" i="18"/>
  <c r="W89"/>
  <c r="V89"/>
  <c r="J9" s="1"/>
  <c r="J77" i="14" s="1"/>
  <c r="J9" i="59" s="1"/>
  <c r="U89" i="18"/>
  <c r="I9" s="1"/>
  <c r="T89"/>
  <c r="S89"/>
  <c r="E9" s="1"/>
  <c r="R89"/>
  <c r="Q89"/>
  <c r="P89"/>
  <c r="O89"/>
  <c r="N89"/>
  <c r="B9" s="1"/>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B6"/>
  <c r="B5"/>
  <c r="B73" i="14" s="1"/>
  <c r="B5" i="59" s="1"/>
  <c r="B4" i="18"/>
  <c r="B72" i="14" s="1"/>
  <c r="B4" i="59" s="1"/>
  <c r="C6" i="17"/>
  <c r="D5"/>
  <c r="B19" i="6"/>
  <c r="B18"/>
  <c r="B5"/>
  <c r="C29" i="14" s="1"/>
  <c r="B6" i="6"/>
  <c r="C64" i="14" s="1"/>
  <c r="P7" i="48"/>
  <c r="P25" s="1"/>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M89" i="14"/>
  <c r="M19" i="59" s="1"/>
  <c r="L89" i="14"/>
  <c r="L19" i="59" s="1"/>
  <c r="K89" i="14"/>
  <c r="K19" i="59" s="1"/>
  <c r="K20" s="1"/>
  <c r="H89" i="14"/>
  <c r="H19" i="59" s="1"/>
  <c r="L88" i="14"/>
  <c r="K88"/>
  <c r="K18" i="59" s="1"/>
  <c r="I88" i="14"/>
  <c r="I18" i="59" s="1"/>
  <c r="G88" i="14"/>
  <c r="G18" i="59" s="1"/>
  <c r="F88" i="14"/>
  <c r="F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Q54" i="14"/>
  <c r="P54"/>
  <c r="L54"/>
  <c r="L56" s="1"/>
  <c r="J54"/>
  <c r="J56" s="1"/>
  <c r="I54"/>
  <c r="I56" s="1"/>
  <c r="H54"/>
  <c r="H56" s="1"/>
  <c r="Q24"/>
  <c r="P24"/>
  <c r="P26" s="1"/>
  <c r="N24"/>
  <c r="N26" s="1"/>
  <c r="L24"/>
  <c r="J24"/>
  <c r="I24"/>
  <c r="H24"/>
  <c r="Q50"/>
  <c r="Q52" s="1"/>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P56"/>
  <c r="Q56"/>
  <c r="R44"/>
  <c r="E25"/>
  <c r="E55" s="1"/>
  <c r="C25"/>
  <c r="B14" i="48" s="1"/>
  <c r="Q26" i="14"/>
  <c r="L26"/>
  <c r="J26"/>
  <c r="I26"/>
  <c r="H26"/>
  <c r="K22"/>
  <c r="G22"/>
  <c r="R12"/>
  <c r="Q14" i="48" l="1"/>
  <c r="N78" i="14"/>
  <c r="N9" i="59"/>
  <c r="N10" s="1"/>
  <c r="H90" i="14"/>
  <c r="H18" i="59"/>
  <c r="H20" s="1"/>
  <c r="O10"/>
  <c r="C98" i="18"/>
  <c r="P22" i="14"/>
  <c r="E20" i="59"/>
  <c r="L10" i="18"/>
  <c r="D20"/>
  <c r="L78" i="14"/>
  <c r="D14" i="48"/>
  <c r="K10" i="18"/>
  <c r="K78" i="14"/>
  <c r="B17" i="18"/>
  <c r="B20" s="1"/>
  <c r="M77" i="14"/>
  <c r="M9" i="59" s="1"/>
  <c r="H9" i="18"/>
  <c r="L90" i="14"/>
  <c r="L18" i="59"/>
  <c r="L20" s="1"/>
  <c r="G20"/>
  <c r="Q22" i="14"/>
  <c r="G10" i="59"/>
  <c r="L10"/>
  <c r="D22" i="14"/>
  <c r="L22"/>
  <c r="E10" i="59"/>
  <c r="B8" i="18"/>
  <c r="B10" s="1"/>
  <c r="F13" i="15"/>
  <c r="G77" i="14"/>
  <c r="G9" i="59" s="1"/>
  <c r="I77" i="14"/>
  <c r="I9" i="59" s="1"/>
  <c r="B13" i="15"/>
  <c r="N13"/>
  <c r="L13"/>
  <c r="F77" i="14"/>
  <c r="F9" i="59" s="1"/>
  <c r="I101" i="18"/>
  <c r="H8" s="1"/>
  <c r="E101"/>
  <c r="E8" s="1"/>
  <c r="F101"/>
  <c r="H101"/>
  <c r="D101"/>
  <c r="G101"/>
  <c r="C101"/>
  <c r="B101"/>
  <c r="C8" s="1"/>
  <c r="O9"/>
  <c r="I102"/>
  <c r="H17" s="1"/>
  <c r="E102"/>
  <c r="E17" s="1"/>
  <c r="C102"/>
  <c r="F102"/>
  <c r="H102"/>
  <c r="D102"/>
  <c r="G102"/>
  <c r="B102"/>
  <c r="C17" s="1"/>
  <c r="C89" i="14"/>
  <c r="C19" i="59" s="1"/>
  <c r="O19" i="18"/>
  <c r="O78" i="14"/>
  <c r="N88"/>
  <c r="D10" i="18"/>
  <c r="E78" i="14"/>
  <c r="D77"/>
  <c r="D9" i="59" s="1"/>
  <c r="H77" i="14"/>
  <c r="G90"/>
  <c r="O88"/>
  <c r="G89"/>
  <c r="G19" i="59" s="1"/>
  <c r="G20" i="18"/>
  <c r="O18"/>
  <c r="G78" i="14"/>
  <c r="Q89"/>
  <c r="P19" i="59" s="1"/>
  <c r="O25" i="48"/>
  <c r="O27"/>
  <c r="Q11"/>
  <c r="O29"/>
  <c r="P31"/>
  <c r="O28"/>
  <c r="Q12"/>
  <c r="O24"/>
  <c r="O30"/>
  <c r="P24"/>
  <c r="P30"/>
  <c r="E90" i="14"/>
  <c r="R9"/>
  <c r="R25"/>
  <c r="K90"/>
  <c r="N90" l="1"/>
  <c r="N18" i="59"/>
  <c r="N20" s="1"/>
  <c r="H78" i="14"/>
  <c r="H9" i="59"/>
  <c r="H10" s="1"/>
  <c r="O90" i="14"/>
  <c r="O18" i="59"/>
  <c r="O20" s="1"/>
  <c r="Q77" i="14"/>
  <c r="P9" i="59" s="1"/>
  <c r="B89" i="14"/>
  <c r="B19" i="59" s="1"/>
  <c r="J17" i="18"/>
  <c r="J20" s="1"/>
  <c r="I8"/>
  <c r="I10" s="1"/>
  <c r="C77" i="14"/>
  <c r="C9" i="59" s="1"/>
  <c r="H20" i="18"/>
  <c r="M87" i="14"/>
  <c r="F76"/>
  <c r="E10" i="18"/>
  <c r="C20"/>
  <c r="D87" i="14"/>
  <c r="D17" i="59" s="1"/>
  <c r="D20" s="1"/>
  <c r="H10" i="18"/>
  <c r="M76" i="14"/>
  <c r="B88"/>
  <c r="B18" i="59" s="1"/>
  <c r="I17" i="18"/>
  <c r="O17" s="1"/>
  <c r="O20" s="1"/>
  <c r="D76" i="14"/>
  <c r="D8" i="59" s="1"/>
  <c r="D10" s="1"/>
  <c r="C10" i="18"/>
  <c r="J8"/>
  <c r="C88" i="14"/>
  <c r="C18" i="59" s="1"/>
  <c r="I76" i="14"/>
  <c r="I8" i="59" s="1"/>
  <c r="I10" s="1"/>
  <c r="B77" i="14"/>
  <c r="B9" i="59" s="1"/>
  <c r="E20" i="18"/>
  <c r="F87" i="14"/>
  <c r="Q88"/>
  <c r="P18" i="59" s="1"/>
  <c r="H14" i="15"/>
  <c r="H16" s="1"/>
  <c r="G14"/>
  <c r="G16" s="1"/>
  <c r="M78" i="14" l="1"/>
  <c r="M8" i="59"/>
  <c r="M10" s="1"/>
  <c r="O8" i="18"/>
  <c r="O10" s="1"/>
  <c r="J87" i="14"/>
  <c r="M90"/>
  <c r="M17" i="59"/>
  <c r="M20" s="1"/>
  <c r="F78" i="14"/>
  <c r="F8" i="59"/>
  <c r="F10" s="1"/>
  <c r="I10" i="14"/>
  <c r="I16" s="1"/>
  <c r="H5" i="48"/>
  <c r="F90" i="14"/>
  <c r="F17" i="59"/>
  <c r="F20" s="1"/>
  <c r="H10" i="14"/>
  <c r="H16" s="1"/>
  <c r="G5" i="48"/>
  <c r="Q76" i="14"/>
  <c r="D78"/>
  <c r="I78"/>
  <c r="B76"/>
  <c r="J10" i="18"/>
  <c r="J76" i="14"/>
  <c r="I87"/>
  <c r="I17" i="59" s="1"/>
  <c r="I20" s="1"/>
  <c r="I20" i="18"/>
  <c r="Q87" i="14"/>
  <c r="D90"/>
  <c r="C87"/>
  <c r="A31" i="23"/>
  <c r="A32"/>
  <c r="A33"/>
  <c r="C90" i="14" l="1"/>
  <c r="C17" i="59"/>
  <c r="C20" s="1"/>
  <c r="B78" i="14"/>
  <c r="B8" i="59"/>
  <c r="B10" s="1"/>
  <c r="J78" i="14"/>
  <c r="J8" i="59"/>
  <c r="J10" s="1"/>
  <c r="J90" i="14"/>
  <c r="J17" i="59"/>
  <c r="J20" s="1"/>
  <c r="Q90" i="14"/>
  <c r="B17" i="6" s="1"/>
  <c r="P17" i="59"/>
  <c r="P20" s="1"/>
  <c r="Q78" i="14"/>
  <c r="B9" i="6" s="1"/>
  <c r="P8" i="59"/>
  <c r="P10" s="1"/>
  <c r="B87" i="14"/>
  <c r="I90"/>
  <c r="C76"/>
  <c r="B11" i="44"/>
  <c r="B25"/>
  <c r="B24"/>
  <c r="B90" i="14" l="1"/>
  <c r="B17" i="59"/>
  <c r="B20" s="1"/>
  <c r="B4" i="6"/>
  <c r="C78" i="14"/>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P11" i="14"/>
  <c r="O4" i="48"/>
  <c r="D4"/>
  <c r="D22" s="1"/>
  <c r="E11" i="14"/>
  <c r="G30" i="48"/>
  <c r="G24"/>
  <c r="G25"/>
  <c r="G22"/>
  <c r="G26"/>
  <c r="G29"/>
  <c r="G32"/>
  <c r="G23"/>
  <c r="L10" i="14"/>
  <c r="L16" s="1"/>
  <c r="L27" s="1"/>
  <c r="K5" i="48"/>
  <c r="D30"/>
  <c r="D28"/>
  <c r="D31"/>
  <c r="D29"/>
  <c r="D24"/>
  <c r="D32"/>
  <c r="L28"/>
  <c r="L32"/>
  <c r="L27"/>
  <c r="L31"/>
  <c r="L22"/>
  <c r="L29"/>
  <c r="L30"/>
  <c r="L24"/>
  <c r="Q10" i="14"/>
  <c r="P5" i="48"/>
  <c r="P23" s="1"/>
  <c r="K28"/>
  <c r="K32"/>
  <c r="K29"/>
  <c r="K25"/>
  <c r="K31"/>
  <c r="K24"/>
  <c r="K26"/>
  <c r="K22"/>
  <c r="K27"/>
  <c r="K30"/>
  <c r="B7"/>
  <c r="C24" i="14"/>
  <c r="C26" s="1"/>
  <c r="J15" i="16"/>
  <c r="Q11" i="14"/>
  <c r="P4" i="48"/>
  <c r="I31"/>
  <c r="I26"/>
  <c r="I32"/>
  <c r="I28"/>
  <c r="I22"/>
  <c r="I24"/>
  <c r="I29"/>
  <c r="I27"/>
  <c r="I25"/>
  <c r="I30"/>
  <c r="H32"/>
  <c r="H26"/>
  <c r="H29"/>
  <c r="H28"/>
  <c r="H24"/>
  <c r="H22"/>
  <c r="H25"/>
  <c r="H30"/>
  <c r="H23"/>
  <c r="C4"/>
  <c r="D11" i="14"/>
  <c r="C11"/>
  <c r="B4" i="48"/>
  <c r="F24"/>
  <c r="F32"/>
  <c r="F29"/>
  <c r="F31"/>
  <c r="F30"/>
  <c r="F27"/>
  <c r="F28"/>
  <c r="N31"/>
  <c r="N24"/>
  <c r="N32"/>
  <c r="N30"/>
  <c r="N29"/>
  <c r="N28"/>
  <c r="N27"/>
  <c r="C19" i="14"/>
  <c r="B10" i="48"/>
  <c r="E32"/>
  <c r="E31"/>
  <c r="E24"/>
  <c r="E28"/>
  <c r="E29"/>
  <c r="E30"/>
  <c r="M26"/>
  <c r="M32"/>
  <c r="M25"/>
  <c r="M22"/>
  <c r="M24"/>
  <c r="M30"/>
  <c r="M29"/>
  <c r="M23"/>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C20" i="14" l="1"/>
  <c r="B9" i="48"/>
  <c r="G11" i="14"/>
  <c r="F4" i="48"/>
  <c r="F22" s="1"/>
  <c r="O22"/>
  <c r="L46" i="14"/>
  <c r="L61" s="1"/>
  <c r="M12" i="22"/>
  <c r="M13" i="48"/>
  <c r="M31" s="1"/>
  <c r="N18" i="14"/>
  <c r="G13" i="48"/>
  <c r="H18" i="14"/>
  <c r="H13" i="48"/>
  <c r="H31" s="1"/>
  <c r="I18" i="14"/>
  <c r="P22" i="16"/>
  <c r="Q43" i="14" s="1"/>
  <c r="Q13"/>
  <c r="P8" i="48"/>
  <c r="P26" s="1"/>
  <c r="J10" i="14"/>
  <c r="J16" s="1"/>
  <c r="J27" s="1"/>
  <c r="I5" i="48"/>
  <c r="C22" i="14"/>
  <c r="E9" i="48"/>
  <c r="E27" s="1"/>
  <c r="F20" i="14"/>
  <c r="F22" s="1"/>
  <c r="K23" i="48"/>
  <c r="K15"/>
  <c r="E20" i="14"/>
  <c r="E22" s="1"/>
  <c r="D9" i="48"/>
  <c r="D27" s="1"/>
  <c r="P10" i="14"/>
  <c r="O5" i="48"/>
  <c r="O23" s="1"/>
  <c r="J7"/>
  <c r="J25" s="1"/>
  <c r="K24" i="14"/>
  <c r="K26" s="1"/>
  <c r="P22" i="48"/>
  <c r="P33" s="1"/>
  <c r="P15"/>
  <c r="J63" i="14"/>
  <c r="Q16"/>
  <c r="Q27" s="1"/>
  <c r="L63"/>
  <c r="K33" i="48"/>
  <c r="D10" i="14"/>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G5"/>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H19" i="14"/>
  <c r="R19" s="1"/>
  <c r="G10" i="48"/>
  <c r="I23"/>
  <c r="I33" s="1"/>
  <c r="I15"/>
  <c r="Q13"/>
  <c r="G31"/>
  <c r="Q63" i="14"/>
  <c r="M14" i="22"/>
  <c r="G14"/>
  <c r="R18" i="14"/>
  <c r="N19"/>
  <c r="M10" i="48"/>
  <c r="M28" s="1"/>
  <c r="O22" i="16"/>
  <c r="P43" i="14" s="1"/>
  <c r="P46" s="1"/>
  <c r="P61" s="1"/>
  <c r="P13"/>
  <c r="P16" s="1"/>
  <c r="P27" s="1"/>
  <c r="P63" s="1"/>
  <c r="O8" i="48"/>
  <c r="O26" s="1"/>
  <c r="E12" i="13"/>
  <c r="F41" i="14" s="1"/>
  <c r="F11"/>
  <c r="E4" i="48"/>
  <c r="J4"/>
  <c r="K11" i="14"/>
  <c r="E7" i="48"/>
  <c r="E25" s="1"/>
  <c r="F24" i="14"/>
  <c r="F26" s="1"/>
  <c r="Q46"/>
  <c r="Q61" s="1"/>
  <c r="O15" i="48"/>
  <c r="O33"/>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H52" l="1"/>
  <c r="H61" s="1"/>
  <c r="G28" i="48"/>
  <c r="Q10"/>
  <c r="F10" i="14"/>
  <c r="E5" i="48"/>
  <c r="E23" s="1"/>
  <c r="E22"/>
  <c r="Q4"/>
  <c r="H9"/>
  <c r="I20" i="14"/>
  <c r="I22" s="1"/>
  <c r="I27" s="1"/>
  <c r="J22" i="48"/>
  <c r="M9"/>
  <c r="N20" i="14"/>
  <c r="N22" s="1"/>
  <c r="N27" s="1"/>
  <c r="G9" i="48"/>
  <c r="H20" i="14"/>
  <c r="J5" i="48"/>
  <c r="J23" s="1"/>
  <c r="K10" i="14"/>
  <c r="M18" i="22"/>
  <c r="N50" i="14" s="1"/>
  <c r="N52" s="1"/>
  <c r="N61" s="1"/>
  <c r="N63" s="1"/>
  <c r="R11"/>
  <c r="L25" i="48"/>
  <c r="Q7"/>
  <c r="M26" i="14"/>
  <c r="R24"/>
  <c r="R26" s="1"/>
  <c r="E20" i="15"/>
  <c r="F40" i="14" s="1"/>
  <c r="F18" i="16"/>
  <c r="F22" s="1"/>
  <c r="G43" i="14" s="1"/>
  <c r="J18" i="16"/>
  <c r="E18"/>
  <c r="J20" i="15"/>
  <c r="K40" i="14" s="1"/>
  <c r="N18" i="16"/>
  <c r="N22" s="1"/>
  <c r="O43" i="14" s="1"/>
  <c r="G18" i="22"/>
  <c r="H50" i="14" s="1"/>
  <c r="E22" i="16"/>
  <c r="F43" i="14" s="1"/>
  <c r="H18" i="22"/>
  <c r="I50" i="14" s="1"/>
  <c r="I52" s="1"/>
  <c r="I61" s="1"/>
  <c r="H22" l="1"/>
  <c r="H27" s="1"/>
  <c r="H63" s="1"/>
  <c r="R20"/>
  <c r="R22" s="1"/>
  <c r="G27" i="48"/>
  <c r="G33" s="1"/>
  <c r="G15"/>
  <c r="Q9"/>
  <c r="F46" i="14"/>
  <c r="F61" s="1"/>
  <c r="H27" i="48"/>
  <c r="H33" s="1"/>
  <c r="H15"/>
  <c r="J22" i="16"/>
  <c r="K43" i="14" s="1"/>
  <c r="K46" s="1"/>
  <c r="K61" s="1"/>
  <c r="K63" s="1"/>
  <c r="J8" i="48"/>
  <c r="J26" s="1"/>
  <c r="J33" s="1"/>
  <c r="K13" i="14"/>
  <c r="F13"/>
  <c r="E8" i="48"/>
  <c r="E26" s="1"/>
  <c r="E33" s="1"/>
  <c r="M27"/>
  <c r="M33" s="1"/>
  <c r="M15"/>
  <c r="I63" i="14"/>
  <c r="K16"/>
  <c r="K27" s="1"/>
  <c r="J15" i="48"/>
  <c r="F16" i="14"/>
  <c r="F27" s="1"/>
  <c r="O13"/>
  <c r="N8" i="48"/>
  <c r="N26" s="1"/>
  <c r="F8"/>
  <c r="G13" i="14"/>
  <c r="R13" l="1"/>
  <c r="F63"/>
  <c r="E15" i="48"/>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<sst xmlns="http://schemas.openxmlformats.org/spreadsheetml/2006/main" count="2455" uniqueCount="927">
  <si>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</si>
  <si>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</si>
  <si>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</si>
  <si>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</si>
  <si>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</si>
  <si>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</si>
  <si>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</si>
  <si>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</si>
  <si>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</si>
  <si>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</si>
  <si>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</si>
  <si>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</si>
  <si>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</si>
  <si>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</si>
  <si>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</si>
  <si>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</si>
  <si>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</si>
  <si>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</si>
  <si>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</si>
  <si>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</si>
  <si>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</si>
  <si>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</si>
  <si>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</si>
  <si>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</si>
  <si>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</si>
  <si>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</si>
  <si>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</si>
  <si>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</si>
  <si>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</si>
  <si>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</si>
  <si>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</si>
  <si>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</si>
  <si>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</si>
  <si>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</si>
  <si>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</si>
  <si>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</si>
  <si>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</si>
  <si>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</si>
  <si>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</si>
  <si>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</si>
  <si>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</si>
  <si>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</si>
  <si>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</si>
  <si>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</si>
  <si>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</si>
  <si>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</si>
  <si>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</si>
  <si>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</si>
  <si>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</si>
  <si>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</si>
  <si>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</si>
  <si>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</si>
  <si>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</si>
  <si>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</si>
  <si>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</si>
  <si>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</si>
  <si>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</si>
  <si>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</si>
  <si>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</si>
  <si>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</si>
  <si>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</si>
  <si>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</si>
  <si>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</si>
  <si>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</si>
  <si>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</si>
  <si>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</si>
  <si>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</si>
  <si>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</si>
  <si>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</si>
  <si>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</si>
  <si>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</si>
  <si>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</si>
  <si>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</si>
  <si>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</si>
  <si>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</si>
  <si>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</si>
  <si>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</si>
  <si>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</si>
  <si>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</si>
  <si>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</si>
  <si>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</si>
  <si>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</si>
  <si>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</si>
  <si>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</si>
  <si>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</si>
  <si>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</si>
  <si>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</si>
  <si>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</si>
  <si>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</si>
  <si>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</si>
  <si>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</si>
  <si>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</si>
  <si>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</si>
  <si>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</si>
  <si>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</si>
  <si>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</si>
  <si>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</si>
  <si>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</si>
  <si>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</si>
  <si>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</si>
  <si>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</si>
  <si>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</si>
  <si>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</si>
  <si>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</si>
  <si>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</si>
  <si>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</si>
  <si>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</si>
  <si>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</si>
  <si>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</si>
  <si>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</si>
  <si>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</si>
  <si>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</si>
  <si>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</si>
  <si>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</si>
  <si>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</si>
  <si>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</si>
  <si>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</si>
  <si>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</si>
  <si>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</si>
  <si>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</si>
  <si>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</si>
  <si>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</si>
  <si>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</si>
  <si>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</si>
  <si>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</si>
  <si>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</si>
  <si>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</si>
  <si>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</si>
  <si>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</si>
  <si>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</si>
  <si>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</si>
  <si>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</si>
  <si>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</si>
  <si>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</si>
  <si>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</si>
  <si>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</si>
  <si>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</si>
  <si>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</si>
  <si>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</si>
  <si>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</si>
  <si>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</si>
  <si>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</si>
  <si>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</si>
  <si>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</si>
  <si>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</si>
  <si>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</si>
  <si>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</si>
  <si>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</si>
  <si>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</si>
  <si>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</si>
  <si>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</si>
  <si>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</si>
  <si>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</si>
  <si>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</si>
  <si>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</si>
  <si>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</si>
  <si>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</si>
  <si>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</si>
  <si>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</si>
  <si>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</si>
  <si>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</si>
  <si>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</si>
  <si>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</si>
  <si>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</si>
  <si>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</si>
  <si>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</si>
  <si>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</si>
  <si>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</si>
  <si>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</si>
  <si>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</si>
  <si>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</si>
  <si>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</si>
  <si>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</si>
  <si>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</si>
  <si>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</si>
  <si>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</si>
  <si>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</si>
  <si>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</si>
  <si>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</si>
  <si>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</si>
  <si>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</si>
  <si>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</si>
  <si>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</si>
  <si>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</si>
  <si>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</si>
  <si>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</si>
  <si>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</si>
  <si>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</si>
  <si>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</si>
  <si>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</si>
  <si>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</si>
  <si>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</si>
  <si>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</si>
  <si>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</si>
  <si>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</si>
  <si>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</si>
  <si>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</si>
  <si>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</si>
  <si>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</si>
  <si>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</si>
  <si>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</si>
  <si>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</si>
  <si>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</si>
  <si>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</si>
  <si>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</si>
  <si>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</si>
  <si>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</si>
  <si>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</si>
  <si>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</si>
  <si>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</si>
  <si>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</si>
  <si>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</si>
  <si>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</si>
  <si>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</si>
  <si>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</si>
  <si>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</si>
  <si>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</si>
  <si>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</si>
  <si>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</si>
  <si>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</si>
  <si>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</si>
  <si>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</si>
  <si>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</si>
  <si>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</si>
  <si>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</si>
  <si>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</si>
  <si>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</si>
  <si>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</si>
  <si>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</si>
  <si>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</si>
  <si>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</si>
  <si>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</si>
  <si>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</si>
  <si>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</si>
  <si>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</si>
  <si>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</si>
  <si>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</si>
  <si>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</si>
  <si>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</si>
  <si>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</si>
  <si>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</si>
  <si>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</si>
  <si>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</si>
  <si>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</si>
  <si>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</si>
  <si>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</si>
  <si>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</si>
  <si>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</si>
  <si>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</si>
  <si>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</si>
  <si>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</si>
  <si>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</si>
  <si>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</si>
  <si>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</si>
  <si>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</si>
  <si>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</si>
  <si>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</si>
  <si>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</si>
  <si>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</si>
  <si>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</si>
  <si>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</si>
  <si>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</si>
  <si>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</si>
  <si>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</si>
  <si>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</si>
  <si>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</si>
  <si>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</si>
  <si>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</si>
  <si>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</si>
  <si>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</si>
  <si>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</si>
  <si>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</si>
  <si>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</si>
  <si>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</si>
  <si>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</si>
  <si>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</si>
  <si>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</si>
  <si>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</si>
  <si>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</si>
  <si>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</si>
  <si>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</si>
  <si>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</si>
  <si>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</si>
  <si>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</si>
  <si>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</si>
  <si>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</si>
  <si>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</si>
  <si>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</si>
  <si>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</si>
  <si>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</si>
  <si>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</si>
  <si>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</si>
  <si>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</si>
  <si>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</si>
  <si>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</si>
  <si>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</si>
  <si>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</si>
  <si>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</si>
  <si>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</si>
  <si>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</si>
  <si>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</si>
  <si>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</si>
  <si>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</si>
  <si>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</si>
  <si>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</si>
  <si>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</si>
  <si>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</si>
  <si>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</si>
  <si>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</si>
  <si>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</si>
  <si>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</si>
  <si>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</si>
  <si>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</si>
  <si>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</si>
  <si>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</si>
  <si>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</si>
  <si>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</si>
  <si>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</si>
  <si>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</si>
  <si>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</si>
  <si>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</si>
  <si>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</si>
  <si>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</si>
  <si>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</si>
  <si>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</si>
  <si>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</si>
  <si>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</si>
  <si>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</si>
  <si>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</si>
  <si>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</si>
  <si>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</si>
  <si>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</si>
  <si>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</si>
  <si>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</si>
  <si>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</si>
  <si>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</si>
  <si>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</si>
  <si>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</si>
  <si>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</si>
  <si>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</si>
  <si>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</si>
  <si>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</si>
  <si>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</si>
  <si>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</si>
  <si>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</si>
  <si>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</si>
  <si>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</si>
  <si>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</si>
  <si>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</si>
  <si>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</si>
  <si>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</si>
  <si>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</si>
  <si>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</si>
  <si>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</si>
  <si>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</si>
  <si>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</si>
  <si>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</si>
  <si>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</si>
  <si>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</si>
  <si>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</si>
  <si>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</si>
  <si>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</si>
  <si>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</si>
  <si>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</si>
  <si>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</si>
  <si>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</si>
  <si>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</si>
  <si>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</si>
  <si>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</si>
  <si>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</si>
  <si>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</si>
  <si>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</si>
  <si>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</si>
  <si>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</si>
  <si>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</si>
  <si>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</si>
  <si>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</si>
  <si>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</si>
  <si>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</si>
  <si>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</si>
  <si>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</si>
  <si>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</si>
  <si>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</si>
  <si>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</si>
  <si>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</si>
  <si>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</si>
  <si>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</si>
  <si>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</si>
  <si>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</si>
  <si>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</si>
  <si>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</si>
  <si>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</si>
  <si>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</si>
  <si>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</si>
  <si>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</si>
  <si>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</si>
  <si>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</si>
  <si>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</si>
  <si>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</si>
  <si>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</si>
  <si>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</si>
  <si>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</si>
  <si>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</si>
  <si>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</si>
  <si>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</si>
  <si>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</si>
  <si>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</si>
  <si>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</si>
  <si>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</si>
  <si>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</si>
  <si>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</si>
  <si>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</si>
  <si>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</si>
  <si>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</si>
  <si>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</si>
  <si>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</si>
  <si>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</si>
  <si>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</si>
  <si>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</si>
  <si>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</si>
  <si>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</si>
  <si>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</si>
  <si>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</si>
  <si>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</si>
  <si>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</si>
  <si>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</si>
  <si>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</si>
  <si>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</si>
  <si>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</si>
  <si>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</si>
  <si>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</si>
  <si>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</si>
  <si>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</si>
  <si>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</si>
  <si>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</si>
  <si>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</si>
  <si>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</si>
  <si>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</si>
  <si>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</si>
  <si>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</si>
  <si>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</si>
  <si>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</si>
  <si>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</si>
  <si>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</si>
  <si>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</si>
  <si>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</si>
  <si>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</si>
  <si>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</si>
  <si>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</si>
  <si>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</si>
  <si>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</si>
  <si>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</si>
  <si>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</si>
  <si>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</si>
  <si>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</si>
  <si>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</si>
  <si>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</si>
  <si>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</si>
  <si>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</si>
  <si>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</si>
  <si>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</si>
  <si>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</si>
  <si>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</si>
  <si>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</si>
  <si>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</si>
  <si>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</si>
  <si>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</si>
  <si>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</si>
  <si>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</si>
  <si>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</si>
  <si>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</si>
  <si>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</si>
  <si>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</si>
  <si>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</si>
  <si>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</si>
  <si>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</si>
  <si>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</si>
  <si>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</si>
  <si>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</si>
  <si>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</si>
  <si>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</si>
  <si>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</si>
  <si>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</si>
  <si>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</si>
  <si>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</si>
  <si>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</si>
  <si>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</si>
  <si>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</si>
  <si>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</si>
  <si>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</si>
  <si>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</si>
  <si>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</si>
  <si>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</si>
  <si>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</si>
  <si>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</si>
  <si>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</si>
  <si>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</si>
  <si>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</si>
  <si>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</si>
  <si>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</si>
  <si>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</si>
  <si>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</si>
  <si>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</si>
  <si>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</si>
  <si>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</si>
  <si>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</si>
  <si>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</si>
  <si>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</si>
  <si>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</si>
  <si>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</si>
  <si>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</si>
  <si>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</si>
  <si>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</si>
  <si>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</si>
  <si>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</si>
  <si>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</si>
  <si>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</si>
  <si>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</si>
  <si>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</si>
  <si>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</si>
  <si>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</si>
  <si>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</si>
  <si>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</si>
  <si>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</si>
  <si>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</si>
  <si>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</si>
  <si>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</si>
  <si>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</si>
  <si>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</si>
  <si>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</si>
  <si>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</si>
  <si>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</si>
  <si>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</si>
  <si>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</si>
  <si>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</si>
  <si>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</si>
  <si>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</si>
  <si>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</si>
  <si>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</si>
  <si>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</si>
  <si>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</si>
  <si>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</si>
  <si>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</si>
  <si>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</si>
  <si>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</si>
  <si>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</si>
  <si>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</si>
  <si>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</si>
  <si>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</si>
  <si>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</si>
  <si>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</si>
  <si>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</si>
  <si>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</si>
  <si>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</si>
  <si>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</si>
  <si>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</si>
  <si>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</si>
  <si>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</si>
  <si>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</si>
  <si>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</si>
  <si>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</si>
  <si>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</si>
  <si>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</si>
  <si>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</si>
  <si>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</si>
  <si>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</si>
  <si>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</si>
  <si>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</si>
  <si>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</si>
  <si>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</si>
  <si>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</si>
  <si>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</si>
  <si>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</si>
  <si>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</si>
  <si>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</si>
  <si>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</si>
  <si>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</si>
  <si>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</si>
  <si>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</si>
  <si>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</si>
  <si>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</si>
  <si>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</si>
  <si>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</si>
  <si>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</si>
  <si>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</si>
  <si>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</si>
  <si>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</si>
  <si>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</si>
  <si>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</si>
  <si>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</si>
  <si>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</si>
  <si>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</si>
  <si>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</si>
  <si>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</si>
  <si>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</si>
  <si>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</si>
  <si>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</si>
  <si>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</si>
  <si>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</si>
  <si>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</si>
  <si>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</si>
  <si>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</si>
  <si>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</si>
  <si>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</si>
  <si>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</si>
  <si>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</si>
  <si>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</si>
  <si>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</si>
  <si>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</si>
  <si>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</si>
  <si>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</si>
  <si>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</si>
  <si>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</si>
  <si>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</si>
  <si>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</si>
  <si>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</si>
  <si>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</si>
  <si>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</si>
  <si>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</si>
  <si>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</si>
  <si>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</si>
  <si>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</si>
  <si>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</si>
  <si>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</si>
  <si>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</si>
  <si>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</si>
  <si>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</si>
  <si>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</si>
  <si>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</si>
  <si>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</si>
  <si>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</si>
  <si>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</si>
  <si>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</si>
  <si>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</si>
  <si>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</si>
  <si>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</si>
  <si>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</si>
  <si>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</si>
  <si>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</si>
  <si>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</si>
  <si>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</si>
  <si>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</si>
  <si>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</si>
  <si>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</si>
  <si>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</si>
  <si>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</si>
  <si>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</si>
  <si>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</si>
  <si>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</si>
  <si>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</si>
  <si>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</si>
  <si>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</si>
  <si>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</si>
  <si>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</si>
  <si>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</si>
  <si>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</si>
  <si>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</si>
  <si>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</si>
  <si>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</si>
  <si>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</si>
  <si>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</si>
  <si>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</si>
  <si>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</si>
  <si>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</si>
  <si>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</si>
  <si>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</si>
  <si>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</si>
  <si>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</si>
  <si>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</si>
  <si>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</si>
  <si>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</si>
  <si>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</si>
  <si>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</si>
  <si>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</si>
  <si>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</si>
  <si>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</si>
  <si>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</si>
  <si>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</si>
  <si>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</si>
  <si>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</si>
  <si>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</si>
  <si>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</si>
  <si>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</si>
  <si>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</si>
  <si>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</si>
  <si>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</si>
  <si>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</si>
  <si>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</si>
  <si>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</si>
  <si>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</si>
  <si>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</si>
  <si>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</si>
  <si>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</si>
  <si>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</si>
  <si>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</si>
  <si>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</si>
  <si>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</si>
  <si>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</si>
  <si>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</si>
  <si>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</si>
  <si>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</si>
  <si>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</si>
  <si>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</si>
  <si>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</si>
  <si>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</si>
  <si>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</si>
  <si>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</si>
  <si>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</si>
  <si>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</si>
  <si>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</si>
  <si>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</si>
  <si>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</si>
  <si>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</si>
  <si>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</si>
  <si>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</si>
  <si>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</si>
  <si>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</si>
  <si>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</si>
  <si>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</si>
  <si>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</si>
  <si>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</si>
  <si>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</si>
  <si>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</si>
  <si>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</si>
  <si>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</si>
  <si>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</si>
  <si>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</si>
  <si>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</si>
  <si>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</si>
  <si>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</si>
  <si>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</si>
  <si>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</si>
  <si>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</si>
  <si>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</si>
  <si>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</si>
  <si>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</si>
  <si>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</si>
  <si>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</si>
  <si>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</si>
  <si>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</si>
  <si>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</si>
  <si>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</si>
  <si>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</si>
  <si>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</si>
  <si>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</si>
  <si>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</si>
  <si>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</si>
  <si>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</si>
  <si>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</si>
  <si>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</si>
  <si>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</si>
  <si>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</si>
  <si>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</si>
  <si>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</si>
  <si>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</si>
  <si>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</si>
  <si>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</si>
  <si>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</si>
  <si>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</si>
  <si>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</si>
  <si>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</si>
  <si>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</si>
  <si>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</si>
  <si>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</si>
  <si>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</si>
  <si>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</si>
  <si>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</si>
  <si>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</si>
  <si>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</si>
  <si>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</si>
  <si>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</si>
  <si>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</si>
  <si>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</si>
  <si>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</si>
  <si>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</si>
  <si>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</si>
  <si>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</si>
  <si>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</si>
  <si>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</si>
  <si>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</si>
  <si>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</si>
  <si>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</si>
  <si>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</si>
  <si>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</si>
  <si>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</si>
  <si>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</si>
  <si>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</si>
  <si>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</si>
  <si>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</si>
  <si>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</si>
  <si>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</si>
  <si>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</si>
  <si>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</si>
  <si>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</si>
  <si>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</si>
  <si>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</si>
  <si>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</si>
  <si>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</si>
  <si>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</si>
  <si>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</si>
  <si>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</si>
  <si>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</si>
  <si>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</si>
  <si>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</si>
  <si>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</si>
  <si>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</si>
  <si>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</si>
  <si>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</si>
  <si>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</si>
  <si>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</si>
  <si>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</si>
  <si>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</si>
  <si>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</si>
  <si>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</si>
  <si>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</si>
  <si>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</si>
  <si>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</si>
  <si>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</si>
  <si>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</si>
  <si>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</si>
  <si>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</si>
  <si>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</si>
  <si>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</si>
  <si>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</si>
  <si>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</si>
  <si>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</si>
  <si>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</si>
  <si>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</si>
  <si>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</si>
  <si>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</si>
  <si>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</si>
  <si>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</si>
  <si>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</si>
  <si>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</si>
  <si>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</si>
  <si>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</si>
  <si>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</si>
  <si>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</si>
  <si>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</si>
  <si>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</si>
  <si>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</si>
  <si>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</si>
  <si>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</si>
  <si>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</si>
  <si>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</si>
  <si>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</si>
  <si>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</si>
  <si>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</si>
  <si>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</si>
  <si>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</si>
  <si>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</si>
  <si>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</si>
  <si>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</si>
  <si>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</si>
  <si>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</si>
  <si>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</si>
  <si>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</si>
  <si>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</si>
  <si>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</si>
  <si>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</si>
  <si>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</si>
  <si>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</si>
  <si>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</si>
  <si>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</si>
  <si>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</si>
  <si>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</si>
  <si>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</si>
  <si>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</si>
  <si>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</si>
  <si>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</si>
  <si>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</si>
  <si>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</si>
  <si>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</si>
  <si>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</si>
  <si>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</si>
  <si>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</si>
  <si>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</si>
  <si>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</si>
  <si>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</si>
  <si>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</si>
  <si>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</si>
  <si>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</si>
  <si>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</si>
  <si>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</si>
  <si>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</si>
  <si>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</si>
  <si>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</si>
  <si>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</si>
  <si>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</si>
  <si>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</si>
  <si>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</si>
  <si>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</si>
  <si>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</si>
  <si>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</si>
  <si>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</si>
  <si>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</si>
  <si>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</si>
  <si>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</si>
  <si>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</si>
  <si>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71016</t>
  </si>
  <si>
    <t>GENK</t>
  </si>
  <si>
    <t>Paarden&amp;pony's 200 - 600 kg</t>
  </si>
  <si>
    <t>Paarden&amp;pony's &lt; 200 kg</t>
  </si>
  <si>
    <t>referentietaak LNE (2017); Jaarverslag De Lijn (2014)</t>
  </si>
  <si>
    <t>op basis van VEA (maart 2018) en Inventaris Hernieuwbare Energiebronnen (juni 2018)</t>
  </si>
  <si>
    <t>VEA (maart 2016)</t>
  </si>
  <si>
    <t>VEA (juni 2018)</t>
  </si>
  <si>
    <t>ASOTEP</t>
  </si>
  <si>
    <t>Woudstraat 3a, 3600 Genk</t>
  </si>
  <si>
    <t>WKK-0080 Asotep</t>
  </si>
  <si>
    <t>interne verbrandingsmotor</t>
  </si>
  <si>
    <t>WKK interne verbrandinsgmotor (gas)</t>
  </si>
  <si>
    <t>Inter-Energa</t>
  </si>
  <si>
    <t>Tony Caelen</t>
  </si>
  <si>
    <t>Evence CoppÚelaan 53 , 3600 Genk</t>
  </si>
  <si>
    <t>WKK-0385 Tony Caelen</t>
  </si>
  <si>
    <t>stirlingmotor</t>
  </si>
  <si>
    <t>AFI Winterslag vzw</t>
  </si>
  <si>
    <t>Vennestraat 98/1 , 3600 Genk</t>
  </si>
  <si>
    <t>WKK-0436 AFI Winterslag</t>
  </si>
  <si>
    <t>Vennestraat 98 , 3600 Genk</t>
  </si>
  <si>
    <t>Aquafin NV</t>
  </si>
  <si>
    <t>Dijkstraat 8 , 2630 Aartselaar</t>
  </si>
  <si>
    <t>BGS-0006 RWZI Genk (GSC rest)</t>
  </si>
  <si>
    <t>biogas - RWZI</t>
  </si>
  <si>
    <t>niet WKK interne verbrandingsmotor (gas)</t>
  </si>
  <si>
    <t>Diepenbekerbos 12 , 3600 Genk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</si>
</sst>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468658.53888045694</c:v>
                </c:pt>
                <c:pt idx="1">
                  <c:v>289879.44310959184</c:v>
                </c:pt>
                <c:pt idx="2">
                  <c:v>3987.3850000000002</c:v>
                </c:pt>
                <c:pt idx="3">
                  <c:v>3027.010750011108</c:v>
                </c:pt>
                <c:pt idx="4">
                  <c:v>531480.54743900977</c:v>
                </c:pt>
                <c:pt idx="5">
                  <c:v>411099.30839051725</c:v>
                </c:pt>
                <c:pt idx="6">
                  <c:v>15921.794920842825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0416"/>
        <c:axId val="143021952"/>
      </c:barChart>
      <c:catAx>
        <c:axId val="143020416"/>
        <c:scaling>
          <c:orientation val="minMax"/>
        </c:scaling>
        <c:axPos val="b"/>
        <c:numFmt formatCode="General" sourceLinked="0"/>
        <c:tickLblPos val="nextTo"/>
        <c:crossAx val="143021952"/>
        <c:crosses val="autoZero"/>
        <c:auto val="1"/>
        <c:lblAlgn val="ctr"/>
        <c:lblOffset val="100"/>
      </c:catAx>
      <c:valAx>
        <c:axId val="143021952"/>
        <c:scaling>
          <c:orientation val="minMax"/>
        </c:scaling>
        <c:axPos val="l"/>
        <c:majorGridlines/>
        <c:numFmt formatCode="#,##0" sourceLinked="1"/>
        <c:tickLblPos val="nextTo"/>
        <c:crossAx val="143020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468658.53888045694</c:v>
                </c:pt>
                <c:pt idx="1">
                  <c:v>289879.44310959184</c:v>
                </c:pt>
                <c:pt idx="2">
                  <c:v>3987.3850000000002</c:v>
                </c:pt>
                <c:pt idx="3">
                  <c:v>3027.010750011108</c:v>
                </c:pt>
                <c:pt idx="4">
                  <c:v>531480.54743900977</c:v>
                </c:pt>
                <c:pt idx="5">
                  <c:v>411099.30839051725</c:v>
                </c:pt>
                <c:pt idx="6">
                  <c:v>15921.794920842825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101614.40692420147</c:v>
                </c:pt>
                <c:pt idx="2">
                  <c:v>57363.697407281652</c:v>
                </c:pt>
                <c:pt idx="3">
                  <c:v>779.96357101655099</c:v>
                </c:pt>
                <c:pt idx="4">
                  <c:v>711.26740043721179</c:v>
                </c:pt>
                <c:pt idx="5">
                  <c:v>104388.03333846916</c:v>
                </c:pt>
                <c:pt idx="6">
                  <c:v>103068.48067360463</c:v>
                </c:pt>
                <c:pt idx="7">
                  <c:v>4021.7694558870903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64160"/>
        <c:axId val="147170048"/>
      </c:barChart>
      <c:catAx>
        <c:axId val="147164160"/>
        <c:scaling>
          <c:orientation val="minMax"/>
        </c:scaling>
        <c:axPos val="b"/>
        <c:numFmt formatCode="General" sourceLinked="0"/>
        <c:tickLblPos val="nextTo"/>
        <c:crossAx val="147170048"/>
        <c:crosses val="autoZero"/>
        <c:auto val="1"/>
        <c:lblAlgn val="ctr"/>
        <c:lblOffset val="100"/>
      </c:catAx>
      <c:valAx>
        <c:axId val="147170048"/>
        <c:scaling>
          <c:orientation val="minMax"/>
        </c:scaling>
        <c:axPos val="l"/>
        <c:majorGridlines/>
        <c:numFmt formatCode="#,##0" sourceLinked="1"/>
        <c:tickLblPos val="nextTo"/>
        <c:crossAx val="147164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101614.40692420147</c:v>
                </c:pt>
                <c:pt idx="2">
                  <c:v>57363.697407281652</c:v>
                </c:pt>
                <c:pt idx="3">
                  <c:v>779.96357101655099</c:v>
                </c:pt>
                <c:pt idx="4">
                  <c:v>711.26740043721179</c:v>
                </c:pt>
                <c:pt idx="5">
                  <c:v>104388.03333846916</c:v>
                </c:pt>
                <c:pt idx="6">
                  <c:v>103068.48067360463</c:v>
                </c:pt>
                <c:pt idx="7">
                  <c:v>4021.7694558870903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71016</v>
      </c>
      <c r="B6" s="416"/>
      <c r="C6" s="417"/>
    </row>
    <row r="7" spans="1:7" s="414" customFormat="1" ht="15.75" customHeight="1">
      <c r="A7" s="418" t="str">
        <f>txtMunicipality</f>
        <v>GENK</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0.19560779082445034</v>
      </c>
      <c r="C17" s="525">
        <f ca="1">'EF ele_warmte'!B22</f>
        <v>0.23670079635949945</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0.19560779082445034</v>
      </c>
      <c r="C29" s="526">
        <f ca="1">'EF ele_warmte'!B22</f>
        <v>0.23670079635949945</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71016</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25295</v>
      </c>
      <c r="C9" s="342">
        <v>25945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453</v>
      </c>
    </row>
    <row r="15" spans="1:6">
      <c r="A15" s="348" t="s">
        <v>184</v>
      </c>
      <c r="B15" s="334">
        <v>0</v>
      </c>
    </row>
    <row r="16" spans="1:6">
      <c r="A16" s="348" t="s">
        <v>6</v>
      </c>
      <c r="B16" s="334">
        <v>0</v>
      </c>
    </row>
    <row r="17" spans="1:6">
      <c r="A17" s="348" t="s">
        <v>7</v>
      </c>
      <c r="B17" s="334">
        <v>7</v>
      </c>
    </row>
    <row r="18" spans="1:6">
      <c r="A18" s="348" t="s">
        <v>8</v>
      </c>
      <c r="B18" s="334">
        <v>3</v>
      </c>
    </row>
    <row r="19" spans="1:6">
      <c r="A19" s="348" t="s">
        <v>9</v>
      </c>
      <c r="B19" s="334">
        <v>2</v>
      </c>
    </row>
    <row r="20" spans="1:6">
      <c r="A20" s="348" t="s">
        <v>10</v>
      </c>
      <c r="B20" s="334">
        <v>18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2</v>
      </c>
    </row>
    <row r="26" spans="1:6">
      <c r="A26" s="348" t="s">
        <v>16</v>
      </c>
      <c r="B26" s="334">
        <v>100</v>
      </c>
    </row>
    <row r="27" spans="1:6">
      <c r="A27" s="348" t="s">
        <v>17</v>
      </c>
      <c r="B27" s="334">
        <v>2</v>
      </c>
    </row>
    <row r="28" spans="1:6" s="356" customFormat="1">
      <c r="A28" s="355" t="s">
        <v>18</v>
      </c>
      <c r="B28" s="355">
        <v>29</v>
      </c>
    </row>
    <row r="29" spans="1:6">
      <c r="A29" s="355" t="s">
        <v>901</v>
      </c>
      <c r="B29" s="355">
        <v>76</v>
      </c>
      <c r="C29" s="356"/>
      <c r="D29" s="356"/>
      <c r="E29" s="356"/>
      <c r="F29" s="356"/>
    </row>
    <row r="30" spans="1:6">
      <c r="A30" s="341" t="s">
        <v>902</v>
      </c>
      <c r="B30" s="341">
        <v>10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5</v>
      </c>
      <c r="F35" s="334">
        <v>230112</v>
      </c>
    </row>
    <row r="36" spans="1:6">
      <c r="A36" s="348" t="s">
        <v>25</v>
      </c>
      <c r="B36" s="348" t="s">
        <v>27</v>
      </c>
      <c r="C36" s="334">
        <v>0</v>
      </c>
      <c r="D36" s="334">
        <v>0</v>
      </c>
      <c r="E36" s="334">
        <v>31</v>
      </c>
      <c r="F36" s="334">
        <v>302795</v>
      </c>
    </row>
    <row r="37" spans="1:6">
      <c r="A37" s="348" t="s">
        <v>25</v>
      </c>
      <c r="B37" s="348" t="s">
        <v>28</v>
      </c>
      <c r="C37" s="334">
        <v>0</v>
      </c>
      <c r="D37" s="334">
        <v>0</v>
      </c>
      <c r="E37" s="334">
        <v>0</v>
      </c>
      <c r="F37" s="334">
        <v>0</v>
      </c>
    </row>
    <row r="38" spans="1:6">
      <c r="A38" s="348" t="s">
        <v>25</v>
      </c>
      <c r="B38" s="348" t="s">
        <v>29</v>
      </c>
      <c r="C38" s="334">
        <v>1</v>
      </c>
      <c r="D38" s="334">
        <v>1540878</v>
      </c>
      <c r="E38" s="334">
        <v>1</v>
      </c>
      <c r="F38" s="334">
        <v>58410</v>
      </c>
    </row>
    <row r="39" spans="1:6">
      <c r="A39" s="348" t="s">
        <v>30</v>
      </c>
      <c r="B39" s="348" t="s">
        <v>31</v>
      </c>
      <c r="C39" s="334">
        <v>11225</v>
      </c>
      <c r="D39" s="334">
        <v>188598826</v>
      </c>
      <c r="E39" s="334">
        <v>25645</v>
      </c>
      <c r="F39" s="334">
        <v>120026194</v>
      </c>
    </row>
    <row r="40" spans="1:6">
      <c r="A40" s="348" t="s">
        <v>30</v>
      </c>
      <c r="B40" s="348" t="s">
        <v>29</v>
      </c>
      <c r="C40" s="334">
        <v>0</v>
      </c>
      <c r="D40" s="334">
        <v>0</v>
      </c>
      <c r="E40" s="334">
        <v>0</v>
      </c>
      <c r="F40" s="334">
        <v>0</v>
      </c>
    </row>
    <row r="41" spans="1:6">
      <c r="A41" s="348" t="s">
        <v>32</v>
      </c>
      <c r="B41" s="348" t="s">
        <v>33</v>
      </c>
      <c r="C41" s="334">
        <v>175</v>
      </c>
      <c r="D41" s="334">
        <v>14347454</v>
      </c>
      <c r="E41" s="334">
        <v>600</v>
      </c>
      <c r="F41" s="334">
        <v>110063373</v>
      </c>
    </row>
    <row r="42" spans="1:6">
      <c r="A42" s="348" t="s">
        <v>32</v>
      </c>
      <c r="B42" s="348" t="s">
        <v>34</v>
      </c>
      <c r="C42" s="334">
        <v>0</v>
      </c>
      <c r="D42" s="334">
        <v>0</v>
      </c>
      <c r="E42" s="334">
        <v>8</v>
      </c>
      <c r="F42" s="334">
        <v>57075799</v>
      </c>
    </row>
    <row r="43" spans="1:6">
      <c r="A43" s="348" t="s">
        <v>32</v>
      </c>
      <c r="B43" s="348" t="s">
        <v>35</v>
      </c>
      <c r="C43" s="334">
        <v>0</v>
      </c>
      <c r="D43" s="334">
        <v>0</v>
      </c>
      <c r="E43" s="334">
        <v>0</v>
      </c>
      <c r="F43" s="334">
        <v>0</v>
      </c>
    </row>
    <row r="44" spans="1:6">
      <c r="A44" s="348" t="s">
        <v>32</v>
      </c>
      <c r="B44" s="348" t="s">
        <v>36</v>
      </c>
      <c r="C44" s="334">
        <v>47</v>
      </c>
      <c r="D44" s="334">
        <v>54410104</v>
      </c>
      <c r="E44" s="334">
        <v>83</v>
      </c>
      <c r="F44" s="334">
        <v>43464529</v>
      </c>
    </row>
    <row r="45" spans="1:6">
      <c r="A45" s="348" t="s">
        <v>32</v>
      </c>
      <c r="B45" s="348" t="s">
        <v>37</v>
      </c>
      <c r="C45" s="334">
        <v>7</v>
      </c>
      <c r="D45" s="334">
        <v>716067</v>
      </c>
      <c r="E45" s="334">
        <v>13</v>
      </c>
      <c r="F45" s="334">
        <v>745200</v>
      </c>
    </row>
    <row r="46" spans="1:6">
      <c r="A46" s="348" t="s">
        <v>32</v>
      </c>
      <c r="B46" s="348" t="s">
        <v>38</v>
      </c>
      <c r="C46" s="334">
        <v>0</v>
      </c>
      <c r="D46" s="334">
        <v>0</v>
      </c>
      <c r="E46" s="334">
        <v>0</v>
      </c>
      <c r="F46" s="334">
        <v>0</v>
      </c>
    </row>
    <row r="47" spans="1:6">
      <c r="A47" s="348" t="s">
        <v>32</v>
      </c>
      <c r="B47" s="348" t="s">
        <v>39</v>
      </c>
      <c r="C47" s="334">
        <v>8</v>
      </c>
      <c r="D47" s="334">
        <v>7037927</v>
      </c>
      <c r="E47" s="334">
        <v>14</v>
      </c>
      <c r="F47" s="334">
        <v>15344833</v>
      </c>
    </row>
    <row r="48" spans="1:6">
      <c r="A48" s="348" t="s">
        <v>32</v>
      </c>
      <c r="B48" s="348" t="s">
        <v>29</v>
      </c>
      <c r="C48" s="334">
        <v>4</v>
      </c>
      <c r="D48" s="334">
        <v>5584592</v>
      </c>
      <c r="E48" s="334">
        <v>3</v>
      </c>
      <c r="F48" s="334">
        <v>1014155</v>
      </c>
    </row>
    <row r="49" spans="1:6">
      <c r="A49" s="348" t="s">
        <v>32</v>
      </c>
      <c r="B49" s="348" t="s">
        <v>40</v>
      </c>
      <c r="C49" s="334">
        <v>9</v>
      </c>
      <c r="D49" s="334">
        <v>8886627</v>
      </c>
      <c r="E49" s="334">
        <v>10</v>
      </c>
      <c r="F49" s="334">
        <v>11084388</v>
      </c>
    </row>
    <row r="50" spans="1:6">
      <c r="A50" s="348" t="s">
        <v>32</v>
      </c>
      <c r="B50" s="348" t="s">
        <v>41</v>
      </c>
      <c r="C50" s="334">
        <v>10</v>
      </c>
      <c r="D50" s="334">
        <v>5395925</v>
      </c>
      <c r="E50" s="334">
        <v>33</v>
      </c>
      <c r="F50" s="334">
        <v>7973056</v>
      </c>
    </row>
    <row r="51" spans="1:6">
      <c r="A51" s="348" t="s">
        <v>42</v>
      </c>
      <c r="B51" s="348" t="s">
        <v>43</v>
      </c>
      <c r="C51" s="334">
        <v>18</v>
      </c>
      <c r="D51" s="334">
        <v>1133089</v>
      </c>
      <c r="E51" s="334">
        <v>46</v>
      </c>
      <c r="F51" s="334">
        <v>543944</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362</v>
      </c>
      <c r="F54" s="334">
        <v>3987385</v>
      </c>
    </row>
    <row r="55" spans="1:6">
      <c r="A55" s="348" t="s">
        <v>46</v>
      </c>
      <c r="B55" s="348" t="s">
        <v>29</v>
      </c>
      <c r="C55" s="334">
        <v>0</v>
      </c>
      <c r="D55" s="334">
        <v>0</v>
      </c>
      <c r="E55" s="334">
        <v>0</v>
      </c>
      <c r="F55" s="334">
        <v>0</v>
      </c>
    </row>
    <row r="56" spans="1:6">
      <c r="A56" s="348" t="s">
        <v>48</v>
      </c>
      <c r="B56" s="348" t="s">
        <v>29</v>
      </c>
      <c r="C56" s="334">
        <v>206</v>
      </c>
      <c r="D56" s="334">
        <v>6652824</v>
      </c>
      <c r="E56" s="334">
        <v>593</v>
      </c>
      <c r="F56" s="334">
        <v>3882876</v>
      </c>
    </row>
    <row r="57" spans="1:6">
      <c r="A57" s="348" t="s">
        <v>49</v>
      </c>
      <c r="B57" s="348" t="s">
        <v>50</v>
      </c>
      <c r="C57" s="334">
        <v>201</v>
      </c>
      <c r="D57" s="334">
        <v>17901162</v>
      </c>
      <c r="E57" s="334">
        <v>349</v>
      </c>
      <c r="F57" s="334">
        <v>16508320</v>
      </c>
    </row>
    <row r="58" spans="1:6">
      <c r="A58" s="348" t="s">
        <v>49</v>
      </c>
      <c r="B58" s="348" t="s">
        <v>51</v>
      </c>
      <c r="C58" s="334">
        <v>88</v>
      </c>
      <c r="D58" s="334">
        <v>9540515</v>
      </c>
      <c r="E58" s="334">
        <v>173</v>
      </c>
      <c r="F58" s="334">
        <v>4855425</v>
      </c>
    </row>
    <row r="59" spans="1:6">
      <c r="A59" s="348" t="s">
        <v>49</v>
      </c>
      <c r="B59" s="348" t="s">
        <v>52</v>
      </c>
      <c r="C59" s="334">
        <v>346</v>
      </c>
      <c r="D59" s="334">
        <v>27762736</v>
      </c>
      <c r="E59" s="334">
        <v>929</v>
      </c>
      <c r="F59" s="334">
        <v>43817544</v>
      </c>
    </row>
    <row r="60" spans="1:6">
      <c r="A60" s="348" t="s">
        <v>49</v>
      </c>
      <c r="B60" s="348" t="s">
        <v>53</v>
      </c>
      <c r="C60" s="334">
        <v>182</v>
      </c>
      <c r="D60" s="334">
        <v>20530653</v>
      </c>
      <c r="E60" s="334">
        <v>325</v>
      </c>
      <c r="F60" s="334">
        <v>11483563</v>
      </c>
    </row>
    <row r="61" spans="1:6">
      <c r="A61" s="348" t="s">
        <v>49</v>
      </c>
      <c r="B61" s="348" t="s">
        <v>54</v>
      </c>
      <c r="C61" s="334">
        <v>355</v>
      </c>
      <c r="D61" s="334">
        <v>37790861</v>
      </c>
      <c r="E61" s="334">
        <v>1287</v>
      </c>
      <c r="F61" s="334">
        <v>65226126</v>
      </c>
    </row>
    <row r="62" spans="1:6">
      <c r="A62" s="348" t="s">
        <v>49</v>
      </c>
      <c r="B62" s="348" t="s">
        <v>55</v>
      </c>
      <c r="C62" s="334">
        <v>44</v>
      </c>
      <c r="D62" s="334">
        <v>9979290</v>
      </c>
      <c r="E62" s="334">
        <v>75</v>
      </c>
      <c r="F62" s="334">
        <v>4650859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3</v>
      </c>
      <c r="F65" s="334">
        <v>19748</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9</v>
      </c>
      <c r="D68" s="334">
        <v>1113458</v>
      </c>
      <c r="E68" s="334">
        <v>30</v>
      </c>
      <c r="F68" s="334">
        <v>2768725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221837553</v>
      </c>
      <c r="E73" s="476">
        <v>365270300.52731085</v>
      </c>
    </row>
    <row r="74" spans="1:6">
      <c r="A74" s="348" t="s">
        <v>64</v>
      </c>
      <c r="B74" s="348" t="s">
        <v>714</v>
      </c>
      <c r="C74" s="1311" t="s">
        <v>716</v>
      </c>
      <c r="D74" s="476">
        <v>18570186.135750629</v>
      </c>
      <c r="E74" s="476">
        <v>29232180.127648827</v>
      </c>
    </row>
    <row r="75" spans="1:6">
      <c r="A75" s="348" t="s">
        <v>65</v>
      </c>
      <c r="B75" s="348" t="s">
        <v>713</v>
      </c>
      <c r="C75" s="1311" t="s">
        <v>717</v>
      </c>
      <c r="D75" s="476">
        <v>54125616</v>
      </c>
      <c r="E75" s="476">
        <v>92688896.622623146</v>
      </c>
    </row>
    <row r="76" spans="1:6">
      <c r="A76" s="348" t="s">
        <v>65</v>
      </c>
      <c r="B76" s="348" t="s">
        <v>714</v>
      </c>
      <c r="C76" s="1311" t="s">
        <v>718</v>
      </c>
      <c r="D76" s="476">
        <v>231543.90000000002</v>
      </c>
      <c r="E76" s="476">
        <v>1399040.8102196555</v>
      </c>
    </row>
    <row r="77" spans="1:6">
      <c r="A77" s="348" t="s">
        <v>66</v>
      </c>
      <c r="B77" s="348" t="s">
        <v>713</v>
      </c>
      <c r="C77" s="1311" t="s">
        <v>719</v>
      </c>
      <c r="D77" s="476">
        <v>155893506</v>
      </c>
      <c r="E77" s="476">
        <v>180127562.64136457</v>
      </c>
    </row>
    <row r="78" spans="1:6">
      <c r="A78" s="341" t="s">
        <v>66</v>
      </c>
      <c r="B78" s="341" t="s">
        <v>714</v>
      </c>
      <c r="C78" s="341" t="s">
        <v>720</v>
      </c>
      <c r="D78" s="1307">
        <v>29164278</v>
      </c>
      <c r="E78" s="1307">
        <v>32778679.392041236</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4254683.7284987383</v>
      </c>
      <c r="C83" s="476">
        <v>4182154.5945313326</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25052.750979946093</v>
      </c>
    </row>
    <row r="91" spans="1:6">
      <c r="A91" s="348" t="s">
        <v>68</v>
      </c>
      <c r="B91" s="334">
        <v>10197.428479103803</v>
      </c>
    </row>
    <row r="92" spans="1:6">
      <c r="A92" s="341" t="s">
        <v>69</v>
      </c>
      <c r="B92" s="342">
        <v>24468.666567834985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3815</v>
      </c>
    </row>
    <row r="98" spans="1:6">
      <c r="A98" s="348" t="s">
        <v>72</v>
      </c>
      <c r="B98" s="334">
        <v>9</v>
      </c>
    </row>
    <row r="99" spans="1:6">
      <c r="A99" s="348" t="s">
        <v>73</v>
      </c>
      <c r="B99" s="334">
        <v>73</v>
      </c>
    </row>
    <row r="100" spans="1:6">
      <c r="A100" s="348" t="s">
        <v>74</v>
      </c>
      <c r="B100" s="334">
        <v>4328</v>
      </c>
    </row>
    <row r="101" spans="1:6">
      <c r="A101" s="348" t="s">
        <v>75</v>
      </c>
      <c r="B101" s="334">
        <v>91</v>
      </c>
    </row>
    <row r="102" spans="1:6">
      <c r="A102" s="348" t="s">
        <v>76</v>
      </c>
      <c r="B102" s="334">
        <v>353</v>
      </c>
    </row>
    <row r="103" spans="1:6">
      <c r="A103" s="348" t="s">
        <v>77</v>
      </c>
      <c r="B103" s="334">
        <v>446</v>
      </c>
    </row>
    <row r="104" spans="1:6">
      <c r="A104" s="348" t="s">
        <v>78</v>
      </c>
      <c r="B104" s="334">
        <v>12961</v>
      </c>
    </row>
    <row r="105" spans="1:6">
      <c r="A105" s="341" t="s">
        <v>79</v>
      </c>
      <c r="B105" s="341">
        <v>14</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37</v>
      </c>
      <c r="C123" s="334">
        <v>61</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648</v>
      </c>
    </row>
    <row r="130" spans="1:6">
      <c r="A130" s="348" t="s">
        <v>295</v>
      </c>
      <c r="B130" s="334">
        <v>3</v>
      </c>
    </row>
    <row r="131" spans="1:6">
      <c r="A131" s="348" t="s">
        <v>296</v>
      </c>
      <c r="B131" s="334">
        <v>4</v>
      </c>
    </row>
    <row r="132" spans="1:6">
      <c r="A132" s="341" t="s">
        <v>297</v>
      </c>
      <c r="B132" s="342">
        <v>48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533768.18495702115</v>
      </c>
      <c r="C3" s="43" t="s">
        <v>170</v>
      </c>
      <c r="D3" s="43"/>
      <c r="E3" s="154"/>
      <c r="F3" s="43"/>
      <c r="G3" s="43"/>
      <c r="H3" s="43"/>
      <c r="I3" s="43"/>
      <c r="J3" s="43"/>
      <c r="K3" s="96"/>
    </row>
    <row r="4" spans="1:11">
      <c r="A4" s="384" t="s">
        <v>171</v>
      </c>
      <c r="B4" s="49">
        <f>IF(ISERROR('SEAP template'!B78+'SEAP template'!C78),0,'SEAP template'!B78+'SEAP template'!C78)</f>
        <v>61487.346026884887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35.150068259385669</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0.19560779082445034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54.01850316918577</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228.21428571428572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0.23670079635949945</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3987.3850000000002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3987.3850000000002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0.19560779082445034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779.96357101655099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120026.194</v>
      </c>
      <c r="C5" s="17">
        <f>IF(ISERROR('Eigen informatie GS &amp; warmtenet'!B57),0,'Eigen informatie GS &amp; warmtenet'!B57)</f>
        <v>0</v>
      </c>
      <c r="D5" s="30">
        <f>(SUM(HH_hh_gas_kWh,HH_rest_gas_kWh)/1000)*0.902</f>
        <v>170116.14105199999</v>
      </c>
      <c r="E5" s="17">
        <f>B46*B57</f>
        <v>1865.1150773315426</v>
      </c>
      <c r="F5" s="17">
        <f>B51*B62</f>
        <v>154886.92959868343</v>
      </c>
      <c r="G5" s="18"/>
      <c r="H5" s="17"/>
      <c r="I5" s="17"/>
      <c r="J5" s="17">
        <f>B50*B61+C50*C61</f>
        <v>0</v>
      </c>
      <c r="K5" s="17"/>
      <c r="L5" s="17"/>
      <c r="M5" s="17"/>
      <c r="N5" s="17">
        <f>B48*B59+C48*C59</f>
        <v>8817.0306733381749</v>
      </c>
      <c r="O5" s="17">
        <f>B69*B70*B71</f>
        <v>1109.9666666666667</v>
      </c>
      <c r="P5" s="17">
        <f>B77*B78*B79/1000-B77*B78*B79/1000/B80</f>
        <v>1639.7333333333333</v>
      </c>
    </row>
    <row r="6" spans="1:16">
      <c r="A6" s="16" t="s">
        <v>631</v>
      </c>
      <c r="B6" s="789">
        <f>kWh_PV_kleiner_dan_10kW</f>
        <v>10197.428479103803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130223.62247910381</v>
      </c>
      <c r="C8" s="21">
        <f>C5</f>
        <v>0</v>
      </c>
      <c r="D8" s="21">
        <f>D5</f>
        <v>170116.14105199999</v>
      </c>
      <c r="E8" s="21">
        <f>E5</f>
        <v>1865.1150773315426</v>
      </c>
      <c r="F8" s="21">
        <f>F5</f>
        <v>154886.92959868343</v>
      </c>
      <c r="G8" s="21"/>
      <c r="H8" s="21"/>
      <c r="I8" s="21"/>
      <c r="J8" s="21">
        <f>J5</f>
        <v>0</v>
      </c>
      <c r="K8" s="21"/>
      <c r="L8" s="21">
        <f>L5</f>
        <v>0</v>
      </c>
      <c r="M8" s="21">
        <f>M5</f>
        <v>0</v>
      </c>
      <c r="N8" s="21">
        <f>N5</f>
        <v>8817.0306733381749</v>
      </c>
      <c r="O8" s="21">
        <f>O5</f>
        <v>1109.9666666666667</v>
      </c>
      <c r="P8" s="21">
        <f>P5</f>
        <v>1639.7333333333333</v>
      </c>
    </row>
    <row r="9" spans="1:16">
      <c r="B9" s="19"/>
      <c r="C9" s="19"/>
      <c r="D9" s="258"/>
      <c r="E9" s="19"/>
      <c r="F9" s="19"/>
      <c r="G9" s="19"/>
      <c r="H9" s="19"/>
      <c r="I9" s="19"/>
      <c r="J9" s="19"/>
      <c r="K9" s="19"/>
      <c r="L9" s="19"/>
      <c r="M9" s="19"/>
      <c r="N9" s="19"/>
      <c r="O9" s="19"/>
      <c r="P9" s="19"/>
    </row>
    <row r="10" spans="1:16">
      <c r="A10" s="24" t="s">
        <v>214</v>
      </c>
      <c r="B10" s="25">
        <f ca="1">'EF ele_warmte'!B12</f>
        <v>0.19560779082445034</v>
      </c>
      <c r="C10" s="25">
        <f ca="1">'EF ele_warmte'!B22</f>
        <v>0.23670079635949945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25472.755106294728</v>
      </c>
      <c r="C12" s="23">
        <f ca="1">C10*C8</f>
        <v>0</v>
      </c>
      <c r="D12" s="23">
        <f>D8*D10</f>
        <v>34363.460492504004</v>
      </c>
      <c r="E12" s="23">
        <f>E10*E8</f>
        <v>423.38112255426017</v>
      </c>
      <c r="F12" s="23">
        <f>F10*F8</f>
        <v>41354.810202848479</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3815</v>
      </c>
      <c r="C18" s="166" t="s">
        <v>111</v>
      </c>
      <c r="D18" s="228"/>
      <c r="E18" s="15"/>
    </row>
    <row r="19" spans="1:7">
      <c r="A19" s="171" t="s">
        <v>72</v>
      </c>
      <c r="B19" s="37">
        <f>aantalw2001_ander</f>
        <v>9</v>
      </c>
      <c r="C19" s="166" t="s">
        <v>111</v>
      </c>
      <c r="D19" s="229"/>
      <c r="E19" s="15"/>
    </row>
    <row r="20" spans="1:7">
      <c r="A20" s="171" t="s">
        <v>73</v>
      </c>
      <c r="B20" s="37">
        <f>aantalw2001_propaan</f>
        <v>73</v>
      </c>
      <c r="C20" s="167">
        <f>IF(ISERROR(B20/SUM($B$20,$B$21,$B$22)*100),0,B20/SUM($B$20,$B$21,$B$22)*100)</f>
        <v>1.6251113089937665</v>
      </c>
      <c r="D20" s="229"/>
      <c r="E20" s="15"/>
    </row>
    <row r="21" spans="1:7">
      <c r="A21" s="171" t="s">
        <v>74</v>
      </c>
      <c r="B21" s="37">
        <f>aantalw2001_elektriciteit</f>
        <v>4328</v>
      </c>
      <c r="C21" s="167">
        <f>IF(ISERROR(B21/SUM($B$20,$B$21,$B$22)*100),0,B21/SUM($B$20,$B$21,$B$22)*100)</f>
        <v>96.349065004452356</v>
      </c>
      <c r="D21" s="229"/>
      <c r="E21" s="15"/>
    </row>
    <row r="22" spans="1:7">
      <c r="A22" s="171" t="s">
        <v>75</v>
      </c>
      <c r="B22" s="37">
        <f>aantalw2001_hout</f>
        <v>91</v>
      </c>
      <c r="C22" s="167">
        <f>IF(ISERROR(B22/SUM($B$20,$B$21,$B$22)*100),0,B22/SUM($B$20,$B$21,$B$22)*100)</f>
        <v>2.0258236865538737</v>
      </c>
      <c r="D22" s="229"/>
      <c r="E22" s="15"/>
    </row>
    <row r="23" spans="1:7">
      <c r="A23" s="171" t="s">
        <v>76</v>
      </c>
      <c r="B23" s="37">
        <f>aantalw2001_niet_gespec</f>
        <v>353</v>
      </c>
      <c r="C23" s="166" t="s">
        <v>111</v>
      </c>
      <c r="D23" s="228"/>
      <c r="E23" s="15"/>
    </row>
    <row r="24" spans="1:7">
      <c r="A24" s="171" t="s">
        <v>77</v>
      </c>
      <c r="B24" s="37">
        <f>aantalw2001_steenkool</f>
        <v>446</v>
      </c>
      <c r="C24" s="166" t="s">
        <v>111</v>
      </c>
      <c r="D24" s="229"/>
      <c r="E24" s="15"/>
    </row>
    <row r="25" spans="1:7">
      <c r="A25" s="171" t="s">
        <v>78</v>
      </c>
      <c r="B25" s="37">
        <f>aantalw2001_stookolie</f>
        <v>12961</v>
      </c>
      <c r="C25" s="166" t="s">
        <v>111</v>
      </c>
      <c r="D25" s="228"/>
      <c r="E25" s="52"/>
    </row>
    <row r="26" spans="1:7">
      <c r="A26" s="171" t="s">
        <v>79</v>
      </c>
      <c r="B26" s="37">
        <f>aantalw2001_WP</f>
        <v>14</v>
      </c>
      <c r="C26" s="166" t="s">
        <v>111</v>
      </c>
      <c r="D26" s="228"/>
      <c r="E26" s="15"/>
    </row>
    <row r="27" spans="1:7" s="15" customFormat="1">
      <c r="A27" s="171"/>
      <c r="B27" s="29"/>
      <c r="C27" s="36"/>
      <c r="D27" s="228"/>
    </row>
    <row r="28" spans="1:7" s="15" customFormat="1">
      <c r="A28" s="230" t="s">
        <v>740</v>
      </c>
      <c r="B28" s="37">
        <f>aantalHuishoudens2011</f>
        <v>25295</v>
      </c>
      <c r="C28" s="36"/>
      <c r="D28" s="228"/>
    </row>
    <row r="29" spans="1:7" s="15" customFormat="1">
      <c r="A29" s="230" t="s">
        <v>741</v>
      </c>
      <c r="B29" s="37">
        <f>SUM(HH_hh_gas_aantal,HH_rest_gas_aantal)</f>
        <v>11225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11225</v>
      </c>
      <c r="C32" s="167">
        <f>IF(ISERROR(B32/SUM($B$32,$B$34,$B$35,$B$36,$B$38,$B$39)*100),0,B32/SUM($B$32,$B$34,$B$35,$B$36,$B$38,$B$39)*100)</f>
        <v>44.527748026498472</v>
      </c>
      <c r="D32" s="233"/>
      <c r="G32" s="15"/>
    </row>
    <row r="33" spans="1:7">
      <c r="A33" s="171" t="s">
        <v>72</v>
      </c>
      <c r="B33" s="34" t="s">
        <v>111</v>
      </c>
      <c r="C33" s="167"/>
      <c r="D33" s="233"/>
      <c r="G33" s="15"/>
    </row>
    <row r="34" spans="1:7">
      <c r="A34" s="171" t="s">
        <v>73</v>
      </c>
      <c r="B34" s="33">
        <f>IF((($B$28-$B$32-$B$39-$B$77-$B$38)*C20/100)&lt;0,0,($B$28-$B$32-$B$39-$B$77-$B$38)*C20/100)</f>
        <v>125.00356188780052</v>
      </c>
      <c r="C34" s="167">
        <f>IF(ISERROR(B34/SUM($B$32,$B$34,$B$35,$B$36,$B$38,$B$39)*100),0,B34/SUM($B$32,$B$34,$B$35,$B$36,$B$38,$B$39)*100)</f>
        <v>0.49586878451267608</v>
      </c>
      <c r="D34" s="233"/>
      <c r="G34" s="15"/>
    </row>
    <row r="35" spans="1:7">
      <c r="A35" s="171" t="s">
        <v>74</v>
      </c>
      <c r="B35" s="33">
        <f>IF((($B$28-$B$32-$B$39-$B$77-$B$38)*C21/100)&lt;0,0,($B$28-$B$32-$B$39-$B$77-$B$38)*C21/100)</f>
        <v>7411.1700801424749</v>
      </c>
      <c r="C35" s="167">
        <f>IF(ISERROR(B35/SUM($B$32,$B$34,$B$35,$B$36,$B$38,$B$39)*100),0,B35/SUM($B$32,$B$34,$B$35,$B$36,$B$38,$B$39)*100)</f>
        <v>29.398905470833732</v>
      </c>
      <c r="D35" s="233"/>
      <c r="G35" s="15"/>
    </row>
    <row r="36" spans="1:7">
      <c r="A36" s="171" t="s">
        <v>75</v>
      </c>
      <c r="B36" s="33">
        <f>IF((($B$28-$B$32-$B$39-$B$77-$B$38)*C22/100)&lt;0,0,($B$28-$B$32-$B$39-$B$77-$B$38)*C22/100)</f>
        <v>155.82635796972397</v>
      </c>
      <c r="C36" s="167">
        <f>IF(ISERROR(B36/SUM($B$32,$B$34,$B$35,$B$36,$B$38,$B$39)*100),0,B36/SUM($B$32,$B$34,$B$35,$B$36,$B$38,$B$39)*100)</f>
        <v>0.61813779987196626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6292</v>
      </c>
      <c r="C39" s="167">
        <f>IF(ISERROR(B39/SUM($B$32,$B$34,$B$35,$B$36,$B$38,$B$39)*100),0,B39/SUM($B$32,$B$34,$B$35,$B$36,$B$38,$B$39)*100)</f>
        <v>24.959339918283153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11225</v>
      </c>
      <c r="C44" s="34" t="s">
        <v>111</v>
      </c>
      <c r="D44" s="174"/>
    </row>
    <row r="45" spans="1:7">
      <c r="A45" s="171" t="s">
        <v>72</v>
      </c>
      <c r="B45" s="33" t="str">
        <f t="shared" si="0"/>
        <v>-</v>
      </c>
      <c r="C45" s="34" t="s">
        <v>111</v>
      </c>
      <c r="D45" s="174"/>
    </row>
    <row r="46" spans="1:7">
      <c r="A46" s="171" t="s">
        <v>73</v>
      </c>
      <c r="B46" s="33">
        <f t="shared" si="0"/>
        <v>125.00356188780052</v>
      </c>
      <c r="C46" s="34" t="s">
        <v>111</v>
      </c>
      <c r="D46" s="174"/>
    </row>
    <row r="47" spans="1:7">
      <c r="A47" s="171" t="s">
        <v>74</v>
      </c>
      <c r="B47" s="33">
        <f t="shared" si="0"/>
        <v>7411.1700801424749</v>
      </c>
      <c r="C47" s="34" t="s">
        <v>111</v>
      </c>
      <c r="D47" s="174"/>
    </row>
    <row r="48" spans="1:7">
      <c r="A48" s="171" t="s">
        <v>75</v>
      </c>
      <c r="B48" s="33">
        <f t="shared" si="0"/>
        <v>155.82635796972397</v>
      </c>
      <c r="C48" s="33">
        <f>B48*10</f>
        <v>1558.2635796972397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6292</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710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146541.837</v>
      </c>
      <c r="C5" s="17">
        <f>IF(ISERROR('Eigen informatie GS &amp; warmtenet'!B58),0,'Eigen informatie GS &amp; warmtenet'!B58)</f>
        <v>0</v>
      </c>
      <c r="D5" s="30">
        <f>SUM(D6:D12)</f>
        <v>111401.70573399999</v>
      </c>
      <c r="E5" s="17">
        <f>SUM(E6:E12)</f>
        <v>1205.3095460238915</v>
      </c>
      <c r="F5" s="17">
        <f>SUM(F6:F12)</f>
        <v>21017.177064804026</v>
      </c>
      <c r="G5" s="18"/>
      <c r="H5" s="17"/>
      <c r="I5" s="17"/>
      <c r="J5" s="17">
        <f>SUM(J6:J12)</f>
        <v>0</v>
      </c>
      <c r="K5" s="17"/>
      <c r="L5" s="17"/>
      <c r="M5" s="17"/>
      <c r="N5" s="17">
        <f>SUM(N6:N12)</f>
        <v>12683.676145716357</v>
      </c>
      <c r="O5" s="17">
        <f>B38*B39*B40</f>
        <v>4.6900000000000004</v>
      </c>
      <c r="P5" s="17">
        <f>B46*B47*B48/1000-B46*B47*B48/1000/B49</f>
        <v>95.333333333333343</v>
      </c>
      <c r="R5" s="32"/>
    </row>
    <row r="6" spans="1:18">
      <c r="A6" s="32" t="s">
        <v>54</v>
      </c>
      <c r="B6" s="37">
        <f>B26</f>
        <v>65226.125999999997</v>
      </c>
      <c r="C6" s="33"/>
      <c r="D6" s="37">
        <f>IF(ISERROR(TER_kantoor_gas_kWh/1000),0,TER_kantoor_gas_kWh/1000)*0.902</f>
        <v>34087.356621999999</v>
      </c>
      <c r="E6" s="33">
        <f>$C$26*'E Balans VL '!I12/100/3.6*1000000</f>
        <v>188.96965705164354</v>
      </c>
      <c r="F6" s="33">
        <f>$C$26*('E Balans VL '!L12+'E Balans VL '!N12)/100/3.6*1000000</f>
        <v>7382.1604202269082</v>
      </c>
      <c r="G6" s="34"/>
      <c r="H6" s="33"/>
      <c r="I6" s="33"/>
      <c r="J6" s="33">
        <f>$C$26*('E Balans VL '!D12+'E Balans VL '!E12)/100/3.6*1000000</f>
        <v>0</v>
      </c>
      <c r="K6" s="33"/>
      <c r="L6" s="33"/>
      <c r="M6" s="33"/>
      <c r="N6" s="33">
        <f>$C$26*'E Balans VL '!Y12/100/3.6*1000000</f>
        <v>652.86546050450966</v>
      </c>
      <c r="O6" s="33"/>
      <c r="P6" s="33"/>
      <c r="R6" s="32"/>
    </row>
    <row r="7" spans="1:18">
      <c r="A7" s="32" t="s">
        <v>53</v>
      </c>
      <c r="B7" s="37">
        <f t="shared" ref="B7:B12" si="0">B27</f>
        <v>11483.563</v>
      </c>
      <c r="C7" s="33"/>
      <c r="D7" s="37">
        <f>IF(ISERROR(TER_horeca_gas_kWh/1000),0,TER_horeca_gas_kWh/1000)*0.902</f>
        <v>18518.649006</v>
      </c>
      <c r="E7" s="33">
        <f>$C$27*'E Balans VL '!I9/100/3.6*1000000</f>
        <v>482.04789029908954</v>
      </c>
      <c r="F7" s="33">
        <f>$C$27*('E Balans VL '!L9+'E Balans VL '!N9)/100/3.6*1000000</f>
        <v>2467.479003188706</v>
      </c>
      <c r="G7" s="34"/>
      <c r="H7" s="33"/>
      <c r="I7" s="33"/>
      <c r="J7" s="33">
        <f>$C$27*('E Balans VL '!D9+'E Balans VL '!E9)/100/3.6*1000000</f>
        <v>0</v>
      </c>
      <c r="K7" s="33"/>
      <c r="L7" s="33"/>
      <c r="M7" s="33"/>
      <c r="N7" s="33">
        <f>$C$27*'E Balans VL '!Y9/100/3.6*1000000</f>
        <v>2.9592137576983291</v>
      </c>
      <c r="O7" s="33"/>
      <c r="P7" s="33"/>
      <c r="R7" s="32"/>
    </row>
    <row r="8" spans="1:18">
      <c r="A8" s="6" t="s">
        <v>52</v>
      </c>
      <c r="B8" s="37">
        <f t="shared" si="0"/>
        <v>43817.544000000002</v>
      </c>
      <c r="C8" s="33"/>
      <c r="D8" s="37">
        <f>IF(ISERROR(TER_handel_gas_kWh/1000),0,TER_handel_gas_kWh/1000)*0.902</f>
        <v>25041.987872000002</v>
      </c>
      <c r="E8" s="33">
        <f>$C$28*'E Balans VL '!I13/100/3.6*1000000</f>
        <v>470.63689086520174</v>
      </c>
      <c r="F8" s="33">
        <f>$C$28*('E Balans VL '!L13+'E Balans VL '!N13)/100/3.6*1000000</f>
        <v>5672.5429086191416</v>
      </c>
      <c r="G8" s="34"/>
      <c r="H8" s="33"/>
      <c r="I8" s="33"/>
      <c r="J8" s="33">
        <f>$C$28*('E Balans VL '!D13+'E Balans VL '!E13)/100/3.6*1000000</f>
        <v>0</v>
      </c>
      <c r="K8" s="33"/>
      <c r="L8" s="33"/>
      <c r="M8" s="33"/>
      <c r="N8" s="33">
        <f>$C$28*'E Balans VL '!Y13/100/3.6*1000000</f>
        <v>355.45030946992904</v>
      </c>
      <c r="O8" s="33"/>
      <c r="P8" s="33"/>
      <c r="R8" s="32"/>
    </row>
    <row r="9" spans="1:18">
      <c r="A9" s="32" t="s">
        <v>51</v>
      </c>
      <c r="B9" s="37">
        <f t="shared" si="0"/>
        <v>4855.4250000000002</v>
      </c>
      <c r="C9" s="33"/>
      <c r="D9" s="37">
        <f>IF(ISERROR(TER_gezond_gas_kWh/1000),0,TER_gezond_gas_kWh/1000)*0.902</f>
        <v>8605.5445299999992</v>
      </c>
      <c r="E9" s="33">
        <f>$C$29*'E Balans VL '!I10/100/3.6*1000000</f>
        <v>3.865232340475607</v>
      </c>
      <c r="F9" s="33">
        <f>$C$29*('E Balans VL '!L10+'E Balans VL '!N10)/100/3.6*1000000</f>
        <v>590.24707596123926</v>
      </c>
      <c r="G9" s="34"/>
      <c r="H9" s="33"/>
      <c r="I9" s="33"/>
      <c r="J9" s="33">
        <f>$C$29*('E Balans VL '!D10+'E Balans VL '!E10)/100/3.6*1000000</f>
        <v>0</v>
      </c>
      <c r="K9" s="33"/>
      <c r="L9" s="33"/>
      <c r="M9" s="33"/>
      <c r="N9" s="33">
        <f>$C$29*'E Balans VL '!Y10/100/3.6*1000000</f>
        <v>39.220836789664894</v>
      </c>
      <c r="O9" s="33"/>
      <c r="P9" s="33"/>
      <c r="R9" s="32"/>
    </row>
    <row r="10" spans="1:18">
      <c r="A10" s="32" t="s">
        <v>50</v>
      </c>
      <c r="B10" s="37">
        <f t="shared" si="0"/>
        <v>16508.32</v>
      </c>
      <c r="C10" s="33"/>
      <c r="D10" s="37">
        <f>IF(ISERROR(TER_ander_gas_kWh/1000),0,TER_ander_gas_kWh/1000)*0.902</f>
        <v>16146.848124</v>
      </c>
      <c r="E10" s="33">
        <f>$C$30*'E Balans VL '!I14/100/3.6*1000000</f>
        <v>56.574879875965316</v>
      </c>
      <c r="F10" s="33">
        <f>$C$30*('E Balans VL '!L14+'E Balans VL '!N14)/100/3.6*1000000</f>
        <v>3687.2878688953438</v>
      </c>
      <c r="G10" s="34"/>
      <c r="H10" s="33"/>
      <c r="I10" s="33"/>
      <c r="J10" s="33">
        <f>$C$30*('E Balans VL '!D14+'E Balans VL '!E14)/100/3.6*1000000</f>
        <v>0</v>
      </c>
      <c r="K10" s="33"/>
      <c r="L10" s="33"/>
      <c r="M10" s="33"/>
      <c r="N10" s="33">
        <f>$C$30*'E Balans VL '!Y14/100/3.6*1000000</f>
        <v>11628.550791189324</v>
      </c>
      <c r="O10" s="33"/>
      <c r="P10" s="33"/>
      <c r="R10" s="32"/>
    </row>
    <row r="11" spans="1:18">
      <c r="A11" s="32" t="s">
        <v>55</v>
      </c>
      <c r="B11" s="37">
        <f t="shared" si="0"/>
        <v>4650.8590000000004</v>
      </c>
      <c r="C11" s="33"/>
      <c r="D11" s="37">
        <f>IF(ISERROR(TER_onderwijs_gas_kWh/1000),0,TER_onderwijs_gas_kWh/1000)*0.902</f>
        <v>9001.3195800000012</v>
      </c>
      <c r="E11" s="33">
        <f>$C$31*'E Balans VL '!I11/100/3.6*1000000</f>
        <v>3.2149955915155872</v>
      </c>
      <c r="F11" s="33">
        <f>$C$31*('E Balans VL '!L11+'E Balans VL '!N11)/100/3.6*1000000</f>
        <v>1217.4597879126891</v>
      </c>
      <c r="G11" s="34"/>
      <c r="H11" s="33"/>
      <c r="I11" s="33"/>
      <c r="J11" s="33">
        <f>$C$31*('E Balans VL '!D11+'E Balans VL '!E11)/100/3.6*1000000</f>
        <v>0</v>
      </c>
      <c r="K11" s="33"/>
      <c r="L11" s="33"/>
      <c r="M11" s="33"/>
      <c r="N11" s="33">
        <f>$C$31*'E Balans VL '!Y11/100/3.6*1000000</f>
        <v>4.6295340052317355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1764</v>
      </c>
      <c r="C13" s="247">
        <f ca="1">'lokale energieproductie'!O91+'lokale energieproductie'!O60</f>
        <v>205.71428571428572</v>
      </c>
      <c r="D13" s="310">
        <f ca="1">('lokale energieproductie'!P60+'lokale energieproductie'!P91)*(-1)</f>
        <v>-411.42857142857144</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-4628.5714285714284</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148305.837</v>
      </c>
      <c r="C16" s="21">
        <f t="shared" ca="1" si="1"/>
        <v>205.71428571428572</v>
      </c>
      <c r="D16" s="21">
        <f t="shared" ca="1" si="1"/>
        <v>110990.27716257142</v>
      </c>
      <c r="E16" s="21">
        <f t="shared" si="1"/>
        <v>1205.3095460238915</v>
      </c>
      <c r="F16" s="21">
        <f t="shared" ca="1" si="1"/>
        <v>21017.177064804026</v>
      </c>
      <c r="G16" s="21">
        <f t="shared" si="1"/>
        <v>0</v>
      </c>
      <c r="H16" s="21">
        <f t="shared" si="1"/>
        <v>0</v>
      </c>
      <c r="I16" s="21">
        <f t="shared" si="1"/>
        <v>0</v>
      </c>
      <c r="J16" s="21">
        <f t="shared" si="1"/>
        <v>0</v>
      </c>
      <c r="K16" s="21">
        <f t="shared" si="1"/>
        <v>0</v>
      </c>
      <c r="L16" s="21">
        <f t="shared" ca="1" si="1"/>
        <v>0</v>
      </c>
      <c r="M16" s="21">
        <f t="shared" si="1"/>
        <v>0</v>
      </c>
      <c r="N16" s="21">
        <f t="shared" ca="1" si="1"/>
        <v>8055.1047171449291</v>
      </c>
      <c r="O16" s="21">
        <f>O5</f>
        <v>4.6900000000000004</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0.19560779082445034</v>
      </c>
      <c r="C18" s="25">
        <f ca="1">'EF ele_warmte'!B22</f>
        <v>0.23670079635949945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29009.777141941027</v>
      </c>
      <c r="C20" s="23">
        <f t="shared" ref="C20:P20" ca="1" si="2">C16*C18</f>
        <v>48.692735251097034</v>
      </c>
      <c r="D20" s="23">
        <f t="shared" ca="1" si="2"/>
        <v>22420.03598683943</v>
      </c>
      <c r="E20" s="23">
        <f t="shared" si="2"/>
        <v>273.60526694742339</v>
      </c>
      <c r="F20" s="23">
        <f t="shared" ca="1" si="2"/>
        <v>5611.5862763026753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65226.125999999997</v>
      </c>
      <c r="C26" s="39">
        <f>IF(ISERROR(B26*3.6/1000000/'E Balans VL '!Z12*100),0,B26*3.6/1000000/'E Balans VL '!Z12*100)</f>
        <v>1.4327672665429005</v>
      </c>
      <c r="D26" s="237" t="s">
        <v>692</v>
      </c>
      <c r="F26" s="6"/>
    </row>
    <row r="27" spans="1:18">
      <c r="A27" s="231" t="s">
        <v>53</v>
      </c>
      <c r="B27" s="33">
        <f>IF(ISERROR(TER_horeca_ele_kWh/1000),0,TER_horeca_ele_kWh/1000)</f>
        <v>11483.563</v>
      </c>
      <c r="C27" s="39">
        <f>IF(ISERROR(B27*3.6/1000000/'E Balans VL '!Z9*100),0,B27*3.6/1000000/'E Balans VL '!Z9*100)</f>
        <v>0.9228187565579925</v>
      </c>
      <c r="D27" s="237" t="s">
        <v>692</v>
      </c>
      <c r="F27" s="6"/>
    </row>
    <row r="28" spans="1:18">
      <c r="A28" s="171" t="s">
        <v>52</v>
      </c>
      <c r="B28" s="33">
        <f>IF(ISERROR(TER_handel_ele_kWh/1000),0,TER_handel_ele_kWh/1000)</f>
        <v>43817.544000000002</v>
      </c>
      <c r="C28" s="39">
        <f>IF(ISERROR(B28*3.6/1000000/'E Balans VL '!Z13*100),0,B28*3.6/1000000/'E Balans VL '!Z13*100)</f>
        <v>1.2956541645010236</v>
      </c>
      <c r="D28" s="237" t="s">
        <v>692</v>
      </c>
      <c r="F28" s="6"/>
    </row>
    <row r="29" spans="1:18">
      <c r="A29" s="231" t="s">
        <v>51</v>
      </c>
      <c r="B29" s="33">
        <f>IF(ISERROR(TER_gezond_ele_kWh/1000),0,TER_gezond_ele_kWh/1000)</f>
        <v>4855.4250000000002</v>
      </c>
      <c r="C29" s="39">
        <f>IF(ISERROR(B29*3.6/1000000/'E Balans VL '!Z10*100),0,B29*3.6/1000000/'E Balans VL '!Z10*100)</f>
        <v>0.54708104147666148</v>
      </c>
      <c r="D29" s="237" t="s">
        <v>692</v>
      </c>
      <c r="F29" s="6"/>
    </row>
    <row r="30" spans="1:18">
      <c r="A30" s="231" t="s">
        <v>50</v>
      </c>
      <c r="B30" s="33">
        <f>IF(ISERROR(TER_ander_ele_kWh/1000),0,TER_ander_ele_kWh/1000)</f>
        <v>16508.32</v>
      </c>
      <c r="C30" s="39">
        <f>IF(ISERROR(B30*3.6/1000000/'E Balans VL '!Z14*100),0,B30*3.6/1000000/'E Balans VL '!Z14*100)</f>
        <v>1.2484960219016454</v>
      </c>
      <c r="D30" s="237" t="s">
        <v>692</v>
      </c>
      <c r="F30" s="6"/>
    </row>
    <row r="31" spans="1:18">
      <c r="A31" s="231" t="s">
        <v>55</v>
      </c>
      <c r="B31" s="33">
        <f>IF(ISERROR(TER_onderwijs_ele_kWh/1000),0,TER_onderwijs_ele_kWh/1000)</f>
        <v>4650.8590000000004</v>
      </c>
      <c r="C31" s="39">
        <f>IF(ISERROR(B31*3.6/1000000/'E Balans VL '!Z11*100),0,B31*3.6/1000000/'E Balans VL '!Z11*100)</f>
        <v>0.96541036334330077</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5</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246765.33300000004</v>
      </c>
      <c r="C5" s="17">
        <f>IF(ISERROR('Eigen informatie GS &amp; warmtenet'!B59),0,'Eigen informatie GS &amp; warmtenet'!B59)</f>
        <v>0</v>
      </c>
      <c r="D5" s="30">
        <f>SUM(D6:D15)</f>
        <v>86933.583792000005</v>
      </c>
      <c r="E5" s="17">
        <f>SUM(E6:E15)</f>
        <v>31760.955150627618</v>
      </c>
      <c r="F5" s="17">
        <f>SUM(F6:F15)</f>
        <v>117149.97333067113</v>
      </c>
      <c r="G5" s="18"/>
      <c r="H5" s="17"/>
      <c r="I5" s="17"/>
      <c r="J5" s="17">
        <f>SUM(J6:J15)</f>
        <v>196.18099947358417</v>
      </c>
      <c r="K5" s="17"/>
      <c r="L5" s="17"/>
      <c r="M5" s="17"/>
      <c r="N5" s="17">
        <f>SUM(N6:N15)</f>
        <v>48674.521166237282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43464.529000000002</v>
      </c>
      <c r="C8" s="33"/>
      <c r="D8" s="37">
        <f>IF( ISERROR(IND_metaal_Gas_kWH/1000),0,IND_metaal_Gas_kWH/1000)*0.902</f>
        <v>49077.913807999998</v>
      </c>
      <c r="E8" s="33">
        <f>C30*'E Balans VL '!I18/100/3.6*1000000</f>
        <v>1087.7650382775141</v>
      </c>
      <c r="F8" s="33">
        <f>C30*'E Balans VL '!L18/100/3.6*1000000+C30*'E Balans VL '!N18/100/3.6*1000000</f>
        <v>13621.999592286164</v>
      </c>
      <c r="G8" s="34"/>
      <c r="H8" s="33"/>
      <c r="I8" s="33"/>
      <c r="J8" s="40">
        <f>C30*'E Balans VL '!D18/100/3.6*1000000+C30*'E Balans VL '!E18/100/3.6*1000000</f>
        <v>0</v>
      </c>
      <c r="K8" s="33"/>
      <c r="L8" s="33"/>
      <c r="M8" s="33"/>
      <c r="N8" s="33">
        <f>C30*'E Balans VL '!Y18/100/3.6*1000000</f>
        <v>1091.9417687690161</v>
      </c>
      <c r="O8" s="33"/>
      <c r="P8" s="33"/>
      <c r="R8" s="32"/>
    </row>
    <row r="9" spans="1:18">
      <c r="A9" s="6" t="s">
        <v>33</v>
      </c>
      <c r="B9" s="37">
        <f t="shared" si="0"/>
        <v>110063.37300000001</v>
      </c>
      <c r="C9" s="33"/>
      <c r="D9" s="37">
        <f>IF( ISERROR(IND_andere_gas_kWh/1000),0,IND_andere_gas_kWh/1000)*0.902</f>
        <v>12941.403507999999</v>
      </c>
      <c r="E9" s="33">
        <f>C31*'E Balans VL '!I19/100/3.6*1000000</f>
        <v>30262.913319637522</v>
      </c>
      <c r="F9" s="33">
        <f>C31*'E Balans VL '!L19/100/3.6*1000000+C31*'E Balans VL '!N19/100/3.6*1000000</f>
        <v>86749.090326005389</v>
      </c>
      <c r="G9" s="34"/>
      <c r="H9" s="33"/>
      <c r="I9" s="33"/>
      <c r="J9" s="40">
        <f>C31*'E Balans VL '!D19/100/3.6*1000000+C31*'E Balans VL '!E19/100/3.6*1000000</f>
        <v>0</v>
      </c>
      <c r="K9" s="33"/>
      <c r="L9" s="33"/>
      <c r="M9" s="33"/>
      <c r="N9" s="33">
        <f>C31*'E Balans VL '!Y19/100/3.6*1000000</f>
        <v>35630.419026995711</v>
      </c>
      <c r="O9" s="33"/>
      <c r="P9" s="33"/>
      <c r="R9" s="32"/>
    </row>
    <row r="10" spans="1:18">
      <c r="A10" s="6" t="s">
        <v>41</v>
      </c>
      <c r="B10" s="37">
        <f t="shared" si="0"/>
        <v>7973.0559999999996</v>
      </c>
      <c r="C10" s="33"/>
      <c r="D10" s="37">
        <f>IF( ISERROR(IND_voed_gas_kWh/1000),0,IND_voed_gas_kWh/1000)*0.902</f>
        <v>4867.12435</v>
      </c>
      <c r="E10" s="33">
        <f>C32*'E Balans VL '!I20/100/3.6*1000000</f>
        <v>81.280913538386542</v>
      </c>
      <c r="F10" s="33">
        <f>C32*'E Balans VL '!L20/100/3.6*1000000+C32*'E Balans VL '!N20/100/3.6*1000000</f>
        <v>15061.052917348394</v>
      </c>
      <c r="G10" s="34"/>
      <c r="H10" s="33"/>
      <c r="I10" s="33"/>
      <c r="J10" s="40">
        <f>C32*'E Balans VL '!D20/100/3.6*1000000+C32*'E Balans VL '!E20/100/3.6*1000000</f>
        <v>190.82131803734254</v>
      </c>
      <c r="K10" s="33"/>
      <c r="L10" s="33"/>
      <c r="M10" s="33"/>
      <c r="N10" s="33">
        <f>C32*'E Balans VL '!Y20/100/3.6*1000000</f>
        <v>4202.718895435748</v>
      </c>
      <c r="O10" s="33"/>
      <c r="P10" s="33"/>
      <c r="R10" s="32"/>
    </row>
    <row r="11" spans="1:18">
      <c r="A11" s="6" t="s">
        <v>40</v>
      </c>
      <c r="B11" s="37">
        <f t="shared" si="0"/>
        <v>11084.388000000001</v>
      </c>
      <c r="C11" s="33"/>
      <c r="D11" s="37">
        <f>IF( ISERROR(IND_textiel_gas_kWh/1000),0,IND_textiel_gas_kWh/1000)*0.902</f>
        <v>8015.7375540000003</v>
      </c>
      <c r="E11" s="33">
        <f>C33*'E Balans VL '!I21/100/3.6*1000000</f>
        <v>29.37905087661343</v>
      </c>
      <c r="F11" s="33">
        <f>C33*'E Balans VL '!L21/100/3.6*1000000+C33*'E Balans VL '!N21/100/3.6*1000000</f>
        <v>495.04020247764981</v>
      </c>
      <c r="G11" s="34"/>
      <c r="H11" s="33"/>
      <c r="I11" s="33"/>
      <c r="J11" s="40">
        <f>C33*'E Balans VL '!D21/100/3.6*1000000+C33*'E Balans VL '!E21/100/3.6*1000000</f>
        <v>0</v>
      </c>
      <c r="K11" s="33"/>
      <c r="L11" s="33"/>
      <c r="M11" s="33"/>
      <c r="N11" s="33">
        <f>C33*'E Balans VL '!Y21/100/3.6*1000000</f>
        <v>104.46243331268664</v>
      </c>
      <c r="O11" s="33"/>
      <c r="P11" s="33"/>
      <c r="R11" s="32"/>
    </row>
    <row r="12" spans="1:18">
      <c r="A12" s="6" t="s">
        <v>37</v>
      </c>
      <c r="B12" s="37">
        <f t="shared" si="0"/>
        <v>745.2</v>
      </c>
      <c r="C12" s="33"/>
      <c r="D12" s="37">
        <f>IF( ISERROR(IND_min_gas_kWh/1000),0,IND_min_gas_kWh/1000)*0.902</f>
        <v>645.89243399999998</v>
      </c>
      <c r="E12" s="33">
        <f>C34*'E Balans VL '!I22/100/3.6*1000000</f>
        <v>2.2568737065944258</v>
      </c>
      <c r="F12" s="33">
        <f>C34*'E Balans VL '!L22/100/3.6*1000000+C34*'E Balans VL '!N22/100/3.6*1000000</f>
        <v>23.288140675345453</v>
      </c>
      <c r="G12" s="34"/>
      <c r="H12" s="33"/>
      <c r="I12" s="33"/>
      <c r="J12" s="40">
        <f>C34*'E Balans VL '!D22/100/3.6*1000000+C34*'E Balans VL '!E22/100/3.6*1000000</f>
        <v>1.1049661741242358</v>
      </c>
      <c r="K12" s="33"/>
      <c r="L12" s="33"/>
      <c r="M12" s="33"/>
      <c r="N12" s="33">
        <f>C34*'E Balans VL '!Y22/100/3.6*1000000</f>
        <v>0</v>
      </c>
      <c r="O12" s="33"/>
      <c r="P12" s="33"/>
      <c r="R12" s="32"/>
    </row>
    <row r="13" spans="1:18">
      <c r="A13" s="6" t="s">
        <v>39</v>
      </c>
      <c r="B13" s="37">
        <f t="shared" si="0"/>
        <v>15344.833000000001</v>
      </c>
      <c r="C13" s="33"/>
      <c r="D13" s="37">
        <f>IF( ISERROR(IND_papier_gas_kWh/1000),0,IND_papier_gas_kWh/1000)*0.902</f>
        <v>6348.2101540000003</v>
      </c>
      <c r="E13" s="33">
        <f>C35*'E Balans VL '!I23/100/3.6*1000000</f>
        <v>31.780184894287046</v>
      </c>
      <c r="F13" s="33">
        <f>C35*'E Balans VL '!L23/100/3.6*1000000+C35*'E Balans VL '!N23/100/3.6*1000000</f>
        <v>304.320935097296</v>
      </c>
      <c r="G13" s="34"/>
      <c r="H13" s="33"/>
      <c r="I13" s="33"/>
      <c r="J13" s="40">
        <f>C35*'E Balans VL '!D23/100/3.6*1000000+C35*'E Balans VL '!E23/100/3.6*1000000</f>
        <v>0</v>
      </c>
      <c r="K13" s="33"/>
      <c r="L13" s="33"/>
      <c r="M13" s="33"/>
      <c r="N13" s="33">
        <f>C35*'E Balans VL '!Y23/100/3.6*1000000</f>
        <v>6479.3230310389172</v>
      </c>
      <c r="O13" s="33"/>
      <c r="P13" s="33"/>
      <c r="R13" s="32"/>
    </row>
    <row r="14" spans="1:18">
      <c r="A14" s="6" t="s">
        <v>34</v>
      </c>
      <c r="B14" s="37">
        <f t="shared" si="0"/>
        <v>57075.798999999999</v>
      </c>
      <c r="C14" s="33"/>
      <c r="D14" s="37">
        <f>IF( ISERROR(IND_chemie_gas_kWh/1000),0,IND_chemie_gas_kWh/1000)*0.902</f>
        <v>0</v>
      </c>
      <c r="E14" s="33">
        <f>C36*'E Balans VL '!I24/100/3.6*1000000</f>
        <v>213.98655047114042</v>
      </c>
      <c r="F14" s="33">
        <f>C36*'E Balans VL '!L24/100/3.6*1000000+C36*'E Balans VL '!N24/100/3.6*1000000</f>
        <v>664.01713549504871</v>
      </c>
      <c r="G14" s="34"/>
      <c r="H14" s="33"/>
      <c r="I14" s="33"/>
      <c r="J14" s="40">
        <f>C36*'E Balans VL '!D24/100/3.6*1000000+C36*'E Balans VL '!E24/100/3.6*1000000</f>
        <v>0</v>
      </c>
      <c r="K14" s="33"/>
      <c r="L14" s="33"/>
      <c r="M14" s="33"/>
      <c r="N14" s="33">
        <f>C36*'E Balans VL '!Y24/100/3.6*1000000</f>
        <v>975.11263412570588</v>
      </c>
      <c r="O14" s="33"/>
      <c r="P14" s="33"/>
      <c r="R14" s="32"/>
    </row>
    <row r="15" spans="1:18">
      <c r="A15" s="6" t="s">
        <v>270</v>
      </c>
      <c r="B15" s="37">
        <f t="shared" si="0"/>
        <v>1014.155</v>
      </c>
      <c r="C15" s="33"/>
      <c r="D15" s="37">
        <f>IF( ISERROR(IND_rest_gas_kWh/1000),0,IND_rest_gas_kWh/1000)*0.902</f>
        <v>5037.3019839999997</v>
      </c>
      <c r="E15" s="33">
        <f>C37*'E Balans VL '!I15/100/3.6*1000000</f>
        <v>51.593219225558578</v>
      </c>
      <c r="F15" s="33">
        <f>C37*'E Balans VL '!L15/100/3.6*1000000+C37*'E Balans VL '!N15/100/3.6*1000000</f>
        <v>231.16408128584797</v>
      </c>
      <c r="G15" s="34"/>
      <c r="H15" s="33"/>
      <c r="I15" s="33"/>
      <c r="J15" s="40">
        <f>C37*'E Balans VL '!D15/100/3.6*1000000+C37*'E Balans VL '!E15/100/3.6*1000000</f>
        <v>4.2547152621173971</v>
      </c>
      <c r="K15" s="33"/>
      <c r="L15" s="33"/>
      <c r="M15" s="33"/>
      <c r="N15" s="33">
        <f>C37*'E Balans VL '!Y15/100/3.6*1000000</f>
        <v>190.54337655950113</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246765.33300000004</v>
      </c>
      <c r="C18" s="21">
        <f>C5+C16</f>
        <v>0</v>
      </c>
      <c r="D18" s="21">
        <f>MAX((D5+D16),0)</f>
        <v>86933.583792000005</v>
      </c>
      <c r="E18" s="21">
        <f>MAX((E5+E16),0)</f>
        <v>31760.955150627618</v>
      </c>
      <c r="F18" s="21">
        <f>MAX((F5+F16),0)</f>
        <v>117149.97333067113</v>
      </c>
      <c r="G18" s="21"/>
      <c r="H18" s="21"/>
      <c r="I18" s="21"/>
      <c r="J18" s="21">
        <f>MAX((J5+J16),0)</f>
        <v>196.18099947358417</v>
      </c>
      <c r="K18" s="21"/>
      <c r="L18" s="21">
        <f>MAX((L5+L16),0)</f>
        <v>0</v>
      </c>
      <c r="M18" s="21"/>
      <c r="N18" s="21">
        <f>MAX((N5+N16),0)</f>
        <v>48674.521166237282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0.19560779082445034</v>
      </c>
      <c r="C20" s="25">
        <f ca="1">'EF ele_warmte'!B22</f>
        <v>0.23670079635949945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48269.22164018984</v>
      </c>
      <c r="C22" s="23">
        <f ca="1">C18*C20</f>
        <v>0</v>
      </c>
      <c r="D22" s="23">
        <f>D18*D20</f>
        <v>17560.583925984003</v>
      </c>
      <c r="E22" s="23">
        <f>E18*E20</f>
        <v>7209.7368191924697</v>
      </c>
      <c r="F22" s="23">
        <f>F18*F20</f>
        <v>31279.042879289194</v>
      </c>
      <c r="G22" s="23"/>
      <c r="H22" s="23"/>
      <c r="I22" s="23"/>
      <c r="J22" s="23">
        <f>J18*J20</f>
        <v>69.44807381364879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43464.529000000002</v>
      </c>
      <c r="C30" s="39">
        <f>IF(ISERROR(B30*3.6/1000000/'E Balans VL '!Z18*100),0,B30*3.6/1000000/'E Balans VL '!Z18*100)</f>
        <v>6.0835855885693695</v>
      </c>
      <c r="D30" s="237" t="s">
        <v>692</v>
      </c>
    </row>
    <row r="31" spans="1:18">
      <c r="A31" s="6" t="s">
        <v>33</v>
      </c>
      <c r="B31" s="37">
        <f>IF( ISERROR(IND_ander_ele_kWh/1000),0,IND_ander_ele_kWh/1000)</f>
        <v>110063.37300000001</v>
      </c>
      <c r="C31" s="39">
        <f>IF(ISERROR(B31*3.6/1000000/'E Balans VL '!Z19*100),0,B31*3.6/1000000/'E Balans VL '!Z19*100)</f>
        <v>4.8174559813941888</v>
      </c>
      <c r="D31" s="237" t="s">
        <v>692</v>
      </c>
    </row>
    <row r="32" spans="1:18">
      <c r="A32" s="171" t="s">
        <v>41</v>
      </c>
      <c r="B32" s="37">
        <f>IF( ISERROR(IND_voed_ele_kWh/1000),0,IND_voed_ele_kWh/1000)</f>
        <v>7973.0559999999996</v>
      </c>
      <c r="C32" s="39">
        <f>IF(ISERROR(B32*3.6/1000000/'E Balans VL '!Z20*100),0,B32*3.6/1000000/'E Balans VL '!Z20*100)</f>
        <v>1.9738638934702524</v>
      </c>
      <c r="D32" s="237" t="s">
        <v>692</v>
      </c>
    </row>
    <row r="33" spans="1:5">
      <c r="A33" s="171" t="s">
        <v>40</v>
      </c>
      <c r="B33" s="37">
        <f>IF( ISERROR(IND_textiel_ele_kWh/1000),0,IND_textiel_ele_kWh/1000)</f>
        <v>11084.388000000001</v>
      </c>
      <c r="C33" s="39">
        <f>IF(ISERROR(B33*3.6/1000000/'E Balans VL '!Z21*100),0,B33*3.6/1000000/'E Balans VL '!Z21*100)</f>
        <v>1.2490152743065073</v>
      </c>
      <c r="D33" s="237" t="s">
        <v>692</v>
      </c>
    </row>
    <row r="34" spans="1:5">
      <c r="A34" s="171" t="s">
        <v>37</v>
      </c>
      <c r="B34" s="37">
        <f>IF( ISERROR(IND_min_ele_kWh/1000),0,IND_min_ele_kWh/1000)</f>
        <v>745.2</v>
      </c>
      <c r="C34" s="39">
        <f>IF(ISERROR(B34*3.6/1000000/'E Balans VL '!Z22*100),0,B34*3.6/1000000/'E Balans VL '!Z22*100)</f>
        <v>2.1145735747396723E-2</v>
      </c>
      <c r="D34" s="237" t="s">
        <v>692</v>
      </c>
    </row>
    <row r="35" spans="1:5">
      <c r="A35" s="171" t="s">
        <v>39</v>
      </c>
      <c r="B35" s="37">
        <f>IF( ISERROR(IND_papier_ele_kWh/1000),0,IND_papier_ele_kWh/1000)</f>
        <v>15344.833000000001</v>
      </c>
      <c r="C35" s="39">
        <f>IF(ISERROR(B35*3.6/1000000/'E Balans VL '!Z22*100),0,B35*3.6/1000000/'E Balans VL '!Z22*100)</f>
        <v>0.43542375698595392</v>
      </c>
      <c r="D35" s="237" t="s">
        <v>692</v>
      </c>
    </row>
    <row r="36" spans="1:5">
      <c r="A36" s="171" t="s">
        <v>34</v>
      </c>
      <c r="B36" s="37">
        <f>IF( ISERROR(IND_chemie_ele_kWh/1000),0,IND_chemie_ele_kWh/1000)</f>
        <v>57075.798999999999</v>
      </c>
      <c r="C36" s="39">
        <f>IF(ISERROR(B36*3.6/1000000/'E Balans VL '!Z24*100),0,B36*3.6/1000000/'E Balans VL '!Z24*100)</f>
        <v>1.4553457576008075</v>
      </c>
      <c r="D36" s="237" t="s">
        <v>692</v>
      </c>
    </row>
    <row r="37" spans="1:5">
      <c r="A37" s="171" t="s">
        <v>270</v>
      </c>
      <c r="B37" s="37">
        <f>IF( ISERROR(IND_rest_ele_kWh/1000),0,IND_rest_ele_kWh/1000)</f>
        <v>1014.155</v>
      </c>
      <c r="C37" s="39">
        <f>IF(ISERROR(B37*3.6/1000000/'E Balans VL '!Z15*100),0,B37*3.6/1000000/'E Balans VL '!Z15*100)</f>
        <v>7.5197856943165671E-3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543.94399999999996</v>
      </c>
      <c r="C5" s="17">
        <f>'Eigen informatie GS &amp; warmtenet'!B60</f>
        <v>0</v>
      </c>
      <c r="D5" s="30">
        <f>IF(ISERROR(SUM(LB_lb_gas_kWh,LB_rest_gas_kWh)/1000),0,SUM(LB_lb_gas_kWh,LB_rest_gas_kWh)/1000)*0.902</f>
        <v>1022.046278</v>
      </c>
      <c r="E5" s="17">
        <f>B17*'E Balans VL '!I25/3.6*1000000/100</f>
        <v>5.0382371526892831</v>
      </c>
      <c r="F5" s="17">
        <f>B17*('E Balans VL '!L25/3.6*1000000+'E Balans VL '!N25/3.6*1000000)/100</f>
        <v>1380.0895492256618</v>
      </c>
      <c r="G5" s="18"/>
      <c r="H5" s="17"/>
      <c r="I5" s="17"/>
      <c r="J5" s="17">
        <f>('E Balans VL '!D25+'E Balans VL '!E25)/3.6*1000000*landbouw!B17/100</f>
        <v>83.392685632757136</v>
      </c>
      <c r="K5" s="17"/>
      <c r="L5" s="17">
        <f>L6*(-1)</f>
        <v>0</v>
      </c>
      <c r="M5" s="17"/>
      <c r="N5" s="17">
        <f>N6*(-1)</f>
        <v>0</v>
      </c>
      <c r="O5" s="17"/>
      <c r="P5" s="17"/>
      <c r="R5" s="32"/>
    </row>
    <row r="6" spans="1:18">
      <c r="A6" s="16" t="s">
        <v>494</v>
      </c>
      <c r="B6" s="17" t="s">
        <v>211</v>
      </c>
      <c r="C6" s="17">
        <f>'lokale energieproductie'!O92+'lokale energieproductie'!O61</f>
        <v>22.5</v>
      </c>
      <c r="D6" s="310">
        <f>('lokale energieproductie'!P61+'lokale energieproductie'!P92)*(-1)</f>
        <v>-30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543.94399999999996</v>
      </c>
      <c r="C8" s="21">
        <f>C5+C6</f>
        <v>22.5</v>
      </c>
      <c r="D8" s="21">
        <f>MAX((D5+D6),0)</f>
        <v>992.04627800000003</v>
      </c>
      <c r="E8" s="21">
        <f>MAX((E5+E6),0)</f>
        <v>5.0382371526892831</v>
      </c>
      <c r="F8" s="21">
        <f>MAX((F5+F6),0)</f>
        <v>1380.0895492256618</v>
      </c>
      <c r="G8" s="21"/>
      <c r="H8" s="21"/>
      <c r="I8" s="21"/>
      <c r="J8" s="21">
        <f>MAX((J5+J6),0)</f>
        <v>83.392685632757136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0.19560779082445034</v>
      </c>
      <c r="C10" s="31">
        <f ca="1">'EF ele_warmte'!B22</f>
        <v>0.23670079635949945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106.3996841722148</v>
      </c>
      <c r="C12" s="23">
        <f ca="1">C8*C10</f>
        <v>5.3257679180887374</v>
      </c>
      <c r="D12" s="23">
        <f>D8*D10</f>
        <v>200.39334815600003</v>
      </c>
      <c r="E12" s="23">
        <f>E8*E10</f>
        <v>1.1436798336604672</v>
      </c>
      <c r="F12" s="23">
        <f>F8*F10</f>
        <v>368.48390964325171</v>
      </c>
      <c r="G12" s="23"/>
      <c r="H12" s="23"/>
      <c r="I12" s="23"/>
      <c r="J12" s="23">
        <f>J8*J10</f>
        <v>29.521010713996024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7.7337303193626861E-2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3.9713918361998859</v>
      </c>
      <c r="C26" s="247">
        <f>B26*'GWP N2O_CH4'!B5</f>
        <v>83.399228560197599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0.28214823672091732</v>
      </c>
      <c r="C27" s="247">
        <f>B27*'GWP N2O_CH4'!B5</f>
        <v>5.9251129711392636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3.6256981941008098E-2</v>
      </c>
      <c r="C28" s="247">
        <f>B28*'GWP N2O_CH4'!B4</f>
        <v>11.23966440171251</v>
      </c>
      <c r="D28" s="50"/>
    </row>
    <row r="29" spans="1:4">
      <c r="A29" s="41" t="s">
        <v>277</v>
      </c>
      <c r="B29" s="247">
        <f>B34*'ha_N2O bodem landbouw'!B4</f>
        <v>2.998763577857988</v>
      </c>
      <c r="C29" s="247">
        <f>B29*'GWP N2O_CH4'!B4</f>
        <v>929.61670913597629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6.7256984036488025E-4</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2.1307492050228304E-4</v>
      </c>
      <c r="C5" s="464" t="s">
        <v>211</v>
      </c>
      <c r="D5" s="449">
        <f>SUM(D6:D11)</f>
        <v>5.4897996739968521E-4</v>
      </c>
      <c r="E5" s="449">
        <f>SUM(E6:E11)</f>
        <v>3.8194884055481448E-3</v>
      </c>
      <c r="F5" s="462" t="s">
        <v>211</v>
      </c>
      <c r="G5" s="449">
        <f>SUM(G6:G11)</f>
        <v>1.189017477770645</v>
      </c>
      <c r="H5" s="449">
        <f>SUM(H6:H11)</f>
        <v>0.21108139327012343</v>
      </c>
      <c r="I5" s="464" t="s">
        <v>211</v>
      </c>
      <c r="J5" s="464" t="s">
        <v>211</v>
      </c>
      <c r="K5" s="464" t="s">
        <v>211</v>
      </c>
      <c r="L5" s="464" t="s">
        <v>211</v>
      </c>
      <c r="M5" s="449">
        <f>SUM(M6:M11)</f>
        <v>7.527709587164351E-2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1.0945302389941292E-4</v>
      </c>
      <c r="C6" s="450"/>
      <c r="D6" s="893">
        <f>vkm_2011_GW_PW*SUMIFS(TableVerdeelsleutelVkm[CNG],TableVerdeelsleutelVkm[Voertuigtype],"Lichte voertuigen")*SUMIFS(TableECFTransport[EnergieConsumptieFactor (PJ per km)],TableECFTransport[Index],CONCATENATE($A6,"_CNG_CNG"))</f>
        <v>2.5317689455809435E-4</v>
      </c>
      <c r="E6" s="893">
        <f>vkm_2011_GW_PW*SUMIFS(TableVerdeelsleutelVkm[LPG],TableVerdeelsleutelVkm[Voertuigtype],"Lichte voertuigen")*SUMIFS(TableECFTransport[EnergieConsumptieFactor (PJ per km)],TableECFTransport[Index],CONCATENATE($A6,"_LPG_LPG"))</f>
        <v>1.6485350481182197E-3</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0.34247095993931531</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9.6535486233052956E-2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2.2782158776867713E-2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0.17323837823528915</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5.9244379200965012E-5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1.002282214060196E-2</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2.6705182515326636E-5</v>
      </c>
      <c r="C8" s="450"/>
      <c r="D8" s="452">
        <f>vkm_2011_NGW_PW*SUMIFS(TableVerdeelsleutelVkm[CNG],TableVerdeelsleutelVkm[Voertuigtype],"Lichte voertuigen")*SUMIFS(TableECFTransport[EnergieConsumptieFactor (PJ per km)],TableECFTransport[Index],CONCATENATE($A8,"_CNG_CNG"))</f>
        <v>1.0925666375160812E-4</v>
      </c>
      <c r="E8" s="452">
        <f>vkm_2011_NGW_PW*SUMIFS(TableVerdeelsleutelVkm[LPG],TableVerdeelsleutelVkm[Voertuigtype],"Lichte voertuigen")*SUMIFS(TableECFTransport[EnergieConsumptieFactor (PJ per km)],TableECFTransport[Index],CONCATENATE($A8,"_LPG_LPG"))</f>
        <v>6.5656056907509829E-4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0.12750309798454421</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4.0281499736606267E-2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8.6155143766152662E-3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2.7556394037642771E-3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8.9169281148349111E-7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1.5942779880038574E-4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7.6916714087543471E-5</v>
      </c>
      <c r="C10" s="450"/>
      <c r="D10" s="452">
        <f>vkm_2011_SW_PW*SUMIFS(TableVerdeelsleutelVkm[CNG],TableVerdeelsleutelVkm[Voertuigtype],"Lichte voertuigen")*SUMIFS(TableECFTransport[EnergieConsumptieFactor (PJ per km)],TableECFTransport[Index],CONCATENATE($A10,"_CNG_CNG"))</f>
        <v>1.8654640908998275E-4</v>
      </c>
      <c r="E10" s="452">
        <f>vkm_2011_SW_PW*SUMIFS(TableVerdeelsleutelVkm[LPG],TableVerdeelsleutelVkm[Voertuigtype],"Lichte voertuigen")*SUMIFS(TableECFTransport[EnergieConsumptieFactor (PJ per km)],TableECFTransport[Index],CONCATENATE($A10,"_LPG_LPG"))</f>
        <v>1.5143927883548268E-3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0.28323493340243344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7.4108513419954128E-2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1.866522046020774E-2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0.25981446880529857</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9.57578084976365E-5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1.5031952318550455E-2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59.187477917300839</v>
      </c>
      <c r="C14" s="21"/>
      <c r="D14" s="21">
        <f t="shared" ref="D14:M14" si="0">((D5)*10^9/3600)+D12</f>
        <v>152.49443538880143</v>
      </c>
      <c r="E14" s="21">
        <f t="shared" si="0"/>
        <v>1060.9690015411513</v>
      </c>
      <c r="F14" s="21"/>
      <c r="G14" s="21">
        <f t="shared" si="0"/>
        <v>330282.63271406811</v>
      </c>
      <c r="H14" s="21">
        <f t="shared" si="0"/>
        <v>58633.720352812059</v>
      </c>
      <c r="I14" s="21"/>
      <c r="J14" s="21"/>
      <c r="K14" s="21"/>
      <c r="L14" s="21"/>
      <c r="M14" s="21">
        <f t="shared" si="0"/>
        <v>20910.304408789863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0.19560779082445034</v>
      </c>
      <c r="C16" s="56">
        <f ca="1">'EF ele_warmte'!B22</f>
        <v>0.23670079635949945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11.577531799874157</v>
      </c>
      <c r="C18" s="23"/>
      <c r="D18" s="23">
        <f t="shared" ref="D18:M18" si="1">D14*D16</f>
        <v>30.803875948537893</v>
      </c>
      <c r="E18" s="23">
        <f t="shared" si="1"/>
        <v>240.83996334984136</v>
      </c>
      <c r="F18" s="23"/>
      <c r="G18" s="23">
        <f t="shared" si="1"/>
        <v>88185.462934656185</v>
      </c>
      <c r="H18" s="23">
        <f t="shared" si="1"/>
        <v>14599.796367850202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5.4226105023196719E-2</v>
      </c>
      <c r="H50" s="321">
        <f t="shared" si="2"/>
        <v>0</v>
      </c>
      <c r="I50" s="321">
        <f t="shared" si="2"/>
        <v>0</v>
      </c>
      <c r="J50" s="321">
        <f t="shared" si="2"/>
        <v>0</v>
      </c>
      <c r="K50" s="321">
        <f t="shared" si="2"/>
        <v>0</v>
      </c>
      <c r="L50" s="321">
        <f t="shared" si="2"/>
        <v>0</v>
      </c>
      <c r="M50" s="321">
        <f t="shared" si="2"/>
        <v>3.092356691837452E-3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5.4226105023196719E-2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3.092356691837452E-3</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15062.806950887978</v>
      </c>
      <c r="H54" s="21">
        <f t="shared" si="3"/>
        <v>0</v>
      </c>
      <c r="I54" s="21">
        <f t="shared" si="3"/>
        <v>0</v>
      </c>
      <c r="J54" s="21">
        <f t="shared" si="3"/>
        <v>0</v>
      </c>
      <c r="K54" s="21">
        <f t="shared" si="3"/>
        <v>0</v>
      </c>
      <c r="L54" s="21">
        <f t="shared" si="3"/>
        <v>0</v>
      </c>
      <c r="M54" s="21">
        <f t="shared" si="3"/>
        <v>858.9879699548477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0.19560779082445034</v>
      </c>
      <c r="C56" s="56">
        <f ca="1">'EF ele_warmte'!B22</f>
        <v>0.23670079635949945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4021.7694558870903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152293.22200000001</v>
      </c>
      <c r="D10" s="1025">
        <f ca="1">tertiair!C16</f>
        <v>205.71428571428572</v>
      </c>
      <c r="E10" s="1025">
        <f ca="1">tertiair!D16</f>
        <v>110990.27716257142</v>
      </c>
      <c r="F10" s="1025">
        <f>tertiair!E16</f>
        <v>1205.3095460238915</v>
      </c>
      <c r="G10" s="1025">
        <f ca="1">tertiair!F16</f>
        <v>21017.177064804026</v>
      </c>
      <c r="H10" s="1025">
        <f>tertiair!G16</f>
        <v>0</v>
      </c>
      <c r="I10" s="1025">
        <f>tertiair!H16</f>
        <v>0</v>
      </c>
      <c r="J10" s="1025">
        <f>tertiair!I16</f>
        <v>0</v>
      </c>
      <c r="K10" s="1025">
        <f>tertiair!J16</f>
        <v>0</v>
      </c>
      <c r="L10" s="1025">
        <f>tertiair!K16</f>
        <v>0</v>
      </c>
      <c r="M10" s="1025">
        <f ca="1">tertiair!L16</f>
        <v>0</v>
      </c>
      <c r="N10" s="1025">
        <f>tertiair!M16</f>
        <v>0</v>
      </c>
      <c r="O10" s="1025">
        <f ca="1">tertiair!N16</f>
        <v>8055.1047171449291</v>
      </c>
      <c r="P10" s="1025">
        <f>tertiair!O16</f>
        <v>4.6900000000000004</v>
      </c>
      <c r="Q10" s="1026">
        <f>tertiair!P16</f>
        <v>95.333333333333343</v>
      </c>
      <c r="R10" s="701">
        <f ca="1">SUM(C10:Q10)</f>
        <v>293866.82810959185</v>
      </c>
      <c r="S10" s="67"/>
    </row>
    <row r="11" spans="1:19" s="474" customFormat="1">
      <c r="A11" s="810" t="s">
        <v>225</v>
      </c>
      <c r="B11" s="815"/>
      <c r="C11" s="1025">
        <f>huishoudens!B8</f>
        <v>130223.62247910381</v>
      </c>
      <c r="D11" s="1025">
        <f>huishoudens!C8</f>
        <v>0</v>
      </c>
      <c r="E11" s="1025">
        <f>huishoudens!D8</f>
        <v>170116.14105199999</v>
      </c>
      <c r="F11" s="1025">
        <f>huishoudens!E8</f>
        <v>1865.1150773315426</v>
      </c>
      <c r="G11" s="1025">
        <f>huishoudens!F8</f>
        <v>154886.92959868343</v>
      </c>
      <c r="H11" s="1025">
        <f>huishoudens!G8</f>
        <v>0</v>
      </c>
      <c r="I11" s="1025">
        <f>huishoudens!H8</f>
        <v>0</v>
      </c>
      <c r="J11" s="1025">
        <f>huishoudens!I8</f>
        <v>0</v>
      </c>
      <c r="K11" s="1025">
        <f>huishoudens!J8</f>
        <v>0</v>
      </c>
      <c r="L11" s="1025">
        <f>huishoudens!K8</f>
        <v>0</v>
      </c>
      <c r="M11" s="1025">
        <f>huishoudens!L8</f>
        <v>0</v>
      </c>
      <c r="N11" s="1025">
        <f>huishoudens!M8</f>
        <v>0</v>
      </c>
      <c r="O11" s="1025">
        <f>huishoudens!N8</f>
        <v>8817.0306733381749</v>
      </c>
      <c r="P11" s="1025">
        <f>huishoudens!O8</f>
        <v>1109.9666666666667</v>
      </c>
      <c r="Q11" s="1026">
        <f>huishoudens!P8</f>
        <v>1639.7333333333333</v>
      </c>
      <c r="R11" s="701">
        <f>SUM(C11:Q11)</f>
        <v>468658.53888045694</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246765.33300000004</v>
      </c>
      <c r="D13" s="1025">
        <f>industrie!C18</f>
        <v>0</v>
      </c>
      <c r="E13" s="1025">
        <f>industrie!D18</f>
        <v>86933.583792000005</v>
      </c>
      <c r="F13" s="1025">
        <f>industrie!E18</f>
        <v>31760.955150627618</v>
      </c>
      <c r="G13" s="1025">
        <f>industrie!F18</f>
        <v>117149.97333067113</v>
      </c>
      <c r="H13" s="1025">
        <f>industrie!G18</f>
        <v>0</v>
      </c>
      <c r="I13" s="1025">
        <f>industrie!H18</f>
        <v>0</v>
      </c>
      <c r="J13" s="1025">
        <f>industrie!I18</f>
        <v>0</v>
      </c>
      <c r="K13" s="1025">
        <f>industrie!J18</f>
        <v>196.18099947358417</v>
      </c>
      <c r="L13" s="1025">
        <f>industrie!K18</f>
        <v>0</v>
      </c>
      <c r="M13" s="1025">
        <f>industrie!L18</f>
        <v>0</v>
      </c>
      <c r="N13" s="1025">
        <f>industrie!M18</f>
        <v>0</v>
      </c>
      <c r="O13" s="1025">
        <f>industrie!N18</f>
        <v>48674.521166237282</v>
      </c>
      <c r="P13" s="1025">
        <f>industrie!O18</f>
        <v>0</v>
      </c>
      <c r="Q13" s="1026">
        <f>industrie!P18</f>
        <v>0</v>
      </c>
      <c r="R13" s="701">
        <f>SUM(C13:Q13)</f>
        <v>531480.54743900977</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529282.17747910391</v>
      </c>
      <c r="D16" s="733">
        <f t="shared" ref="D16:R16" ca="1" si="0">SUM(D9:D15)</f>
        <v>205.71428571428572</v>
      </c>
      <c r="E16" s="733">
        <f t="shared" ca="1" si="0"/>
        <v>368040.00200657145</v>
      </c>
      <c r="F16" s="733">
        <f t="shared" si="0"/>
        <v>34831.379773983055</v>
      </c>
      <c r="G16" s="733">
        <f t="shared" ca="1" si="0"/>
        <v>293054.07999415859</v>
      </c>
      <c r="H16" s="733">
        <f t="shared" si="0"/>
        <v>0</v>
      </c>
      <c r="I16" s="733">
        <f t="shared" si="0"/>
        <v>0</v>
      </c>
      <c r="J16" s="733">
        <f t="shared" si="0"/>
        <v>0</v>
      </c>
      <c r="K16" s="733">
        <f t="shared" si="0"/>
        <v>196.18099947358417</v>
      </c>
      <c r="L16" s="733">
        <f t="shared" si="0"/>
        <v>0</v>
      </c>
      <c r="M16" s="733">
        <f t="shared" ca="1" si="0"/>
        <v>0</v>
      </c>
      <c r="N16" s="733">
        <f t="shared" si="0"/>
        <v>0</v>
      </c>
      <c r="O16" s="733">
        <f t="shared" ca="1" si="0"/>
        <v>65546.65655672038</v>
      </c>
      <c r="P16" s="733">
        <f t="shared" si="0"/>
        <v>1114.6566666666668</v>
      </c>
      <c r="Q16" s="733">
        <f t="shared" si="0"/>
        <v>1735.0666666666666</v>
      </c>
      <c r="R16" s="733">
        <f t="shared" ca="1" si="0"/>
        <v>1294005.9144290586</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15062.806950887978</v>
      </c>
      <c r="I19" s="1025">
        <f>transport!H54</f>
        <v>0</v>
      </c>
      <c r="J19" s="1025">
        <f>transport!I54</f>
        <v>0</v>
      </c>
      <c r="K19" s="1025">
        <f>transport!J54</f>
        <v>0</v>
      </c>
      <c r="L19" s="1025">
        <f>transport!K54</f>
        <v>0</v>
      </c>
      <c r="M19" s="1025">
        <f>transport!L54</f>
        <v>0</v>
      </c>
      <c r="N19" s="1025">
        <f>transport!M54</f>
        <v>858.9879699548477</v>
      </c>
      <c r="O19" s="1025">
        <f>transport!N54</f>
        <v>0</v>
      </c>
      <c r="P19" s="1025">
        <f>transport!O54</f>
        <v>0</v>
      </c>
      <c r="Q19" s="1026">
        <f>transport!P54</f>
        <v>0</v>
      </c>
      <c r="R19" s="701">
        <f>SUM(C19:Q19)</f>
        <v>15921.794920842825</v>
      </c>
      <c r="S19" s="67"/>
    </row>
    <row r="20" spans="1:19" s="474" customFormat="1">
      <c r="A20" s="810" t="s">
        <v>307</v>
      </c>
      <c r="B20" s="815"/>
      <c r="C20" s="1025">
        <f>transport!B14</f>
        <v>59.187477917300839</v>
      </c>
      <c r="D20" s="1025">
        <f>transport!C14</f>
        <v>0</v>
      </c>
      <c r="E20" s="1025">
        <f>transport!D14</f>
        <v>152.49443538880143</v>
      </c>
      <c r="F20" s="1025">
        <f>transport!E14</f>
        <v>1060.9690015411513</v>
      </c>
      <c r="G20" s="1025">
        <f>transport!F14</f>
        <v>0</v>
      </c>
      <c r="H20" s="1025">
        <f>transport!G14</f>
        <v>330282.63271406811</v>
      </c>
      <c r="I20" s="1025">
        <f>transport!H14</f>
        <v>58633.720352812059</v>
      </c>
      <c r="J20" s="1025">
        <f>transport!I14</f>
        <v>0</v>
      </c>
      <c r="K20" s="1025">
        <f>transport!J14</f>
        <v>0</v>
      </c>
      <c r="L20" s="1025">
        <f>transport!K14</f>
        <v>0</v>
      </c>
      <c r="M20" s="1025">
        <f>transport!L14</f>
        <v>0</v>
      </c>
      <c r="N20" s="1025">
        <f>transport!M14</f>
        <v>20910.304408789863</v>
      </c>
      <c r="O20" s="1025">
        <f>transport!N14</f>
        <v>0</v>
      </c>
      <c r="P20" s="1025">
        <f>transport!O14</f>
        <v>0</v>
      </c>
      <c r="Q20" s="1026">
        <f>transport!P14</f>
        <v>0</v>
      </c>
      <c r="R20" s="701">
        <f>SUM(C20:Q20)</f>
        <v>411099.30839051725</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59.187477917300839</v>
      </c>
      <c r="D22" s="813">
        <f t="shared" ref="D22:R22" si="1">SUM(D18:D21)</f>
        <v>0</v>
      </c>
      <c r="E22" s="813">
        <f t="shared" si="1"/>
        <v>152.49443538880143</v>
      </c>
      <c r="F22" s="813">
        <f t="shared" si="1"/>
        <v>1060.9690015411513</v>
      </c>
      <c r="G22" s="813">
        <f t="shared" si="1"/>
        <v>0</v>
      </c>
      <c r="H22" s="813">
        <f t="shared" si="1"/>
        <v>345345.43966495607</v>
      </c>
      <c r="I22" s="813">
        <f t="shared" si="1"/>
        <v>58633.720352812059</v>
      </c>
      <c r="J22" s="813">
        <f t="shared" si="1"/>
        <v>0</v>
      </c>
      <c r="K22" s="813">
        <f t="shared" si="1"/>
        <v>0</v>
      </c>
      <c r="L22" s="813">
        <f t="shared" si="1"/>
        <v>0</v>
      </c>
      <c r="M22" s="813">
        <f t="shared" si="1"/>
        <v>0</v>
      </c>
      <c r="N22" s="813">
        <f t="shared" si="1"/>
        <v>21769.292378744711</v>
      </c>
      <c r="O22" s="813">
        <f t="shared" si="1"/>
        <v>0</v>
      </c>
      <c r="P22" s="813">
        <f t="shared" si="1"/>
        <v>0</v>
      </c>
      <c r="Q22" s="813">
        <f t="shared" si="1"/>
        <v>0</v>
      </c>
      <c r="R22" s="813">
        <f t="shared" si="1"/>
        <v>427021.10331136006</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543.94399999999996</v>
      </c>
      <c r="D24" s="1025">
        <f>+landbouw!C8</f>
        <v>22.5</v>
      </c>
      <c r="E24" s="1025">
        <f>+landbouw!D8</f>
        <v>992.04627800000003</v>
      </c>
      <c r="F24" s="1025">
        <f>+landbouw!E8</f>
        <v>5.0382371526892831</v>
      </c>
      <c r="G24" s="1025">
        <f>+landbouw!F8</f>
        <v>1380.0895492256618</v>
      </c>
      <c r="H24" s="1025">
        <f>+landbouw!G8</f>
        <v>0</v>
      </c>
      <c r="I24" s="1025">
        <f>+landbouw!H8</f>
        <v>0</v>
      </c>
      <c r="J24" s="1025">
        <f>+landbouw!I8</f>
        <v>0</v>
      </c>
      <c r="K24" s="1025">
        <f>+landbouw!J8</f>
        <v>83.392685632757136</v>
      </c>
      <c r="L24" s="1025">
        <f>+landbouw!K8</f>
        <v>0</v>
      </c>
      <c r="M24" s="1025">
        <f>+landbouw!L8</f>
        <v>0</v>
      </c>
      <c r="N24" s="1025">
        <f>+landbouw!M8</f>
        <v>0</v>
      </c>
      <c r="O24" s="1025">
        <f>+landbouw!N8</f>
        <v>0</v>
      </c>
      <c r="P24" s="1025">
        <f>+landbouw!O8</f>
        <v>0</v>
      </c>
      <c r="Q24" s="1026">
        <f>+landbouw!P8</f>
        <v>0</v>
      </c>
      <c r="R24" s="701">
        <f>SUM(C24:Q24)</f>
        <v>3027.010750011108</v>
      </c>
      <c r="S24" s="67"/>
    </row>
    <row r="25" spans="1:19" s="474" customFormat="1" ht="15" thickBot="1">
      <c r="A25" s="832" t="s">
        <v>864</v>
      </c>
      <c r="B25" s="1028"/>
      <c r="C25" s="1029">
        <f>IF(Onbekend_ele_kWh="---",0,Onbekend_ele_kWh)/1000+IF(REST_rest_ele_kWh="---",0,REST_rest_ele_kWh)/1000</f>
        <v>3882.8760000000002</v>
      </c>
      <c r="D25" s="1029"/>
      <c r="E25" s="1029">
        <f>IF(onbekend_gas_kWh="---",0,onbekend_gas_kWh)/1000+IF(REST_rest_gas_kWh="---",0,REST_rest_gas_kWh)/1000</f>
        <v>6652.8239999999996</v>
      </c>
      <c r="F25" s="1029"/>
      <c r="G25" s="1029"/>
      <c r="H25" s="1029"/>
      <c r="I25" s="1029"/>
      <c r="J25" s="1029"/>
      <c r="K25" s="1029"/>
      <c r="L25" s="1029"/>
      <c r="M25" s="1029"/>
      <c r="N25" s="1029"/>
      <c r="O25" s="1029"/>
      <c r="P25" s="1029"/>
      <c r="Q25" s="1030"/>
      <c r="R25" s="701">
        <f>SUM(C25:Q25)</f>
        <v>10535.7</v>
      </c>
      <c r="S25" s="67"/>
    </row>
    <row r="26" spans="1:19" s="474" customFormat="1" ht="15.75" thickBot="1">
      <c r="A26" s="706" t="s">
        <v>865</v>
      </c>
      <c r="B26" s="818"/>
      <c r="C26" s="813">
        <f>SUM(C24:C25)</f>
        <v>4426.82</v>
      </c>
      <c r="D26" s="813">
        <f t="shared" ref="D26:R26" si="2">SUM(D24:D25)</f>
        <v>22.5</v>
      </c>
      <c r="E26" s="813">
        <f t="shared" si="2"/>
        <v>7644.8702779999994</v>
      </c>
      <c r="F26" s="813">
        <f t="shared" si="2"/>
        <v>5.0382371526892831</v>
      </c>
      <c r="G26" s="813">
        <f t="shared" si="2"/>
        <v>1380.0895492256618</v>
      </c>
      <c r="H26" s="813">
        <f t="shared" si="2"/>
        <v>0</v>
      </c>
      <c r="I26" s="813">
        <f t="shared" si="2"/>
        <v>0</v>
      </c>
      <c r="J26" s="813">
        <f t="shared" si="2"/>
        <v>0</v>
      </c>
      <c r="K26" s="813">
        <f t="shared" si="2"/>
        <v>83.392685632757136</v>
      </c>
      <c r="L26" s="813">
        <f t="shared" si="2"/>
        <v>0</v>
      </c>
      <c r="M26" s="813">
        <f t="shared" si="2"/>
        <v>0</v>
      </c>
      <c r="N26" s="813">
        <f t="shared" si="2"/>
        <v>0</v>
      </c>
      <c r="O26" s="813">
        <f t="shared" si="2"/>
        <v>0</v>
      </c>
      <c r="P26" s="813">
        <f t="shared" si="2"/>
        <v>0</v>
      </c>
      <c r="Q26" s="813">
        <f t="shared" si="2"/>
        <v>0</v>
      </c>
      <c r="R26" s="813">
        <f t="shared" si="2"/>
        <v>13562.710750011109</v>
      </c>
      <c r="S26" s="67"/>
    </row>
    <row r="27" spans="1:19" s="474" customFormat="1" ht="17.25" thickTop="1" thickBot="1">
      <c r="A27" s="707" t="s">
        <v>116</v>
      </c>
      <c r="B27" s="806"/>
      <c r="C27" s="708">
        <f ca="1">C22+C16+C26</f>
        <v>533768.18495702115</v>
      </c>
      <c r="D27" s="708">
        <f t="shared" ref="D27:R27" ca="1" si="3">D22+D16+D26</f>
        <v>228.21428571428572</v>
      </c>
      <c r="E27" s="708">
        <f t="shared" ca="1" si="3"/>
        <v>375837.36671996029</v>
      </c>
      <c r="F27" s="708">
        <f t="shared" si="3"/>
        <v>35897.387012676896</v>
      </c>
      <c r="G27" s="708">
        <f t="shared" ca="1" si="3"/>
        <v>294434.16954338423</v>
      </c>
      <c r="H27" s="708">
        <f t="shared" si="3"/>
        <v>345345.43966495607</v>
      </c>
      <c r="I27" s="708">
        <f t="shared" si="3"/>
        <v>58633.720352812059</v>
      </c>
      <c r="J27" s="708">
        <f t="shared" si="3"/>
        <v>0</v>
      </c>
      <c r="K27" s="708">
        <f t="shared" si="3"/>
        <v>279.57368510634132</v>
      </c>
      <c r="L27" s="708">
        <f t="shared" si="3"/>
        <v>0</v>
      </c>
      <c r="M27" s="708">
        <f t="shared" ca="1" si="3"/>
        <v>0</v>
      </c>
      <c r="N27" s="708">
        <f t="shared" si="3"/>
        <v>21769.292378744711</v>
      </c>
      <c r="O27" s="708">
        <f t="shared" ca="1" si="3"/>
        <v>65546.65655672038</v>
      </c>
      <c r="P27" s="708">
        <f t="shared" si="3"/>
        <v>1114.6566666666668</v>
      </c>
      <c r="Q27" s="708">
        <f t="shared" si="3"/>
        <v>1735.0666666666666</v>
      </c>
      <c r="R27" s="708">
        <f t="shared" ca="1" si="3"/>
        <v>1734589.7284904297</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29789.740712957577</v>
      </c>
      <c r="D40" s="1025">
        <f ca="1">tertiair!C20</f>
        <v>48.692735251097034</v>
      </c>
      <c r="E40" s="1025">
        <f ca="1">tertiair!D20</f>
        <v>22420.03598683943</v>
      </c>
      <c r="F40" s="1025">
        <f>tertiair!E20</f>
        <v>273.60526694742339</v>
      </c>
      <c r="G40" s="1025">
        <f ca="1">tertiair!F20</f>
        <v>5611.5862763026753</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58143.660978298198</v>
      </c>
    </row>
    <row r="41" spans="1:18">
      <c r="A41" s="823" t="s">
        <v>225</v>
      </c>
      <c r="B41" s="830"/>
      <c r="C41" s="1025">
        <f ca="1">huishoudens!B12</f>
        <v>25472.755106294728</v>
      </c>
      <c r="D41" s="1025">
        <f ca="1">huishoudens!C12</f>
        <v>0</v>
      </c>
      <c r="E41" s="1025">
        <f>huishoudens!D12</f>
        <v>34363.460492504004</v>
      </c>
      <c r="F41" s="1025">
        <f>huishoudens!E12</f>
        <v>423.38112255426017</v>
      </c>
      <c r="G41" s="1025">
        <f>huishoudens!F12</f>
        <v>41354.810202848479</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101614.40692420147</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48269.22164018984</v>
      </c>
      <c r="D43" s="1025">
        <f ca="1">industrie!C22</f>
        <v>0</v>
      </c>
      <c r="E43" s="1025">
        <f>industrie!D22</f>
        <v>17560.583925984003</v>
      </c>
      <c r="F43" s="1025">
        <f>industrie!E22</f>
        <v>7209.7368191924697</v>
      </c>
      <c r="G43" s="1025">
        <f>industrie!F22</f>
        <v>31279.042879289194</v>
      </c>
      <c r="H43" s="1025">
        <f>industrie!G22</f>
        <v>0</v>
      </c>
      <c r="I43" s="1025">
        <f>industrie!H22</f>
        <v>0</v>
      </c>
      <c r="J43" s="1025">
        <f>industrie!I22</f>
        <v>0</v>
      </c>
      <c r="K43" s="1025">
        <f>industrie!J22</f>
        <v>69.44807381364879</v>
      </c>
      <c r="L43" s="1025">
        <f>industrie!K22</f>
        <v>0</v>
      </c>
      <c r="M43" s="1025">
        <f>industrie!L22</f>
        <v>0</v>
      </c>
      <c r="N43" s="1025">
        <f>industrie!M22</f>
        <v>0</v>
      </c>
      <c r="O43" s="1025">
        <f>industrie!N22</f>
        <v>0</v>
      </c>
      <c r="P43" s="1025">
        <f>industrie!O22</f>
        <v>0</v>
      </c>
      <c r="Q43" s="775">
        <f>industrie!P22</f>
        <v>0</v>
      </c>
      <c r="R43" s="850">
        <f t="shared" ca="1" si="4"/>
        <v>104388.03333846916</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103531.71745944215</v>
      </c>
      <c r="D46" s="733">
        <f t="shared" ref="D46:Q46" ca="1" si="5">SUM(D39:D45)</f>
        <v>48.692735251097034</v>
      </c>
      <c r="E46" s="733">
        <f t="shared" ca="1" si="5"/>
        <v>74344.080405327433</v>
      </c>
      <c r="F46" s="733">
        <f t="shared" si="5"/>
        <v>7906.7232086941531</v>
      </c>
      <c r="G46" s="733">
        <f t="shared" ca="1" si="5"/>
        <v>78245.439358440344</v>
      </c>
      <c r="H46" s="733">
        <f t="shared" si="5"/>
        <v>0</v>
      </c>
      <c r="I46" s="733">
        <f t="shared" si="5"/>
        <v>0</v>
      </c>
      <c r="J46" s="733">
        <f t="shared" si="5"/>
        <v>0</v>
      </c>
      <c r="K46" s="733">
        <f t="shared" si="5"/>
        <v>69.44807381364879</v>
      </c>
      <c r="L46" s="733">
        <f t="shared" si="5"/>
        <v>0</v>
      </c>
      <c r="M46" s="733">
        <f t="shared" ca="1" si="5"/>
        <v>0</v>
      </c>
      <c r="N46" s="733">
        <f t="shared" si="5"/>
        <v>0</v>
      </c>
      <c r="O46" s="733">
        <f t="shared" ca="1" si="5"/>
        <v>0</v>
      </c>
      <c r="P46" s="733">
        <f t="shared" si="5"/>
        <v>0</v>
      </c>
      <c r="Q46" s="733">
        <f t="shared" si="5"/>
        <v>0</v>
      </c>
      <c r="R46" s="733">
        <f ca="1">SUM(R39:R45)</f>
        <v>264146.1012409688</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4021.7694558870903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4021.7694558870903</v>
      </c>
    </row>
    <row r="50" spans="1:18">
      <c r="A50" s="826" t="s">
        <v>307</v>
      </c>
      <c r="B50" s="836"/>
      <c r="C50" s="704">
        <f ca="1">transport!B18</f>
        <v>11.577531799874157</v>
      </c>
      <c r="D50" s="704">
        <f>transport!C18</f>
        <v>0</v>
      </c>
      <c r="E50" s="704">
        <f>transport!D18</f>
        <v>30.803875948537893</v>
      </c>
      <c r="F50" s="704">
        <f>transport!E18</f>
        <v>240.83996334984136</v>
      </c>
      <c r="G50" s="704">
        <f>transport!F18</f>
        <v>0</v>
      </c>
      <c r="H50" s="704">
        <f>transport!G18</f>
        <v>88185.462934656185</v>
      </c>
      <c r="I50" s="704">
        <f>transport!H18</f>
        <v>14599.796367850202</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103068.48067360463</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11.577531799874157</v>
      </c>
      <c r="D52" s="733">
        <f t="shared" ref="D52:Q52" ca="1" si="6">SUM(D48:D51)</f>
        <v>0</v>
      </c>
      <c r="E52" s="733">
        <f t="shared" si="6"/>
        <v>30.803875948537893</v>
      </c>
      <c r="F52" s="733">
        <f t="shared" si="6"/>
        <v>240.83996334984136</v>
      </c>
      <c r="G52" s="733">
        <f t="shared" si="6"/>
        <v>0</v>
      </c>
      <c r="H52" s="733">
        <f t="shared" si="6"/>
        <v>92207.232390543271</v>
      </c>
      <c r="I52" s="733">
        <f t="shared" si="6"/>
        <v>14599.796367850202</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107090.25012949172</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106.3996841722148</v>
      </c>
      <c r="D54" s="704">
        <f ca="1">+landbouw!C12</f>
        <v>5.3257679180887374</v>
      </c>
      <c r="E54" s="704">
        <f>+landbouw!D12</f>
        <v>200.39334815600003</v>
      </c>
      <c r="F54" s="704">
        <f>+landbouw!E12</f>
        <v>1.1436798336604672</v>
      </c>
      <c r="G54" s="704">
        <f>+landbouw!F12</f>
        <v>368.48390964325171</v>
      </c>
      <c r="H54" s="704">
        <f>+landbouw!G12</f>
        <v>0</v>
      </c>
      <c r="I54" s="704">
        <f>+landbouw!H12</f>
        <v>0</v>
      </c>
      <c r="J54" s="704">
        <f>+landbouw!I12</f>
        <v>0</v>
      </c>
      <c r="K54" s="704">
        <f>+landbouw!J12</f>
        <v>29.521010713996024</v>
      </c>
      <c r="L54" s="704">
        <f>+landbouw!K12</f>
        <v>0</v>
      </c>
      <c r="M54" s="704">
        <f>+landbouw!L12</f>
        <v>0</v>
      </c>
      <c r="N54" s="704">
        <f>+landbouw!M12</f>
        <v>0</v>
      </c>
      <c r="O54" s="704">
        <f>+landbouw!N12</f>
        <v>0</v>
      </c>
      <c r="P54" s="704">
        <f>+landbouw!O12</f>
        <v>0</v>
      </c>
      <c r="Q54" s="705">
        <f>+landbouw!P12</f>
        <v>0</v>
      </c>
      <c r="R54" s="732">
        <f ca="1">SUM(C54:Q54)</f>
        <v>711.26740043721179</v>
      </c>
    </row>
    <row r="55" spans="1:18" ht="15" thickBot="1">
      <c r="A55" s="826" t="s">
        <v>864</v>
      </c>
      <c r="B55" s="836"/>
      <c r="C55" s="704">
        <f ca="1">C25*'EF ele_warmte'!B12</f>
        <v>759.52079640527847</v>
      </c>
      <c r="D55" s="704"/>
      <c r="E55" s="704">
        <f>E25*EF_CO2_aardgas</f>
        <v>1343.8704479999999</v>
      </c>
      <c r="F55" s="704"/>
      <c r="G55" s="704"/>
      <c r="H55" s="704"/>
      <c r="I55" s="704"/>
      <c r="J55" s="704"/>
      <c r="K55" s="704"/>
      <c r="L55" s="704"/>
      <c r="M55" s="704"/>
      <c r="N55" s="704"/>
      <c r="O55" s="704"/>
      <c r="P55" s="704"/>
      <c r="Q55" s="705"/>
      <c r="R55" s="732">
        <f ca="1">SUM(C55:Q55)</f>
        <v>2103.3912444052785</v>
      </c>
    </row>
    <row r="56" spans="1:18" ht="15.75" thickBot="1">
      <c r="A56" s="824" t="s">
        <v>865</v>
      </c>
      <c r="B56" s="837"/>
      <c r="C56" s="733">
        <f ca="1">SUM(C54:C55)</f>
        <v>865.92048057749332</v>
      </c>
      <c r="D56" s="733">
        <f t="shared" ref="D56:Q56" ca="1" si="7">SUM(D54:D55)</f>
        <v>5.3257679180887374</v>
      </c>
      <c r="E56" s="733">
        <f t="shared" si="7"/>
        <v>1544.2637961559999</v>
      </c>
      <c r="F56" s="733">
        <f t="shared" si="7"/>
        <v>1.1436798336604672</v>
      </c>
      <c r="G56" s="733">
        <f t="shared" si="7"/>
        <v>368.48390964325171</v>
      </c>
      <c r="H56" s="733">
        <f t="shared" si="7"/>
        <v>0</v>
      </c>
      <c r="I56" s="733">
        <f t="shared" si="7"/>
        <v>0</v>
      </c>
      <c r="J56" s="733">
        <f t="shared" si="7"/>
        <v>0</v>
      </c>
      <c r="K56" s="733">
        <f t="shared" si="7"/>
        <v>29.521010713996024</v>
      </c>
      <c r="L56" s="733">
        <f t="shared" si="7"/>
        <v>0</v>
      </c>
      <c r="M56" s="733">
        <f t="shared" si="7"/>
        <v>0</v>
      </c>
      <c r="N56" s="733">
        <f t="shared" si="7"/>
        <v>0</v>
      </c>
      <c r="O56" s="733">
        <f t="shared" si="7"/>
        <v>0</v>
      </c>
      <c r="P56" s="733">
        <f t="shared" si="7"/>
        <v>0</v>
      </c>
      <c r="Q56" s="734">
        <f t="shared" si="7"/>
        <v>0</v>
      </c>
      <c r="R56" s="735">
        <f ca="1">SUM(R54:R55)</f>
        <v>2814.6586448424905</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104409.21547181952</v>
      </c>
      <c r="D61" s="741">
        <f t="shared" ref="D61:Q61" ca="1" si="8">D46+D52+D56</f>
        <v>54.01850316918577</v>
      </c>
      <c r="E61" s="741">
        <f t="shared" ca="1" si="8"/>
        <v>75919.148077431964</v>
      </c>
      <c r="F61" s="741">
        <f t="shared" si="8"/>
        <v>8148.706851877655</v>
      </c>
      <c r="G61" s="741">
        <f t="shared" ca="1" si="8"/>
        <v>78613.923268083599</v>
      </c>
      <c r="H61" s="741">
        <f t="shared" si="8"/>
        <v>92207.232390543271</v>
      </c>
      <c r="I61" s="741">
        <f t="shared" si="8"/>
        <v>14599.796367850202</v>
      </c>
      <c r="J61" s="741">
        <f t="shared" si="8"/>
        <v>0</v>
      </c>
      <c r="K61" s="741">
        <f t="shared" si="8"/>
        <v>98.96908452764481</v>
      </c>
      <c r="L61" s="741">
        <f t="shared" si="8"/>
        <v>0</v>
      </c>
      <c r="M61" s="741">
        <f t="shared" ca="1" si="8"/>
        <v>0</v>
      </c>
      <c r="N61" s="741">
        <f t="shared" si="8"/>
        <v>0</v>
      </c>
      <c r="O61" s="741">
        <f t="shared" ca="1" si="8"/>
        <v>0</v>
      </c>
      <c r="P61" s="741">
        <f t="shared" si="8"/>
        <v>0</v>
      </c>
      <c r="Q61" s="741">
        <f t="shared" si="8"/>
        <v>0</v>
      </c>
      <c r="R61" s="741">
        <f ca="1">R46+R52+R56</f>
        <v>374051.01001530304</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0.19560779082445034</v>
      </c>
      <c r="D63" s="782">
        <f t="shared" ca="1" si="9"/>
        <v>0.23670079635949945</v>
      </c>
      <c r="E63" s="1036">
        <f t="shared" ca="1" si="9"/>
        <v>0.20199999999999996</v>
      </c>
      <c r="F63" s="782">
        <f t="shared" si="9"/>
        <v>0.22699999999999998</v>
      </c>
      <c r="G63" s="782">
        <f t="shared" ca="1" si="9"/>
        <v>0.26700000000000002</v>
      </c>
      <c r="H63" s="782">
        <f t="shared" si="9"/>
        <v>0.26700000000000002</v>
      </c>
      <c r="I63" s="782">
        <f t="shared" si="9"/>
        <v>0.249</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25052.750979946093</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34666.09504693879</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148.5</v>
      </c>
      <c r="D76" s="1046">
        <f>'lokale energieproductie'!C8</f>
        <v>174.01023890784984</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35.150068259385669</v>
      </c>
      <c r="R76" s="853">
        <v>0</v>
      </c>
    </row>
    <row r="77" spans="1:18" ht="30.75" thickBot="1">
      <c r="A77" s="754" t="s">
        <v>353</v>
      </c>
      <c r="B77" s="751">
        <f>'lokale energieproductie'!B9*IFERROR(SUM(I77:O77)/SUM(D77:O77),0)</f>
        <v>1620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4628.5714285714284</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61338.846026884887</v>
      </c>
      <c r="C78" s="756">
        <f>SUM(C72:C77)</f>
        <v>148.5</v>
      </c>
      <c r="D78" s="757">
        <f t="shared" ref="D78:H78" si="10">SUM(D76:D77)</f>
        <v>174.01023890784984</v>
      </c>
      <c r="E78" s="757">
        <f t="shared" si="10"/>
        <v>0</v>
      </c>
      <c r="F78" s="757">
        <f t="shared" si="10"/>
        <v>0</v>
      </c>
      <c r="G78" s="757">
        <f t="shared" si="10"/>
        <v>0</v>
      </c>
      <c r="H78" s="757">
        <f t="shared" si="10"/>
        <v>0</v>
      </c>
      <c r="I78" s="757">
        <f>SUM(I76:I77)</f>
        <v>0</v>
      </c>
      <c r="J78" s="757">
        <f>SUM(J76:J77)</f>
        <v>4628.5714285714284</v>
      </c>
      <c r="K78" s="757">
        <f t="shared" ref="K78:L78" si="11">SUM(K76:K77)</f>
        <v>0</v>
      </c>
      <c r="L78" s="757">
        <f t="shared" si="11"/>
        <v>0</v>
      </c>
      <c r="M78" s="757">
        <f>SUM(M76:M77)</f>
        <v>0</v>
      </c>
      <c r="N78" s="757">
        <f>SUM(N76:N77)</f>
        <v>0</v>
      </c>
      <c r="O78" s="861">
        <f>SUM(O76:O77)</f>
        <v>0</v>
      </c>
      <c r="P78" s="758">
        <v>0</v>
      </c>
      <c r="Q78" s="758">
        <f>SUM(Q76:Q77)</f>
        <v>35.150068259385669</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228.21428571428572</v>
      </c>
      <c r="D87" s="778">
        <f>'lokale energieproductie'!C17</f>
        <v>267.41833252072161</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54.01850316918577</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228.21428571428572</v>
      </c>
      <c r="D90" s="756">
        <f t="shared" ref="D90:H90" si="12">SUM(D87:D89)</f>
        <v>267.41833252072161</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54.01850316918577</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25052.750979946093</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34666.09504693879</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148.5</v>
      </c>
      <c r="C8" s="571">
        <f>B101</f>
        <v>174.01023890784984</v>
      </c>
      <c r="D8" s="1056"/>
      <c r="E8" s="1056">
        <f>E101</f>
        <v>0</v>
      </c>
      <c r="F8" s="1057"/>
      <c r="G8" s="572"/>
      <c r="H8" s="1056">
        <f>I101</f>
        <v>0</v>
      </c>
      <c r="I8" s="1056">
        <f>G101+F101</f>
        <v>0</v>
      </c>
      <c r="J8" s="1056">
        <f>H101+D101+C101</f>
        <v>0</v>
      </c>
      <c r="K8" s="1056"/>
      <c r="L8" s="1056"/>
      <c r="M8" s="1056"/>
      <c r="N8" s="573"/>
      <c r="O8" s="574">
        <f>C8*$C$12+D8*$D$12+E8*$E$12+F8*$F$12+G8*$G$12+H8*$H$12+I8*$I$12+J8*$J$12</f>
        <v>35.150068259385669</v>
      </c>
      <c r="P8" s="1275"/>
      <c r="Q8" s="1276"/>
      <c r="S8" s="1020"/>
      <c r="T8" s="1250"/>
      <c r="U8" s="1250"/>
    </row>
    <row r="9" spans="1:21" s="560" customFormat="1" ht="17.45" customHeight="1" thickBot="1">
      <c r="A9" s="575" t="s">
        <v>248</v>
      </c>
      <c r="B9" s="576">
        <f>N89+'Eigen informatie GS &amp; warmtenet'!B12</f>
        <v>1620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4628.5714285714284</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61487.346026884887</v>
      </c>
      <c r="C10" s="584">
        <f t="shared" ref="C10:L10" si="0">SUM(C8:C9)</f>
        <v>174.01023890784984</v>
      </c>
      <c r="D10" s="584">
        <f t="shared" si="0"/>
        <v>0</v>
      </c>
      <c r="E10" s="584">
        <f t="shared" si="0"/>
        <v>0</v>
      </c>
      <c r="F10" s="584">
        <f t="shared" si="0"/>
        <v>0</v>
      </c>
      <c r="G10" s="584">
        <f t="shared" si="0"/>
        <v>0</v>
      </c>
      <c r="H10" s="584">
        <f t="shared" si="0"/>
        <v>0</v>
      </c>
      <c r="I10" s="584">
        <f t="shared" si="0"/>
        <v>0</v>
      </c>
      <c r="J10" s="584">
        <f t="shared" si="0"/>
        <v>4628.5714285714284</v>
      </c>
      <c r="K10" s="584">
        <f t="shared" si="0"/>
        <v>0</v>
      </c>
      <c r="L10" s="584">
        <f t="shared" si="0"/>
        <v>0</v>
      </c>
      <c r="M10" s="1059"/>
      <c r="N10" s="1059"/>
      <c r="O10" s="585">
        <f>SUM(O4:O9)</f>
        <v>35.150068259385669</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228.21428571428572</v>
      </c>
      <c r="C17" s="596">
        <f>B102</f>
        <v>267.41833252072161</v>
      </c>
      <c r="D17" s="597"/>
      <c r="E17" s="597">
        <f>E102</f>
        <v>0</v>
      </c>
      <c r="F17" s="1062"/>
      <c r="G17" s="598"/>
      <c r="H17" s="596">
        <f>I102</f>
        <v>0</v>
      </c>
      <c r="I17" s="597">
        <f>G102+F102</f>
        <v>0</v>
      </c>
      <c r="J17" s="597">
        <f>H102+D102+C102</f>
        <v>0</v>
      </c>
      <c r="K17" s="597"/>
      <c r="L17" s="597"/>
      <c r="M17" s="597"/>
      <c r="N17" s="1063"/>
      <c r="O17" s="599">
        <f>C17*$C$22+E17*$E$22+H17*$H$22+I17*$I$22+J17*$J$22+D17*$D$22+F17*$F$22+G17*$G$22+K17*$K$22+L17*$L$22</f>
        <v>54.01850316918577</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228.21428571428572</v>
      </c>
      <c r="C20" s="583">
        <f>SUM(C17:C19)</f>
        <v>267.41833252072161</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54.01850316918577</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63.75">
      <c r="A28" s="606"/>
      <c r="B28" s="797">
        <v>71016</v>
      </c>
      <c r="C28" s="797">
        <v>3600</v>
      </c>
      <c r="D28" s="654" t="s">
        <v>907</v>
      </c>
      <c r="E28" s="653" t="s">
        <v>908</v>
      </c>
      <c r="F28" s="653" t="s">
        <v>909</v>
      </c>
      <c r="G28" s="653" t="s">
        <v>910</v>
      </c>
      <c r="H28" s="653" t="s">
        <v>911</v>
      </c>
      <c r="I28" s="653" t="s">
        <v>908</v>
      </c>
      <c r="J28" s="796">
        <v>39239</v>
      </c>
      <c r="K28" s="796">
        <v>39356</v>
      </c>
      <c r="L28" s="653" t="s">
        <v>912</v>
      </c>
      <c r="M28" s="653">
        <v>17</v>
      </c>
      <c r="N28" s="653">
        <v>76.5</v>
      </c>
      <c r="O28" s="653">
        <v>109.28571428571429</v>
      </c>
      <c r="P28" s="653">
        <v>218.57142857142858</v>
      </c>
      <c r="Q28" s="653">
        <v>0</v>
      </c>
      <c r="R28" s="653">
        <v>0</v>
      </c>
      <c r="S28" s="653">
        <v>0</v>
      </c>
      <c r="T28" s="653">
        <v>0</v>
      </c>
      <c r="U28" s="653">
        <v>0</v>
      </c>
      <c r="V28" s="653">
        <v>0</v>
      </c>
      <c r="W28" s="653">
        <v>0</v>
      </c>
      <c r="X28" s="653">
        <v>1600</v>
      </c>
      <c r="Y28" s="653" t="s">
        <v>50</v>
      </c>
      <c r="Z28" s="655" t="s">
        <v>156</v>
      </c>
    </row>
    <row r="29" spans="1:26" s="607" customFormat="1" ht="25.5">
      <c r="A29" s="606"/>
      <c r="B29" s="797">
        <v>71016</v>
      </c>
      <c r="C29" s="797">
        <v>3600</v>
      </c>
      <c r="D29" s="654" t="s">
        <v>913</v>
      </c>
      <c r="E29" s="653" t="s">
        <v>914</v>
      </c>
      <c r="F29" s="653" t="s">
        <v>915</v>
      </c>
      <c r="G29" s="653" t="s">
        <v>916</v>
      </c>
      <c r="H29" s="653" t="s">
        <v>916</v>
      </c>
      <c r="I29" s="653" t="s">
        <v>914</v>
      </c>
      <c r="J29" s="796">
        <v>40817</v>
      </c>
      <c r="K29" s="796">
        <v>40969</v>
      </c>
      <c r="L29" s="653" t="s">
        <v>912</v>
      </c>
      <c r="M29" s="653">
        <v>1</v>
      </c>
      <c r="N29" s="653">
        <v>4.5</v>
      </c>
      <c r="O29" s="653">
        <v>22.5</v>
      </c>
      <c r="P29" s="653">
        <v>30</v>
      </c>
      <c r="Q29" s="653">
        <v>0</v>
      </c>
      <c r="R29" s="653">
        <v>0</v>
      </c>
      <c r="S29" s="653">
        <v>0</v>
      </c>
      <c r="T29" s="653">
        <v>0</v>
      </c>
      <c r="U29" s="653">
        <v>0</v>
      </c>
      <c r="V29" s="653">
        <v>0</v>
      </c>
      <c r="W29" s="653">
        <v>0</v>
      </c>
      <c r="X29" s="653">
        <v>10</v>
      </c>
      <c r="Y29" s="653" t="s">
        <v>112</v>
      </c>
      <c r="Z29" s="655" t="s">
        <v>112</v>
      </c>
    </row>
    <row r="30" spans="1:26" s="607" customFormat="1" ht="25.5">
      <c r="A30" s="606"/>
      <c r="B30" s="797">
        <v>71016</v>
      </c>
      <c r="C30" s="797">
        <v>3600</v>
      </c>
      <c r="D30" s="654" t="s">
        <v>917</v>
      </c>
      <c r="E30" s="653" t="s">
        <v>918</v>
      </c>
      <c r="F30" s="653" t="s">
        <v>919</v>
      </c>
      <c r="G30" s="653" t="s">
        <v>910</v>
      </c>
      <c r="H30" s="653" t="s">
        <v>911</v>
      </c>
      <c r="I30" s="653" t="s">
        <v>920</v>
      </c>
      <c r="J30" s="796">
        <v>41099</v>
      </c>
      <c r="K30" s="796">
        <v>41244</v>
      </c>
      <c r="L30" s="653" t="s">
        <v>912</v>
      </c>
      <c r="M30" s="653">
        <v>15</v>
      </c>
      <c r="N30" s="653">
        <v>67.5</v>
      </c>
      <c r="O30" s="653">
        <v>96.428571428571431</v>
      </c>
      <c r="P30" s="653">
        <v>192.85714285714286</v>
      </c>
      <c r="Q30" s="653">
        <v>0</v>
      </c>
      <c r="R30" s="653">
        <v>0</v>
      </c>
      <c r="S30" s="653">
        <v>0</v>
      </c>
      <c r="T30" s="653">
        <v>0</v>
      </c>
      <c r="U30" s="653">
        <v>0</v>
      </c>
      <c r="V30" s="653">
        <v>0</v>
      </c>
      <c r="W30" s="653">
        <v>0</v>
      </c>
      <c r="X30" s="653">
        <v>1300</v>
      </c>
      <c r="Y30" s="653" t="s">
        <v>54</v>
      </c>
      <c r="Z30" s="655" t="s">
        <v>156</v>
      </c>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33</v>
      </c>
      <c r="N58" s="611">
        <f>SUM(N28:N57)</f>
        <v>148.5</v>
      </c>
      <c r="O58" s="611">
        <f t="shared" ref="O58:W58" si="2">SUM(O28:O57)</f>
        <v>228.21428571428572</v>
      </c>
      <c r="P58" s="611">
        <f t="shared" si="2"/>
        <v>441.42857142857144</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32</v>
      </c>
      <c r="N60" s="611">
        <f ca="1">SUMIF($Z$28:AD57,"tertiair",N28:N57)</f>
        <v>144</v>
      </c>
      <c r="O60" s="611">
        <f ca="1">SUMIF($Z$28:AE57,"tertiair",O28:O57)</f>
        <v>205.71428571428572</v>
      </c>
      <c r="P60" s="611">
        <f ca="1">SUMIF($Z$28:AF57,"tertiair",P28:P57)</f>
        <v>411.42857142857144</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1</v>
      </c>
      <c r="N61" s="616">
        <f t="shared" si="4"/>
        <v>4.5</v>
      </c>
      <c r="O61" s="616">
        <f t="shared" si="4"/>
        <v>22.5</v>
      </c>
      <c r="P61" s="616">
        <f t="shared" si="4"/>
        <v>30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63.75">
      <c r="A64" s="608"/>
      <c r="B64" s="797">
        <v>71016</v>
      </c>
      <c r="C64" s="797">
        <v>3600</v>
      </c>
      <c r="D64" s="656" t="s">
        <v>921</v>
      </c>
      <c r="E64" s="656" t="s">
        <v>922</v>
      </c>
      <c r="F64" s="656" t="s">
        <v>923</v>
      </c>
      <c r="G64" s="656" t="s">
        <v>924</v>
      </c>
      <c r="H64" s="656" t="s">
        <v>925</v>
      </c>
      <c r="I64" s="656" t="s">
        <v>926</v>
      </c>
      <c r="J64" s="796">
        <v>33970</v>
      </c>
      <c r="K64" s="796">
        <v>37316</v>
      </c>
      <c r="L64" s="656" t="s">
        <v>912</v>
      </c>
      <c r="M64" s="656">
        <v>360</v>
      </c>
      <c r="N64" s="656">
        <v>1620</v>
      </c>
      <c r="O64" s="656">
        <v>0</v>
      </c>
      <c r="P64" s="656">
        <v>0</v>
      </c>
      <c r="Q64" s="656">
        <v>4628.5714285714284</v>
      </c>
      <c r="R64" s="656">
        <v>0</v>
      </c>
      <c r="S64" s="656">
        <v>0</v>
      </c>
      <c r="T64" s="656">
        <v>0</v>
      </c>
      <c r="U64" s="656">
        <v>0</v>
      </c>
      <c r="V64" s="656">
        <v>0</v>
      </c>
      <c r="W64" s="656">
        <v>0</v>
      </c>
      <c r="X64" s="656">
        <v>1600</v>
      </c>
      <c r="Y64" s="656" t="s">
        <v>50</v>
      </c>
      <c r="Z64" s="657" t="s">
        <v>156</v>
      </c>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360</v>
      </c>
      <c r="N89" s="611">
        <f t="shared" ref="N89:W89" si="5">SUM(N64:N88)</f>
        <v>1620</v>
      </c>
      <c r="O89" s="611">
        <f t="shared" si="5"/>
        <v>0</v>
      </c>
      <c r="P89" s="611">
        <f t="shared" si="5"/>
        <v>0</v>
      </c>
      <c r="Q89" s="611">
        <f t="shared" si="5"/>
        <v>4628.5714285714284</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360</v>
      </c>
      <c r="N91" s="611">
        <f t="shared" si="7"/>
        <v>1620</v>
      </c>
      <c r="O91" s="611">
        <f t="shared" si="7"/>
        <v>0</v>
      </c>
      <c r="P91" s="611">
        <f t="shared" si="7"/>
        <v>0</v>
      </c>
      <c r="Q91" s="611">
        <f t="shared" si="7"/>
        <v>4628.5714285714284</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0.60580204778156999</v>
      </c>
      <c r="C98" s="636">
        <f>IF(ISERROR(N58/(O58+N58)),0,N58/(N58+O58))</f>
        <v>0.39419795221843001</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174.01023890784984</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267.41833252072161</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130223.62247910381</v>
      </c>
      <c r="C4" s="478">
        <f>huishoudens!C8</f>
        <v>0</v>
      </c>
      <c r="D4" s="478">
        <f>huishoudens!D8</f>
        <v>170116.14105199999</v>
      </c>
      <c r="E4" s="478">
        <f>huishoudens!E8</f>
        <v>1865.1150773315426</v>
      </c>
      <c r="F4" s="478">
        <f>huishoudens!F8</f>
        <v>154886.92959868343</v>
      </c>
      <c r="G4" s="478">
        <f>huishoudens!G8</f>
        <v>0</v>
      </c>
      <c r="H4" s="478">
        <f>huishoudens!H8</f>
        <v>0</v>
      </c>
      <c r="I4" s="478">
        <f>huishoudens!I8</f>
        <v>0</v>
      </c>
      <c r="J4" s="478">
        <f>huishoudens!J8</f>
        <v>0</v>
      </c>
      <c r="K4" s="478">
        <f>huishoudens!K8</f>
        <v>0</v>
      </c>
      <c r="L4" s="478">
        <f>huishoudens!L8</f>
        <v>0</v>
      </c>
      <c r="M4" s="478">
        <f>huishoudens!M8</f>
        <v>0</v>
      </c>
      <c r="N4" s="478">
        <f>huishoudens!N8</f>
        <v>8817.0306733381749</v>
      </c>
      <c r="O4" s="478">
        <f>huishoudens!O8</f>
        <v>1109.9666666666667</v>
      </c>
      <c r="P4" s="479">
        <f>huishoudens!P8</f>
        <v>1639.7333333333333</v>
      </c>
      <c r="Q4" s="480">
        <f>SUM(B4:P4)</f>
        <v>468658.53888045694</v>
      </c>
    </row>
    <row r="5" spans="1:17">
      <c r="A5" s="477" t="s">
        <v>156</v>
      </c>
      <c r="B5" s="478">
        <f ca="1">tertiair!B16</f>
        <v>148305.837</v>
      </c>
      <c r="C5" s="478">
        <f ca="1">tertiair!C16</f>
        <v>205.71428571428572</v>
      </c>
      <c r="D5" s="478">
        <f ca="1">tertiair!D16</f>
        <v>110990.27716257142</v>
      </c>
      <c r="E5" s="478">
        <f>tertiair!E16</f>
        <v>1205.3095460238915</v>
      </c>
      <c r="F5" s="478">
        <f ca="1">tertiair!F16</f>
        <v>21017.177064804026</v>
      </c>
      <c r="G5" s="478">
        <f>tertiair!G16</f>
        <v>0</v>
      </c>
      <c r="H5" s="478">
        <f>tertiair!H16</f>
        <v>0</v>
      </c>
      <c r="I5" s="478">
        <f>tertiair!I16</f>
        <v>0</v>
      </c>
      <c r="J5" s="478">
        <f>tertiair!J16</f>
        <v>0</v>
      </c>
      <c r="K5" s="478">
        <f>tertiair!K16</f>
        <v>0</v>
      </c>
      <c r="L5" s="478">
        <f ca="1">tertiair!L16</f>
        <v>0</v>
      </c>
      <c r="M5" s="478">
        <f>tertiair!M16</f>
        <v>0</v>
      </c>
      <c r="N5" s="478">
        <f ca="1">tertiair!N16</f>
        <v>8055.1047171449291</v>
      </c>
      <c r="O5" s="478">
        <f>tertiair!O16</f>
        <v>4.6900000000000004</v>
      </c>
      <c r="P5" s="479">
        <f>tertiair!P16</f>
        <v>95.333333333333343</v>
      </c>
      <c r="Q5" s="477">
        <f t="shared" ref="Q5:Q14" ca="1" si="0">SUM(B5:P5)</f>
        <v>289879.44310959184</v>
      </c>
    </row>
    <row r="6" spans="1:17">
      <c r="A6" s="477" t="s">
        <v>194</v>
      </c>
      <c r="B6" s="478">
        <f>'openbare verlichting'!B8</f>
        <v>3987.3850000000002</v>
      </c>
      <c r="C6" s="478"/>
      <c r="D6" s="478"/>
      <c r="E6" s="478"/>
      <c r="F6" s="478"/>
      <c r="G6" s="478"/>
      <c r="H6" s="478"/>
      <c r="I6" s="478"/>
      <c r="J6" s="478"/>
      <c r="K6" s="478"/>
      <c r="L6" s="478"/>
      <c r="M6" s="478"/>
      <c r="N6" s="478"/>
      <c r="O6" s="478"/>
      <c r="P6" s="479"/>
      <c r="Q6" s="477">
        <f t="shared" si="0"/>
        <v>3987.3850000000002</v>
      </c>
    </row>
    <row r="7" spans="1:17">
      <c r="A7" s="477" t="s">
        <v>112</v>
      </c>
      <c r="B7" s="478">
        <f>landbouw!B8</f>
        <v>543.94399999999996</v>
      </c>
      <c r="C7" s="478">
        <f>landbouw!C8</f>
        <v>22.5</v>
      </c>
      <c r="D7" s="478">
        <f>landbouw!D8</f>
        <v>992.04627800000003</v>
      </c>
      <c r="E7" s="478">
        <f>landbouw!E8</f>
        <v>5.0382371526892831</v>
      </c>
      <c r="F7" s="478">
        <f>landbouw!F8</f>
        <v>1380.0895492256618</v>
      </c>
      <c r="G7" s="478">
        <f>landbouw!G8</f>
        <v>0</v>
      </c>
      <c r="H7" s="478">
        <f>landbouw!H8</f>
        <v>0</v>
      </c>
      <c r="I7" s="478">
        <f>landbouw!I8</f>
        <v>0</v>
      </c>
      <c r="J7" s="478">
        <f>landbouw!J8</f>
        <v>83.392685632757136</v>
      </c>
      <c r="K7" s="478">
        <f>landbouw!K8</f>
        <v>0</v>
      </c>
      <c r="L7" s="478">
        <f>landbouw!L8</f>
        <v>0</v>
      </c>
      <c r="M7" s="478">
        <f>landbouw!M8</f>
        <v>0</v>
      </c>
      <c r="N7" s="478">
        <f>landbouw!N8</f>
        <v>0</v>
      </c>
      <c r="O7" s="478">
        <f>landbouw!O8</f>
        <v>0</v>
      </c>
      <c r="P7" s="479">
        <f>landbouw!P8</f>
        <v>0</v>
      </c>
      <c r="Q7" s="477">
        <f t="shared" si="0"/>
        <v>3027.010750011108</v>
      </c>
    </row>
    <row r="8" spans="1:17">
      <c r="A8" s="477" t="s">
        <v>650</v>
      </c>
      <c r="B8" s="478">
        <f>industrie!B18</f>
        <v>246765.33300000004</v>
      </c>
      <c r="C8" s="478">
        <f>industrie!C18</f>
        <v>0</v>
      </c>
      <c r="D8" s="478">
        <f>industrie!D18</f>
        <v>86933.583792000005</v>
      </c>
      <c r="E8" s="478">
        <f>industrie!E18</f>
        <v>31760.955150627618</v>
      </c>
      <c r="F8" s="478">
        <f>industrie!F18</f>
        <v>117149.97333067113</v>
      </c>
      <c r="G8" s="478">
        <f>industrie!G18</f>
        <v>0</v>
      </c>
      <c r="H8" s="478">
        <f>industrie!H18</f>
        <v>0</v>
      </c>
      <c r="I8" s="478">
        <f>industrie!I18</f>
        <v>0</v>
      </c>
      <c r="J8" s="478">
        <f>industrie!J18</f>
        <v>196.18099947358417</v>
      </c>
      <c r="K8" s="478">
        <f>industrie!K18</f>
        <v>0</v>
      </c>
      <c r="L8" s="478">
        <f>industrie!L18</f>
        <v>0</v>
      </c>
      <c r="M8" s="478">
        <f>industrie!M18</f>
        <v>0</v>
      </c>
      <c r="N8" s="478">
        <f>industrie!N18</f>
        <v>48674.521166237282</v>
      </c>
      <c r="O8" s="478">
        <f>industrie!O18</f>
        <v>0</v>
      </c>
      <c r="P8" s="479">
        <f>industrie!P18</f>
        <v>0</v>
      </c>
      <c r="Q8" s="477">
        <f t="shared" si="0"/>
        <v>531480.54743900977</v>
      </c>
    </row>
    <row r="9" spans="1:17" s="483" customFormat="1">
      <c r="A9" s="481" t="s">
        <v>571</v>
      </c>
      <c r="B9" s="482">
        <f>transport!B14</f>
        <v>59.187477917300839</v>
      </c>
      <c r="C9" s="482">
        <f>transport!C14</f>
        <v>0</v>
      </c>
      <c r="D9" s="482">
        <f>transport!D14</f>
        <v>152.49443538880143</v>
      </c>
      <c r="E9" s="482">
        <f>transport!E14</f>
        <v>1060.9690015411513</v>
      </c>
      <c r="F9" s="482">
        <f>transport!F14</f>
        <v>0</v>
      </c>
      <c r="G9" s="482">
        <f>transport!G14</f>
        <v>330282.63271406811</v>
      </c>
      <c r="H9" s="482">
        <f>transport!H14</f>
        <v>58633.720352812059</v>
      </c>
      <c r="I9" s="482">
        <f>transport!I14</f>
        <v>0</v>
      </c>
      <c r="J9" s="482">
        <f>transport!J14</f>
        <v>0</v>
      </c>
      <c r="K9" s="482">
        <f>transport!K14</f>
        <v>0</v>
      </c>
      <c r="L9" s="482">
        <f>transport!L14</f>
        <v>0</v>
      </c>
      <c r="M9" s="482">
        <f>transport!M14</f>
        <v>20910.304408789863</v>
      </c>
      <c r="N9" s="482">
        <f>transport!N14</f>
        <v>0</v>
      </c>
      <c r="O9" s="482">
        <f>transport!O14</f>
        <v>0</v>
      </c>
      <c r="P9" s="482">
        <f>transport!P14</f>
        <v>0</v>
      </c>
      <c r="Q9" s="481">
        <f>SUM(B9:P9)</f>
        <v>411099.30839051725</v>
      </c>
    </row>
    <row r="10" spans="1:17">
      <c r="A10" s="477" t="s">
        <v>561</v>
      </c>
      <c r="B10" s="478">
        <f>transport!B54</f>
        <v>0</v>
      </c>
      <c r="C10" s="478">
        <f>transport!C54</f>
        <v>0</v>
      </c>
      <c r="D10" s="478">
        <f>transport!D54</f>
        <v>0</v>
      </c>
      <c r="E10" s="478">
        <f>transport!E54</f>
        <v>0</v>
      </c>
      <c r="F10" s="478">
        <f>transport!F54</f>
        <v>0</v>
      </c>
      <c r="G10" s="478">
        <f>transport!G54</f>
        <v>15062.806950887978</v>
      </c>
      <c r="H10" s="478">
        <f>transport!H54</f>
        <v>0</v>
      </c>
      <c r="I10" s="478">
        <f>transport!I54</f>
        <v>0</v>
      </c>
      <c r="J10" s="478">
        <f>transport!J54</f>
        <v>0</v>
      </c>
      <c r="K10" s="478">
        <f>transport!K54</f>
        <v>0</v>
      </c>
      <c r="L10" s="478">
        <f>transport!L54</f>
        <v>0</v>
      </c>
      <c r="M10" s="478">
        <f>transport!M54</f>
        <v>858.9879699548477</v>
      </c>
      <c r="N10" s="478">
        <f>transport!N54</f>
        <v>0</v>
      </c>
      <c r="O10" s="478">
        <f>transport!O54</f>
        <v>0</v>
      </c>
      <c r="P10" s="479">
        <f>transport!P54</f>
        <v>0</v>
      </c>
      <c r="Q10" s="477">
        <f t="shared" si="0"/>
        <v>15921.794920842825</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3882.8760000000002</v>
      </c>
      <c r="C14" s="485"/>
      <c r="D14" s="485">
        <f>'SEAP template'!E25</f>
        <v>6652.8239999999996</v>
      </c>
      <c r="E14" s="485"/>
      <c r="F14" s="485"/>
      <c r="G14" s="485"/>
      <c r="H14" s="485"/>
      <c r="I14" s="485"/>
      <c r="J14" s="485"/>
      <c r="K14" s="485"/>
      <c r="L14" s="485"/>
      <c r="M14" s="485"/>
      <c r="N14" s="485"/>
      <c r="O14" s="485"/>
      <c r="P14" s="486"/>
      <c r="Q14" s="477">
        <f t="shared" si="0"/>
        <v>10535.7</v>
      </c>
    </row>
    <row r="15" spans="1:17" s="487" customFormat="1">
      <c r="A15" s="1051" t="s">
        <v>565</v>
      </c>
      <c r="B15" s="991">
        <f ca="1">SUM(B4:B14)</f>
        <v>533768.18495702115</v>
      </c>
      <c r="C15" s="991">
        <f t="shared" ref="C15:Q15" ca="1" si="1">SUM(C4:C14)</f>
        <v>228.21428571428572</v>
      </c>
      <c r="D15" s="991">
        <f t="shared" ca="1" si="1"/>
        <v>375837.36671996029</v>
      </c>
      <c r="E15" s="991">
        <f t="shared" si="1"/>
        <v>35897.387012676896</v>
      </c>
      <c r="F15" s="991">
        <f t="shared" ca="1" si="1"/>
        <v>294434.16954338423</v>
      </c>
      <c r="G15" s="991">
        <f t="shared" si="1"/>
        <v>345345.43966495607</v>
      </c>
      <c r="H15" s="991">
        <f t="shared" si="1"/>
        <v>58633.720352812059</v>
      </c>
      <c r="I15" s="991">
        <f t="shared" si="1"/>
        <v>0</v>
      </c>
      <c r="J15" s="991">
        <f t="shared" si="1"/>
        <v>279.57368510634132</v>
      </c>
      <c r="K15" s="991">
        <f t="shared" si="1"/>
        <v>0</v>
      </c>
      <c r="L15" s="991">
        <f t="shared" ca="1" si="1"/>
        <v>0</v>
      </c>
      <c r="M15" s="991">
        <f t="shared" si="1"/>
        <v>21769.292378744711</v>
      </c>
      <c r="N15" s="991">
        <f t="shared" ca="1" si="1"/>
        <v>65546.65655672038</v>
      </c>
      <c r="O15" s="991">
        <f t="shared" si="1"/>
        <v>1114.6566666666668</v>
      </c>
      <c r="P15" s="991">
        <f t="shared" si="1"/>
        <v>1735.0666666666666</v>
      </c>
      <c r="Q15" s="991">
        <f t="shared" ca="1" si="1"/>
        <v>1734589.7284904297</v>
      </c>
    </row>
    <row r="17" spans="1:17">
      <c r="A17" s="488" t="s">
        <v>566</v>
      </c>
      <c r="B17" s="787">
        <f ca="1">huishoudens!B10</f>
        <v>0.19560779082445034</v>
      </c>
      <c r="C17" s="787">
        <f ca="1">huishoudens!C10</f>
        <v>0.23670079635949945</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25472.755106294728</v>
      </c>
      <c r="C22" s="478">
        <f t="shared" ref="C22:C32" ca="1" si="3">C4*$C$17</f>
        <v>0</v>
      </c>
      <c r="D22" s="478">
        <f t="shared" ref="D22:D32" si="4">D4*$D$17</f>
        <v>34363.460492504004</v>
      </c>
      <c r="E22" s="478">
        <f t="shared" ref="E22:E32" si="5">E4*$E$17</f>
        <v>423.38112255426017</v>
      </c>
      <c r="F22" s="478">
        <f t="shared" ref="F22:F32" si="6">F4*$F$17</f>
        <v>41354.810202848479</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101614.40692420147</v>
      </c>
    </row>
    <row r="23" spans="1:17">
      <c r="A23" s="477" t="s">
        <v>156</v>
      </c>
      <c r="B23" s="478">
        <f t="shared" ca="1" si="2"/>
        <v>29009.777141941027</v>
      </c>
      <c r="C23" s="478">
        <f t="shared" ca="1" si="3"/>
        <v>48.692735251097034</v>
      </c>
      <c r="D23" s="478">
        <f t="shared" ca="1" si="4"/>
        <v>22420.03598683943</v>
      </c>
      <c r="E23" s="478">
        <f t="shared" si="5"/>
        <v>273.60526694742339</v>
      </c>
      <c r="F23" s="478">
        <f t="shared" ca="1" si="6"/>
        <v>5611.5862763026753</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57363.697407281652</v>
      </c>
    </row>
    <row r="24" spans="1:17">
      <c r="A24" s="477" t="s">
        <v>194</v>
      </c>
      <c r="B24" s="478">
        <f t="shared" ca="1" si="2"/>
        <v>779.96357101655099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779.96357101655099</v>
      </c>
    </row>
    <row r="25" spans="1:17">
      <c r="A25" s="477" t="s">
        <v>112</v>
      </c>
      <c r="B25" s="478">
        <f t="shared" ca="1" si="2"/>
        <v>106.3996841722148</v>
      </c>
      <c r="C25" s="478">
        <f t="shared" ca="1" si="3"/>
        <v>5.3257679180887374</v>
      </c>
      <c r="D25" s="478">
        <f t="shared" si="4"/>
        <v>200.39334815600003</v>
      </c>
      <c r="E25" s="478">
        <f t="shared" si="5"/>
        <v>1.1436798336604672</v>
      </c>
      <c r="F25" s="478">
        <f t="shared" si="6"/>
        <v>368.48390964325171</v>
      </c>
      <c r="G25" s="478">
        <f t="shared" si="7"/>
        <v>0</v>
      </c>
      <c r="H25" s="478">
        <f t="shared" si="8"/>
        <v>0</v>
      </c>
      <c r="I25" s="478">
        <f t="shared" si="9"/>
        <v>0</v>
      </c>
      <c r="J25" s="478">
        <f t="shared" si="10"/>
        <v>29.521010713996024</v>
      </c>
      <c r="K25" s="478">
        <f t="shared" si="11"/>
        <v>0</v>
      </c>
      <c r="L25" s="478">
        <f t="shared" si="12"/>
        <v>0</v>
      </c>
      <c r="M25" s="478">
        <f t="shared" si="13"/>
        <v>0</v>
      </c>
      <c r="N25" s="478">
        <f t="shared" si="14"/>
        <v>0</v>
      </c>
      <c r="O25" s="478">
        <f t="shared" si="15"/>
        <v>0</v>
      </c>
      <c r="P25" s="479">
        <f t="shared" si="16"/>
        <v>0</v>
      </c>
      <c r="Q25" s="477">
        <f t="shared" ca="1" si="17"/>
        <v>711.26740043721179</v>
      </c>
    </row>
    <row r="26" spans="1:17">
      <c r="A26" s="477" t="s">
        <v>650</v>
      </c>
      <c r="B26" s="478">
        <f t="shared" ca="1" si="2"/>
        <v>48269.22164018984</v>
      </c>
      <c r="C26" s="478">
        <f t="shared" ca="1" si="3"/>
        <v>0</v>
      </c>
      <c r="D26" s="478">
        <f t="shared" si="4"/>
        <v>17560.583925984003</v>
      </c>
      <c r="E26" s="478">
        <f t="shared" si="5"/>
        <v>7209.7368191924697</v>
      </c>
      <c r="F26" s="478">
        <f t="shared" si="6"/>
        <v>31279.042879289194</v>
      </c>
      <c r="G26" s="478">
        <f t="shared" si="7"/>
        <v>0</v>
      </c>
      <c r="H26" s="478">
        <f t="shared" si="8"/>
        <v>0</v>
      </c>
      <c r="I26" s="478">
        <f t="shared" si="9"/>
        <v>0</v>
      </c>
      <c r="J26" s="478">
        <f t="shared" si="10"/>
        <v>69.44807381364879</v>
      </c>
      <c r="K26" s="478">
        <f t="shared" si="11"/>
        <v>0</v>
      </c>
      <c r="L26" s="478">
        <f t="shared" si="12"/>
        <v>0</v>
      </c>
      <c r="M26" s="478">
        <f t="shared" si="13"/>
        <v>0</v>
      </c>
      <c r="N26" s="478">
        <f t="shared" si="14"/>
        <v>0</v>
      </c>
      <c r="O26" s="478">
        <f t="shared" si="15"/>
        <v>0</v>
      </c>
      <c r="P26" s="479">
        <f t="shared" si="16"/>
        <v>0</v>
      </c>
      <c r="Q26" s="477">
        <f t="shared" ca="1" si="17"/>
        <v>104388.03333846916</v>
      </c>
    </row>
    <row r="27" spans="1:17" s="483" customFormat="1">
      <c r="A27" s="481" t="s">
        <v>571</v>
      </c>
      <c r="B27" s="781">
        <f t="shared" ca="1" si="2"/>
        <v>11.577531799874157</v>
      </c>
      <c r="C27" s="482">
        <f t="shared" ca="1" si="3"/>
        <v>0</v>
      </c>
      <c r="D27" s="482">
        <f t="shared" si="4"/>
        <v>30.803875948537893</v>
      </c>
      <c r="E27" s="482">
        <f t="shared" si="5"/>
        <v>240.83996334984136</v>
      </c>
      <c r="F27" s="482">
        <f t="shared" si="6"/>
        <v>0</v>
      </c>
      <c r="G27" s="482">
        <f t="shared" si="7"/>
        <v>88185.462934656185</v>
      </c>
      <c r="H27" s="482">
        <f t="shared" si="8"/>
        <v>14599.796367850202</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103068.48067360463</v>
      </c>
    </row>
    <row r="28" spans="1:17">
      <c r="A28" s="477" t="s">
        <v>561</v>
      </c>
      <c r="B28" s="478">
        <f t="shared" ca="1" si="2"/>
        <v>0</v>
      </c>
      <c r="C28" s="478">
        <f t="shared" ca="1" si="3"/>
        <v>0</v>
      </c>
      <c r="D28" s="478">
        <f t="shared" si="4"/>
        <v>0</v>
      </c>
      <c r="E28" s="478">
        <f t="shared" si="5"/>
        <v>0</v>
      </c>
      <c r="F28" s="478">
        <f t="shared" si="6"/>
        <v>0</v>
      </c>
      <c r="G28" s="478">
        <f t="shared" si="7"/>
        <v>4021.7694558870903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4021.7694558870903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759.52079640527847</v>
      </c>
      <c r="C32" s="478">
        <f t="shared" ca="1" si="3"/>
        <v>0</v>
      </c>
      <c r="D32" s="478">
        <f t="shared" si="4"/>
        <v>1343.8704479999999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2103.3912444052785</v>
      </c>
    </row>
    <row r="33" spans="1:17" s="487" customFormat="1">
      <c r="A33" s="1051" t="s">
        <v>565</v>
      </c>
      <c r="B33" s="991">
        <f ca="1">SUM(B22:B32)</f>
        <v>104409.21547181952</v>
      </c>
      <c r="C33" s="991">
        <f t="shared" ref="C33:Q33" ca="1" si="18">SUM(C22:C32)</f>
        <v>54.01850316918577</v>
      </c>
      <c r="D33" s="991">
        <f t="shared" ca="1" si="18"/>
        <v>75919.148077431979</v>
      </c>
      <c r="E33" s="991">
        <f t="shared" si="18"/>
        <v>8148.706851877655</v>
      </c>
      <c r="F33" s="991">
        <f t="shared" ca="1" si="18"/>
        <v>78613.923268083599</v>
      </c>
      <c r="G33" s="991">
        <f t="shared" si="18"/>
        <v>92207.232390543271</v>
      </c>
      <c r="H33" s="991">
        <f t="shared" si="18"/>
        <v>14599.796367850202</v>
      </c>
      <c r="I33" s="991">
        <f t="shared" si="18"/>
        <v>0</v>
      </c>
      <c r="J33" s="991">
        <f t="shared" si="18"/>
        <v>98.96908452764481</v>
      </c>
      <c r="K33" s="991">
        <f t="shared" si="18"/>
        <v>0</v>
      </c>
      <c r="L33" s="991">
        <f t="shared" ca="1" si="18"/>
        <v>0</v>
      </c>
      <c r="M33" s="991">
        <f t="shared" si="18"/>
        <v>0</v>
      </c>
      <c r="N33" s="991">
        <f t="shared" ca="1" si="18"/>
        <v>0</v>
      </c>
      <c r="O33" s="991">
        <f t="shared" si="18"/>
        <v>0</v>
      </c>
      <c r="P33" s="991">
        <f t="shared" si="18"/>
        <v>0</v>
      </c>
      <c r="Q33" s="991">
        <f t="shared" ca="1" si="18"/>
        <v>374051.01001530309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25052.750979946093</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34666.09504693879</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148.5</v>
      </c>
      <c r="D8" s="1068">
        <f>'SEAP template'!D76</f>
        <v>174.01023890784984</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35.150068259385669</v>
      </c>
    </row>
    <row r="9" spans="1:16">
      <c r="A9" s="1071" t="s">
        <v>880</v>
      </c>
      <c r="B9" s="1068">
        <f>'SEAP template'!B77</f>
        <v>1620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4628.5714285714284</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61338.846026884887</v>
      </c>
      <c r="C10" s="1072">
        <f>SUM(C4:C9)</f>
        <v>148.5</v>
      </c>
      <c r="D10" s="1072">
        <f t="shared" ref="D10:H10" si="0">SUM(D8:D9)</f>
        <v>174.01023890784984</v>
      </c>
      <c r="E10" s="1072">
        <f t="shared" si="0"/>
        <v>0</v>
      </c>
      <c r="F10" s="1072">
        <f t="shared" si="0"/>
        <v>0</v>
      </c>
      <c r="G10" s="1072">
        <f t="shared" si="0"/>
        <v>0</v>
      </c>
      <c r="H10" s="1072">
        <f t="shared" si="0"/>
        <v>0</v>
      </c>
      <c r="I10" s="1072">
        <f>SUM(I8:I9)</f>
        <v>0</v>
      </c>
      <c r="J10" s="1072">
        <f>SUM(J8:J9)</f>
        <v>4628.5714285714284</v>
      </c>
      <c r="K10" s="1072">
        <f t="shared" ref="K10:L10" si="1">SUM(K8:K9)</f>
        <v>0</v>
      </c>
      <c r="L10" s="1072">
        <f t="shared" si="1"/>
        <v>0</v>
      </c>
      <c r="M10" s="1072">
        <f>SUM(M8:M9)</f>
        <v>0</v>
      </c>
      <c r="N10" s="1072">
        <f>SUM(N8:N9)</f>
        <v>0</v>
      </c>
      <c r="O10" s="1072">
        <f>SUM(O8:O9)</f>
        <v>0</v>
      </c>
      <c r="P10" s="1072">
        <f>SUM(P8:P9)</f>
        <v>35.150068259385669</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0.19560779082445034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228.21428571428572</v>
      </c>
      <c r="D17" s="1069">
        <f>'SEAP template'!D87</f>
        <v>267.41833252072161</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54.01850316918577</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228.21428571428572</v>
      </c>
      <c r="D20" s="1072">
        <f t="shared" ref="D20:H20" si="2">SUM(D17:D19)</f>
        <v>267.41833252072161</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54.01850316918577</v>
      </c>
    </row>
    <row r="22" spans="1:16">
      <c r="A22" s="488" t="s">
        <v>888</v>
      </c>
      <c r="B22" s="787" t="s">
        <v>882</v>
      </c>
      <c r="C22" s="787">
        <f ca="1">'EF ele_warmte'!B22</f>
        <v>0.23670079635949945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0.19560779082445034</v>
      </c>
      <c r="C17" s="525">
        <f ca="1">'EF ele_warmte'!B22</f>
        <v>0.23670079635949945</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2019-08-12T08:10:14Z</dcterms:modified>
</cp:coreProperties>
</file>