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J22"/>
  <c r="G22"/>
  <c r="R12"/>
  <c r="Q14" i="48" l="1"/>
  <c r="O77" i="14"/>
  <c r="O9" i="59" s="1"/>
  <c r="O10" s="1"/>
  <c r="L10" i="18"/>
  <c r="E89" i="14"/>
  <c r="E19" i="59" s="1"/>
  <c r="D20" i="18"/>
  <c r="N78" i="14"/>
  <c r="N9" i="59"/>
  <c r="L90" i="14"/>
  <c r="L18" i="59"/>
  <c r="B98" i="18"/>
  <c r="G102" s="1"/>
  <c r="B17"/>
  <c r="B20" s="1"/>
  <c r="G20" i="59"/>
  <c r="L20" i="18"/>
  <c r="N10" i="59"/>
  <c r="K20"/>
  <c r="H90" i="14"/>
  <c r="H18" i="59"/>
  <c r="H20" s="1"/>
  <c r="C98" i="18"/>
  <c r="B101" s="1"/>
  <c r="C8" s="1"/>
  <c r="P22" i="14"/>
  <c r="E20" i="59"/>
  <c r="L78" i="14"/>
  <c r="D14" i="48"/>
  <c r="K10" i="18"/>
  <c r="K78" i="14"/>
  <c r="M77"/>
  <c r="M9" i="59" s="1"/>
  <c r="H9" i="18"/>
  <c r="Q22" i="14"/>
  <c r="L10" i="59"/>
  <c r="D22" i="14"/>
  <c r="L22"/>
  <c r="E10" i="59"/>
  <c r="L20"/>
  <c r="B8" i="18"/>
  <c r="B10" s="1"/>
  <c r="F13" i="15"/>
  <c r="G77" i="14"/>
  <c r="G9" i="59" s="1"/>
  <c r="G10" s="1"/>
  <c r="I77" i="14"/>
  <c r="I9" i="59" s="1"/>
  <c r="B13" i="15"/>
  <c r="N13"/>
  <c r="L13"/>
  <c r="F77" i="14"/>
  <c r="F9" i="59" s="1"/>
  <c r="I101" i="18"/>
  <c r="H8" s="1"/>
  <c r="O9"/>
  <c r="I102"/>
  <c r="H17" s="1"/>
  <c r="B102"/>
  <c r="C17" s="1"/>
  <c r="C89" i="14"/>
  <c r="C19" i="59" s="1"/>
  <c r="O19" i="18"/>
  <c r="N88" i="14"/>
  <c r="D10" i="18"/>
  <c r="E78" i="14"/>
  <c r="D77"/>
  <c r="D9" i="59" s="1"/>
  <c r="H77" i="14"/>
  <c r="G90"/>
  <c r="O88"/>
  <c r="G89"/>
  <c r="G19" i="59" s="1"/>
  <c r="G20" i="18"/>
  <c r="O18"/>
  <c r="Q89" i="14"/>
  <c r="P19" i="59" s="1"/>
  <c r="O25" i="48"/>
  <c r="O27"/>
  <c r="Q11"/>
  <c r="O29"/>
  <c r="P31"/>
  <c r="O28"/>
  <c r="Q12"/>
  <c r="O24"/>
  <c r="O30"/>
  <c r="P24"/>
  <c r="P30"/>
  <c r="E90" i="14"/>
  <c r="R9"/>
  <c r="R25"/>
  <c r="K90"/>
  <c r="H78" l="1"/>
  <c r="H9" i="59"/>
  <c r="H10" s="1"/>
  <c r="O90" i="14"/>
  <c r="O18" i="59"/>
  <c r="O20" s="1"/>
  <c r="N90" i="14"/>
  <c r="N18" i="59"/>
  <c r="N20" s="1"/>
  <c r="E101" i="18"/>
  <c r="E8" s="1"/>
  <c r="Q77" i="14"/>
  <c r="P9" i="59" s="1"/>
  <c r="E102" i="18"/>
  <c r="E17" s="1"/>
  <c r="F87" i="14" s="1"/>
  <c r="F101" i="18"/>
  <c r="O78" i="14"/>
  <c r="C102" i="18"/>
  <c r="H101"/>
  <c r="F102"/>
  <c r="D101"/>
  <c r="B89" i="14"/>
  <c r="B19" i="59" s="1"/>
  <c r="H102" i="18"/>
  <c r="J17" s="1"/>
  <c r="J20" s="1"/>
  <c r="G101"/>
  <c r="I8" s="1"/>
  <c r="I76" i="14" s="1"/>
  <c r="I8" i="59" s="1"/>
  <c r="I10" s="1"/>
  <c r="D102" i="18"/>
  <c r="C101"/>
  <c r="G78" i="14"/>
  <c r="C77"/>
  <c r="C9" i="59" s="1"/>
  <c r="J87" i="14"/>
  <c r="H20" i="18"/>
  <c r="M87" i="14"/>
  <c r="F76"/>
  <c r="E10" i="18"/>
  <c r="C20"/>
  <c r="O17"/>
  <c r="O20" s="1"/>
  <c r="D87" i="14"/>
  <c r="D17" i="59" s="1"/>
  <c r="D20" s="1"/>
  <c r="H10" i="18"/>
  <c r="M76" i="14"/>
  <c r="B88"/>
  <c r="B18" i="59" s="1"/>
  <c r="I17" i="18"/>
  <c r="D76" i="14"/>
  <c r="D8" i="59" s="1"/>
  <c r="D10" s="1"/>
  <c r="C10" i="18"/>
  <c r="J8"/>
  <c r="O8" s="1"/>
  <c r="O10" s="1"/>
  <c r="C88" i="14"/>
  <c r="C18" i="59" s="1"/>
  <c r="I10" i="18"/>
  <c r="B77" i="14"/>
  <c r="B9" i="59" s="1"/>
  <c r="Q88" i="14"/>
  <c r="P18" i="59" s="1"/>
  <c r="H14" i="15"/>
  <c r="H16" s="1"/>
  <c r="G14"/>
  <c r="G16" s="1"/>
  <c r="F90" i="14" l="1"/>
  <c r="F17" i="59"/>
  <c r="F20" s="1"/>
  <c r="J90" i="14"/>
  <c r="J17" i="59"/>
  <c r="J20" s="1"/>
  <c r="M78" i="14"/>
  <c r="M8" i="59"/>
  <c r="M10" s="1"/>
  <c r="M90" i="14"/>
  <c r="M17" i="59"/>
  <c r="M20" s="1"/>
  <c r="F78" i="14"/>
  <c r="F8" i="59"/>
  <c r="F10" s="1"/>
  <c r="I10" i="14"/>
  <c r="I16" s="1"/>
  <c r="H5" i="48"/>
  <c r="H10" i="14"/>
  <c r="H16" s="1"/>
  <c r="G5" i="48"/>
  <c r="E20" i="1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27"/>
  <c r="K30"/>
  <c r="K31"/>
  <c r="K24"/>
  <c r="K29"/>
  <c r="K26"/>
  <c r="K22"/>
  <c r="B7"/>
  <c r="C24" i="14"/>
  <c r="C26" s="1"/>
  <c r="J24" i="48"/>
  <c r="J32"/>
  <c r="J30"/>
  <c r="J27"/>
  <c r="J31"/>
  <c r="J29"/>
  <c r="J28"/>
  <c r="Q11" i="14"/>
  <c r="P4" i="48"/>
  <c r="P11" i="14"/>
  <c r="O4" i="48"/>
  <c r="I32"/>
  <c r="I28"/>
  <c r="I22"/>
  <c r="I26"/>
  <c r="I30"/>
  <c r="I29"/>
  <c r="I24"/>
  <c r="I25"/>
  <c r="I27"/>
  <c r="I31"/>
  <c r="D4"/>
  <c r="D22" s="1"/>
  <c r="E11" i="14"/>
  <c r="H32" i="48"/>
  <c r="H29"/>
  <c r="H28"/>
  <c r="H26"/>
  <c r="H24"/>
  <c r="H25"/>
  <c r="H22"/>
  <c r="H30"/>
  <c r="H23"/>
  <c r="D11" i="14"/>
  <c r="C4" i="48"/>
  <c r="G32"/>
  <c r="G22"/>
  <c r="G26"/>
  <c r="G30"/>
  <c r="G25"/>
  <c r="G24"/>
  <c r="G29"/>
  <c r="G23"/>
  <c r="C11" i="14"/>
  <c r="B4" i="48"/>
  <c r="F24"/>
  <c r="F32"/>
  <c r="F29"/>
  <c r="F30"/>
  <c r="F31"/>
  <c r="F28"/>
  <c r="F27"/>
  <c r="N31"/>
  <c r="N24"/>
  <c r="N32"/>
  <c r="N30"/>
  <c r="N29"/>
  <c r="N28"/>
  <c r="N27"/>
  <c r="C19" i="14"/>
  <c r="B10" i="48"/>
  <c r="E32"/>
  <c r="E29"/>
  <c r="E30"/>
  <c r="E31"/>
  <c r="E24"/>
  <c r="E28"/>
  <c r="M26"/>
  <c r="M25"/>
  <c r="M32"/>
  <c r="M22"/>
  <c r="M29"/>
  <c r="M24"/>
  <c r="M30"/>
  <c r="M23"/>
  <c r="L10" i="14"/>
  <c r="L16" s="1"/>
  <c r="L27" s="1"/>
  <c r="K5" i="48"/>
  <c r="D30"/>
  <c r="D29"/>
  <c r="D28"/>
  <c r="D31"/>
  <c r="D24"/>
  <c r="D32"/>
  <c r="L32"/>
  <c r="L27"/>
  <c r="L28"/>
  <c r="L24"/>
  <c r="L31"/>
  <c r="L22"/>
  <c r="L30"/>
  <c r="L29"/>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I5"/>
  <c r="J10" i="14"/>
  <c r="J16" s="1"/>
  <c r="J27" s="1"/>
  <c r="F20"/>
  <c r="F22" s="1"/>
  <c r="E9" i="48"/>
  <c r="E27" s="1"/>
  <c r="P22"/>
  <c r="P33" s="1"/>
  <c r="P15"/>
  <c r="E20" i="14"/>
  <c r="E22" s="1"/>
  <c r="D9" i="48"/>
  <c r="D27" s="1"/>
  <c r="P10" i="14"/>
  <c r="O5" i="48"/>
  <c r="O23" s="1"/>
  <c r="J7"/>
  <c r="J25" s="1"/>
  <c r="K24" i="14"/>
  <c r="K26" s="1"/>
  <c r="C20"/>
  <c r="B9" i="48"/>
  <c r="O22"/>
  <c r="G11" i="14"/>
  <c r="F4" i="48"/>
  <c r="F22" s="1"/>
  <c r="J63" i="14"/>
  <c r="D10"/>
  <c r="J12" i="17"/>
  <c r="K54" i="14" s="1"/>
  <c r="K56" s="1"/>
  <c r="L46"/>
  <c r="L61" s="1"/>
  <c r="L63" s="1"/>
  <c r="Q16"/>
  <c r="Q27"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H19" i="14"/>
  <c r="R19" s="1"/>
  <c r="G10" i="48"/>
  <c r="E12" i="13"/>
  <c r="F41" i="14" s="1"/>
  <c r="F11"/>
  <c r="E4" i="48"/>
  <c r="I23"/>
  <c r="I33" s="1"/>
  <c r="I15"/>
  <c r="Q13"/>
  <c r="G31"/>
  <c r="K11" i="14"/>
  <c r="J4" i="48"/>
  <c r="E7"/>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K13" i="14"/>
  <c r="I22"/>
  <c r="I27" s="1"/>
  <c r="I63" s="1"/>
  <c r="R20"/>
  <c r="R22" s="1"/>
  <c r="K46"/>
  <c r="K61" s="1"/>
  <c r="K63" s="1"/>
  <c r="K16"/>
  <c r="K27" s="1"/>
  <c r="E22" i="16"/>
  <c r="F43" i="14" s="1"/>
  <c r="F46"/>
  <c r="F61" s="1"/>
  <c r="G33" i="48"/>
  <c r="H63" i="14"/>
  <c r="O13"/>
  <c r="N8" i="48"/>
  <c r="N26" s="1"/>
  <c r="F8"/>
  <c r="G13" i="14"/>
  <c r="E26" i="48" l="1"/>
  <c r="E33" s="1"/>
  <c r="E15"/>
  <c r="J26"/>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<sst xmlns="http://schemas.openxmlformats.org/spreadsheetml/2006/main" count="2527" uniqueCount="950">
  <si>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</si>
  <si>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</si>
  <si>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</si>
  <si>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</si>
  <si>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</si>
  <si>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</si>
  <si>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</si>
  <si>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</si>
  <si>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</si>
  <si>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</si>
  <si>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</si>
  <si>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</si>
  <si>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</si>
  <si>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</si>
  <si>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</si>
  <si>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</si>
  <si>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</si>
  <si>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</si>
  <si>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</si>
  <si>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</si>
  <si>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</si>
  <si>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</si>
  <si>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</si>
  <si>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</si>
  <si>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</si>
  <si>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</si>
  <si>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</si>
  <si>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</si>
  <si>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</si>
  <si>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</si>
  <si>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</si>
  <si>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</si>
  <si>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</si>
  <si>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</si>
  <si>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</si>
  <si>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</si>
  <si>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</si>
  <si>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</si>
  <si>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</si>
  <si>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</si>
  <si>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</si>
  <si>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</si>
  <si>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</si>
  <si>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</si>
  <si>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</si>
  <si>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</si>
  <si>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</si>
  <si>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</si>
  <si>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</si>
  <si>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</si>
  <si>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</si>
  <si>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</si>
  <si>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</si>
  <si>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</si>
  <si>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</si>
  <si>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</si>
  <si>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</si>
  <si>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</si>
  <si>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</si>
  <si>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</si>
  <si>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</si>
  <si>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</si>
  <si>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</si>
  <si>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</si>
  <si>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</si>
  <si>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</si>
  <si>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</si>
  <si>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</si>
  <si>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</si>
  <si>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</si>
  <si>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</si>
  <si>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</si>
  <si>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</si>
  <si>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</si>
  <si>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</si>
  <si>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</si>
  <si>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</si>
  <si>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</si>
  <si>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</si>
  <si>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</si>
  <si>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</si>
  <si>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</si>
  <si>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</si>
  <si>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</si>
  <si>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</si>
  <si>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</si>
  <si>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</si>
  <si>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</si>
  <si>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</si>
  <si>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</si>
  <si>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</si>
  <si>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</si>
  <si>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</si>
  <si>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</si>
  <si>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</si>
  <si>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</si>
  <si>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</si>
  <si>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</si>
  <si>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</si>
  <si>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</si>
  <si>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</si>
  <si>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</si>
  <si>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</si>
  <si>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</si>
  <si>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</si>
  <si>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</si>
  <si>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</si>
  <si>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</si>
  <si>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</si>
  <si>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</si>
  <si>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</si>
  <si>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</si>
  <si>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</si>
  <si>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</si>
  <si>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</si>
  <si>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</si>
  <si>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</si>
  <si>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</si>
  <si>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</si>
  <si>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</si>
  <si>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</si>
  <si>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</si>
  <si>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</si>
  <si>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</si>
  <si>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</si>
  <si>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</si>
  <si>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</si>
  <si>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</si>
  <si>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</si>
  <si>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</si>
  <si>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</si>
  <si>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</si>
  <si>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</si>
  <si>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</si>
  <si>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</si>
  <si>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</si>
  <si>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</si>
  <si>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</si>
  <si>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</si>
  <si>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</si>
  <si>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</si>
  <si>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</si>
  <si>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</si>
  <si>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</si>
  <si>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</si>
  <si>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</si>
  <si>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</si>
  <si>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</si>
  <si>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</si>
  <si>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</si>
  <si>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</si>
  <si>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</si>
  <si>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</si>
  <si>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</si>
  <si>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</si>
  <si>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</si>
  <si>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</si>
  <si>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</si>
  <si>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</si>
  <si>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</si>
  <si>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</si>
  <si>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</si>
  <si>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</si>
  <si>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</si>
  <si>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</si>
  <si>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</si>
  <si>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</si>
  <si>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</si>
  <si>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</si>
  <si>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</si>
  <si>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</si>
  <si>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</si>
  <si>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</si>
  <si>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</si>
  <si>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</si>
  <si>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</si>
  <si>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</si>
  <si>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</si>
  <si>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</si>
  <si>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</si>
  <si>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</si>
  <si>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</si>
  <si>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</si>
  <si>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</si>
  <si>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</si>
  <si>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</si>
  <si>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</si>
  <si>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</si>
  <si>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</si>
  <si>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</si>
  <si>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</si>
  <si>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</si>
  <si>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</si>
  <si>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</si>
  <si>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</si>
  <si>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</si>
  <si>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</si>
  <si>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</si>
  <si>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</si>
  <si>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</si>
  <si>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</si>
  <si>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</si>
  <si>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</si>
  <si>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</si>
  <si>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</si>
  <si>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</si>
  <si>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</si>
  <si>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</si>
  <si>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</si>
  <si>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</si>
  <si>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</si>
  <si>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</si>
  <si>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</si>
  <si>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</si>
  <si>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</si>
  <si>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</si>
  <si>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</si>
  <si>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</si>
  <si>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</si>
  <si>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</si>
  <si>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</si>
  <si>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</si>
  <si>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</si>
  <si>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</si>
  <si>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</si>
  <si>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</si>
  <si>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</si>
  <si>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</si>
  <si>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</si>
  <si>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</si>
  <si>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</si>
  <si>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</si>
  <si>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</si>
  <si>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</si>
  <si>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</si>
  <si>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</si>
  <si>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</si>
  <si>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</si>
  <si>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</si>
  <si>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</si>
  <si>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</si>
  <si>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</si>
  <si>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</si>
  <si>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</si>
  <si>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</si>
  <si>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</si>
  <si>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</si>
  <si>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</si>
  <si>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</si>
  <si>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</si>
  <si>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</si>
  <si>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</si>
  <si>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</si>
  <si>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</si>
  <si>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</si>
  <si>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</si>
  <si>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</si>
  <si>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</si>
  <si>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</si>
  <si>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</si>
  <si>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</si>
  <si>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</si>
  <si>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</si>
  <si>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</si>
  <si>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</si>
  <si>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</si>
  <si>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</si>
  <si>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</si>
  <si>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</si>
  <si>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</si>
  <si>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</si>
  <si>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</si>
  <si>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</si>
  <si>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</si>
  <si>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</si>
  <si>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</si>
  <si>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</si>
  <si>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</si>
  <si>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</si>
  <si>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</si>
  <si>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</si>
  <si>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</si>
  <si>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</si>
  <si>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</si>
  <si>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</si>
  <si>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</si>
  <si>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</si>
  <si>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</si>
  <si>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</si>
  <si>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</si>
  <si>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</si>
  <si>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</si>
  <si>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</si>
  <si>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</si>
  <si>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</si>
  <si>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</si>
  <si>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</si>
  <si>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</si>
  <si>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</si>
  <si>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</si>
  <si>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</si>
  <si>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</si>
  <si>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</si>
  <si>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</si>
  <si>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</si>
  <si>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</si>
  <si>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</si>
  <si>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</si>
  <si>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</si>
  <si>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</si>
  <si>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</si>
  <si>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</si>
  <si>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</si>
  <si>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</si>
  <si>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</si>
  <si>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</si>
  <si>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</si>
  <si>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</si>
  <si>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</si>
  <si>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</si>
  <si>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</si>
  <si>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</si>
  <si>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</si>
  <si>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</si>
  <si>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</si>
  <si>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</si>
  <si>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</si>
  <si>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</si>
  <si>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</si>
  <si>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</si>
  <si>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</si>
  <si>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</si>
  <si>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</si>
  <si>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</si>
  <si>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</si>
  <si>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</si>
  <si>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</si>
  <si>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</si>
  <si>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</si>
  <si>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</si>
  <si>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</si>
  <si>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</si>
  <si>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</si>
  <si>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</si>
  <si>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</si>
  <si>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</si>
  <si>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</si>
  <si>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</si>
  <si>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</si>
  <si>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</si>
  <si>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</si>
  <si>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</si>
  <si>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</si>
  <si>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</si>
  <si>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</si>
  <si>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</si>
  <si>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</si>
  <si>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</si>
  <si>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</si>
  <si>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</si>
  <si>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</si>
  <si>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</si>
  <si>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</si>
  <si>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</si>
  <si>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</si>
  <si>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</si>
  <si>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</si>
  <si>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</si>
  <si>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</si>
  <si>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</si>
  <si>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</si>
  <si>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</si>
  <si>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</si>
  <si>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</si>
  <si>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</si>
  <si>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</si>
  <si>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</si>
  <si>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</si>
  <si>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</si>
  <si>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</si>
  <si>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</si>
  <si>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</si>
  <si>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</si>
  <si>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</si>
  <si>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</si>
  <si>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</si>
  <si>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</si>
  <si>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</si>
  <si>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</si>
  <si>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</si>
  <si>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</si>
  <si>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</si>
  <si>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</si>
  <si>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</si>
  <si>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</si>
  <si>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</si>
  <si>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</si>
  <si>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</si>
  <si>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</si>
  <si>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</si>
  <si>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</si>
  <si>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</si>
  <si>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</si>
  <si>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</si>
  <si>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</si>
  <si>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</si>
  <si>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</si>
  <si>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</si>
  <si>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</si>
  <si>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</si>
  <si>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</si>
  <si>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</si>
  <si>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</si>
  <si>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</si>
  <si>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</si>
  <si>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</si>
  <si>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</si>
  <si>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</si>
  <si>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</si>
  <si>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</si>
  <si>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</si>
  <si>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</si>
  <si>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</si>
  <si>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</si>
  <si>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</si>
  <si>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</si>
  <si>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</si>
  <si>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</si>
  <si>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</si>
  <si>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</si>
  <si>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</si>
  <si>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</si>
  <si>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</si>
  <si>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</si>
  <si>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</si>
  <si>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</si>
  <si>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</si>
  <si>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</si>
  <si>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</si>
  <si>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</si>
  <si>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</si>
  <si>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</si>
  <si>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</si>
  <si>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</si>
  <si>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</si>
  <si>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</si>
  <si>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</si>
  <si>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</si>
  <si>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</si>
  <si>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</si>
  <si>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</si>
  <si>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</si>
  <si>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</si>
  <si>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</si>
  <si>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</si>
  <si>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</si>
  <si>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</si>
  <si>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</si>
  <si>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</si>
  <si>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</si>
  <si>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</si>
  <si>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</si>
  <si>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</si>
  <si>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</si>
  <si>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</si>
  <si>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</si>
  <si>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</si>
  <si>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</si>
  <si>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</si>
  <si>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</si>
  <si>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</si>
  <si>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</si>
  <si>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</si>
  <si>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</si>
  <si>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</si>
  <si>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</si>
  <si>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</si>
  <si>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</si>
  <si>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</si>
  <si>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</si>
  <si>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</si>
  <si>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</si>
  <si>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</si>
  <si>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</si>
  <si>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</si>
  <si>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</si>
  <si>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</si>
  <si>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</si>
  <si>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</si>
  <si>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</si>
  <si>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</si>
  <si>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</si>
  <si>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</si>
  <si>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</si>
  <si>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</si>
  <si>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</si>
  <si>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</si>
  <si>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</si>
  <si>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</si>
  <si>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</si>
  <si>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</si>
  <si>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</si>
  <si>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</si>
  <si>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</si>
  <si>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</si>
  <si>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</si>
  <si>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</si>
  <si>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</si>
  <si>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</si>
  <si>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</si>
  <si>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</si>
  <si>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</si>
  <si>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</si>
  <si>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</si>
  <si>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</si>
  <si>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</si>
  <si>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</si>
  <si>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</si>
  <si>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</si>
  <si>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</si>
  <si>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</si>
  <si>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</si>
  <si>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</si>
  <si>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</si>
  <si>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</si>
  <si>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</si>
  <si>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</si>
  <si>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</si>
  <si>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</si>
  <si>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</si>
  <si>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</si>
  <si>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</si>
  <si>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</si>
  <si>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</si>
  <si>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</si>
  <si>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</si>
  <si>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</si>
  <si>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</si>
  <si>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</si>
  <si>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</si>
  <si>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</si>
  <si>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</si>
  <si>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</si>
  <si>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</si>
  <si>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</si>
  <si>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</si>
  <si>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</si>
  <si>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</si>
  <si>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</si>
  <si>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</si>
  <si>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</si>
  <si>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</si>
  <si>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</si>
  <si>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</si>
  <si>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</si>
  <si>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</si>
  <si>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</si>
  <si>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</si>
  <si>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</si>
  <si>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</si>
  <si>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</si>
  <si>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</si>
  <si>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</si>
  <si>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</si>
  <si>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</si>
  <si>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</si>
  <si>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</si>
  <si>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</si>
  <si>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</si>
  <si>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</si>
  <si>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</si>
  <si>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</si>
  <si>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</si>
  <si>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</si>
  <si>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</si>
  <si>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</si>
  <si>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</si>
  <si>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</si>
  <si>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</si>
  <si>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</si>
  <si>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</si>
  <si>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</si>
  <si>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</si>
  <si>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</si>
  <si>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</si>
  <si>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</si>
  <si>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</si>
  <si>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</si>
  <si>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</si>
  <si>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</si>
  <si>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</si>
  <si>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</si>
  <si>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</si>
  <si>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</si>
  <si>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</si>
  <si>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</si>
  <si>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</si>
  <si>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</si>
  <si>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</si>
  <si>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</si>
  <si>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</si>
  <si>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</si>
  <si>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</si>
  <si>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</si>
  <si>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</si>
  <si>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</si>
  <si>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</si>
  <si>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</si>
  <si>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</si>
  <si>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</si>
  <si>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</si>
  <si>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</si>
  <si>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</si>
  <si>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</si>
  <si>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</si>
  <si>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</si>
  <si>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</si>
  <si>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</si>
  <si>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</si>
  <si>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</si>
  <si>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</si>
  <si>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</si>
  <si>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</si>
  <si>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</si>
  <si>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</si>
  <si>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</si>
  <si>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</si>
  <si>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</si>
  <si>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</si>
  <si>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</si>
  <si>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</si>
  <si>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</si>
  <si>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</si>
  <si>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</si>
  <si>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</si>
  <si>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</si>
  <si>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</si>
  <si>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</si>
  <si>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</si>
  <si>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</si>
  <si>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</si>
  <si>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</si>
  <si>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</si>
  <si>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</si>
  <si>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</si>
  <si>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</si>
  <si>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</si>
  <si>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</si>
  <si>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</si>
  <si>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</si>
  <si>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</si>
  <si>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</si>
  <si>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</si>
  <si>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</si>
  <si>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</si>
  <si>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</si>
  <si>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</si>
  <si>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</si>
  <si>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</si>
  <si>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</si>
  <si>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</si>
  <si>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</si>
  <si>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</si>
  <si>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</si>
  <si>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</si>
  <si>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</si>
  <si>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</si>
  <si>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</si>
  <si>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</si>
  <si>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</si>
  <si>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</si>
  <si>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</si>
  <si>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</si>
  <si>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</si>
  <si>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</si>
  <si>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</si>
  <si>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</si>
  <si>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</si>
  <si>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</si>
  <si>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</si>
  <si>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</si>
  <si>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</si>
  <si>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</si>
  <si>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</si>
  <si>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</si>
  <si>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</si>
  <si>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</si>
  <si>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</si>
  <si>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</si>
  <si>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</si>
  <si>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</si>
  <si>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</si>
  <si>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</si>
  <si>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</si>
  <si>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</si>
  <si>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</si>
  <si>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</si>
  <si>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</si>
  <si>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</si>
  <si>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</si>
  <si>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</si>
  <si>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</si>
  <si>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</si>
  <si>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</si>
  <si>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</si>
  <si>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</si>
  <si>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</si>
  <si>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</si>
  <si>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</si>
  <si>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</si>
  <si>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</si>
  <si>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</si>
  <si>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</si>
  <si>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</si>
  <si>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</si>
  <si>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</si>
  <si>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</si>
  <si>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</si>
  <si>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</si>
  <si>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</si>
  <si>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</si>
  <si>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</si>
  <si>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</si>
  <si>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</si>
  <si>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</si>
  <si>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</si>
  <si>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</si>
  <si>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</si>
  <si>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</si>
  <si>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</si>
  <si>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</si>
  <si>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</si>
  <si>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</si>
  <si>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</si>
  <si>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</si>
  <si>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</si>
  <si>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</si>
  <si>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</si>
  <si>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</si>
  <si>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</si>
  <si>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</si>
  <si>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</si>
  <si>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</si>
  <si>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</si>
  <si>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</si>
  <si>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</si>
  <si>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</si>
  <si>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</si>
  <si>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</si>
  <si>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</si>
  <si>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</si>
  <si>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</si>
  <si>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</si>
  <si>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</si>
  <si>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</si>
  <si>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</si>
  <si>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</si>
  <si>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</si>
  <si>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</si>
  <si>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</si>
  <si>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</si>
  <si>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</si>
  <si>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</si>
  <si>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</si>
  <si>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</si>
  <si>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</si>
  <si>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</si>
  <si>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</si>
  <si>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</si>
  <si>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</si>
  <si>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</si>
  <si>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</si>
  <si>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</si>
  <si>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</si>
  <si>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</si>
  <si>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</si>
  <si>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</si>
  <si>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</si>
  <si>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</si>
  <si>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</si>
  <si>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</si>
  <si>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</si>
  <si>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</si>
  <si>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</si>
  <si>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</si>
  <si>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</si>
  <si>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</si>
  <si>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</si>
  <si>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</si>
  <si>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</si>
  <si>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</si>
  <si>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</si>
  <si>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</si>
  <si>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</si>
  <si>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</si>
  <si>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</si>
  <si>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</si>
  <si>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</si>
  <si>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</si>
  <si>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</si>
  <si>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</si>
  <si>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</si>
  <si>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</si>
  <si>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</si>
  <si>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</si>
  <si>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</si>
  <si>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</si>
  <si>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</si>
  <si>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</si>
  <si>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</si>
  <si>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</si>
  <si>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</si>
  <si>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</si>
  <si>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</si>
  <si>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</si>
  <si>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</si>
  <si>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</si>
  <si>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</si>
  <si>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</si>
  <si>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</si>
  <si>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</si>
  <si>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</si>
  <si>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</si>
  <si>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</si>
  <si>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</si>
  <si>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</si>
  <si>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</si>
  <si>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</si>
  <si>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</si>
  <si>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</si>
  <si>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</si>
  <si>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</si>
  <si>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</si>
  <si>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</si>
  <si>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</si>
  <si>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</si>
  <si>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</si>
  <si>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</si>
  <si>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</si>
  <si>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</si>
  <si>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</si>
  <si>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</si>
  <si>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</si>
  <si>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</si>
  <si>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</si>
  <si>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</si>
  <si>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</si>
  <si>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</si>
  <si>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</si>
  <si>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</si>
  <si>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</si>
  <si>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</si>
  <si>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</si>
  <si>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</si>
  <si>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</si>
  <si>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</si>
  <si>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</si>
  <si>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</si>
  <si>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</si>
  <si>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</si>
  <si>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</si>
  <si>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</si>
  <si>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</si>
  <si>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</si>
  <si>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</si>
  <si>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</si>
  <si>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</si>
  <si>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</si>
  <si>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</si>
  <si>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</si>
  <si>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</si>
  <si>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</si>
  <si>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</si>
  <si>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</si>
  <si>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</si>
  <si>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</si>
  <si>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</si>
  <si>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</si>
  <si>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</si>
  <si>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</si>
  <si>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</si>
  <si>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</si>
  <si>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</si>
  <si>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</si>
  <si>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</si>
  <si>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</si>
  <si>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</si>
  <si>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</si>
  <si>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</si>
  <si>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</si>
  <si>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</si>
  <si>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</si>
  <si>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</si>
  <si>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</si>
  <si>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</si>
  <si>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</si>
  <si>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</si>
  <si>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</si>
  <si>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</si>
  <si>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46003</t>
  </si>
  <si>
    <t>BEVEREN</t>
  </si>
  <si>
    <t>Paarden&amp;pony's 200 - 600 kg</t>
  </si>
  <si>
    <t>Paarden&amp;pony's &lt; 200 kg</t>
  </si>
  <si>
    <t>referentietaak LNE (2017); Jaarverslag De Lijn (2014)</t>
  </si>
  <si>
    <t>op basis van VEA (maart 2018) en Inventaris Hernieuwbare Energiebronnen (juni 2018)</t>
  </si>
  <si>
    <t>VEA (maart 2016)</t>
  </si>
  <si>
    <t>VEA (juni 2018)</t>
  </si>
  <si>
    <t>Van De Ven</t>
  </si>
  <si>
    <t>Dweerse Kromstraat 53, 9120 Melsele</t>
  </si>
  <si>
    <t>WKK-0091 Van De Ven</t>
  </si>
  <si>
    <t>interne verbrandingsmotor</t>
  </si>
  <si>
    <t>WKK interne verbrandinsgmotor (gas)</t>
  </si>
  <si>
    <t>INTERGEM</t>
  </si>
  <si>
    <t>Pijl LV</t>
  </si>
  <si>
    <t>Priemstraat 30, 9120 Melsele</t>
  </si>
  <si>
    <t>WKK-0119 Pijl NV</t>
  </si>
  <si>
    <t>Tomerel</t>
  </si>
  <si>
    <t>Pauwstraat 147, 9120 Melsele</t>
  </si>
  <si>
    <t>WKK-0151 Tomerel</t>
  </si>
  <si>
    <t>Biogas Boeye BVBA</t>
  </si>
  <si>
    <t>Perstraat 127 , 9120 Beveren-Waas</t>
  </si>
  <si>
    <t>WKK-0208 Biogas Boeye</t>
  </si>
  <si>
    <t>Tomaline BVBA</t>
  </si>
  <si>
    <t>Veldstraat 1A , 9120 Melsele</t>
  </si>
  <si>
    <t>WKK-0200 Tomaline</t>
  </si>
  <si>
    <t>Groeikracht Vrasene NV</t>
  </si>
  <si>
    <t>Laarstraat 1 , 9120 Vrasene</t>
  </si>
  <si>
    <t>WKK-0306 Groeikracht Vrasene</t>
  </si>
  <si>
    <t>Laarstraat 1 , 9120 Beveren-Waas</t>
  </si>
  <si>
    <t>Van der Valk Hotel Beveren nv</t>
  </si>
  <si>
    <t>Gentseweg 280 , 9120 Beveren-Waas</t>
  </si>
  <si>
    <t>WKK-0261 Van Der Valk Hotel Beveren</t>
  </si>
  <si>
    <t>Op de Beeck nv</t>
  </si>
  <si>
    <t>Molenweg Kaai 1936 , 9120 Kallo (Beveren-Waas)</t>
  </si>
  <si>
    <t>WKK-0433 Op De Beeck</t>
  </si>
  <si>
    <t>S&amp;R Beveren NV</t>
  </si>
  <si>
    <t>Pastoor Steenssensstraat 329 , 9120 Beveren-Waas</t>
  </si>
  <si>
    <t>WKK-0586 S&amp;R Beveren</t>
  </si>
  <si>
    <t>Meerminnendam 29 , 9120 Beveren-Waas</t>
  </si>
  <si>
    <t>Apers-Mertens Koen &amp; Lieve FV</t>
  </si>
  <si>
    <t>Botermelkstraat 6 , 9120 Haasdonk</t>
  </si>
  <si>
    <t>WKK-0570 Apers-Mertens</t>
  </si>
  <si>
    <t>Van Remoortel Aardappelverwerking NV</t>
  </si>
  <si>
    <t>Aven Ackers 15 b, 9130 Verrebroek</t>
  </si>
  <si>
    <t>WKK-0582 Van Remoortel</t>
  </si>
  <si>
    <t>NPG Bio II NV</t>
  </si>
  <si>
    <t>Tongersesteenweg 99 , 3770 Riemst</t>
  </si>
  <si>
    <t>WKK-0538 NPG Doel</t>
  </si>
  <si>
    <t>Sint-Antoniusweg 1700 , 9120 Kallo (Beveren-Waas)</t>
  </si>
  <si>
    <t>Elia (DNB)</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</si>
</sst>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319777.15626912151</c:v>
                </c:pt>
                <c:pt idx="1">
                  <c:v>219127.16898789612</c:v>
                </c:pt>
                <c:pt idx="2">
                  <c:v>3140.61</c:v>
                </c:pt>
                <c:pt idx="3">
                  <c:v>143302.60887890102</c:v>
                </c:pt>
                <c:pt idx="4">
                  <c:v>174677.5594763915</c:v>
                </c:pt>
                <c:pt idx="5">
                  <c:v>644605.8227732646</c:v>
                </c:pt>
                <c:pt idx="6">
                  <c:v>3931.7272060351979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319777.15626912151</c:v>
                </c:pt>
                <c:pt idx="1">
                  <c:v>219127.16898789612</c:v>
                </c:pt>
                <c:pt idx="2">
                  <c:v>3140.61</c:v>
                </c:pt>
                <c:pt idx="3">
                  <c:v>143302.60887890102</c:v>
                </c:pt>
                <c:pt idx="4">
                  <c:v>174677.5594763915</c:v>
                </c:pt>
                <c:pt idx="5">
                  <c:v>644605.8227732646</c:v>
                </c:pt>
                <c:pt idx="6">
                  <c:v>3931.7272060351979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55473.075278496093</c:v>
                </c:pt>
                <c:pt idx="2">
                  <c:v>39336.047450058431</c:v>
                </c:pt>
                <c:pt idx="3">
                  <c:v>503.44016385904251</c:v>
                </c:pt>
                <c:pt idx="4">
                  <c:v>25278.098350056913</c:v>
                </c:pt>
                <c:pt idx="5">
                  <c:v>31386.986835680098</c:v>
                </c:pt>
                <c:pt idx="6">
                  <c:v>161899.61273038722</c:v>
                </c:pt>
                <c:pt idx="7">
                  <c:v>993.13553934882657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4160"/>
        <c:axId val="147170048"/>
      </c:barChart>
      <c:catAx>
        <c:axId val="147164160"/>
        <c:scaling>
          <c:orientation val="minMax"/>
        </c:scaling>
        <c:axPos val="b"/>
        <c:numFmt formatCode="General" sourceLinked="0"/>
        <c:tickLblPos val="nextTo"/>
        <c:crossAx val="147170048"/>
        <c:crosses val="autoZero"/>
        <c:auto val="1"/>
        <c:lblAlgn val="ctr"/>
        <c:lblOffset val="100"/>
      </c:catAx>
      <c:valAx>
        <c:axId val="147170048"/>
        <c:scaling>
          <c:orientation val="minMax"/>
        </c:scaling>
        <c:axPos val="l"/>
        <c:majorGridlines/>
        <c:numFmt formatCode="#,##0" sourceLinked="1"/>
        <c:tickLblPos val="nextTo"/>
        <c:crossAx val="147164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55473.075278496093</c:v>
                </c:pt>
                <c:pt idx="2">
                  <c:v>39336.047450058431</c:v>
                </c:pt>
                <c:pt idx="3">
                  <c:v>503.44016385904251</c:v>
                </c:pt>
                <c:pt idx="4">
                  <c:v>25278.098350056913</c:v>
                </c:pt>
                <c:pt idx="5">
                  <c:v>31386.986835680098</c:v>
                </c:pt>
                <c:pt idx="6">
                  <c:v>161899.61273038722</c:v>
                </c:pt>
                <c:pt idx="7">
                  <c:v>993.13553934882657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46003</v>
      </c>
      <c r="B6" s="416"/>
      <c r="C6" s="417"/>
    </row>
    <row r="7" spans="1:7" s="414" customFormat="1" ht="15.75" customHeight="1">
      <c r="A7" s="418" t="str">
        <f>txtMunicipality</f>
        <v>BEVEREN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0.16030012126913004</v>
      </c>
      <c r="C17" s="525">
        <f ca="1">'EF ele_warmte'!B22</f>
        <v>0.1549467594760045</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0.16030012126913004</v>
      </c>
      <c r="C29" s="526">
        <f ca="1">'EF ele_warmte'!B22</f>
        <v>0.1549467594760045</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46003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19458</v>
      </c>
      <c r="C9" s="342">
        <v>20115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7057</v>
      </c>
    </row>
    <row r="15" spans="1:6">
      <c r="A15" s="348" t="s">
        <v>184</v>
      </c>
      <c r="B15" s="334">
        <v>39</v>
      </c>
    </row>
    <row r="16" spans="1:6">
      <c r="A16" s="348" t="s">
        <v>6</v>
      </c>
      <c r="B16" s="334">
        <v>1734</v>
      </c>
    </row>
    <row r="17" spans="1:6">
      <c r="A17" s="348" t="s">
        <v>7</v>
      </c>
      <c r="B17" s="334">
        <v>2229</v>
      </c>
    </row>
    <row r="18" spans="1:6">
      <c r="A18" s="348" t="s">
        <v>8</v>
      </c>
      <c r="B18" s="334">
        <v>3203</v>
      </c>
    </row>
    <row r="19" spans="1:6">
      <c r="A19" s="348" t="s">
        <v>9</v>
      </c>
      <c r="B19" s="334">
        <v>3154</v>
      </c>
    </row>
    <row r="20" spans="1:6">
      <c r="A20" s="348" t="s">
        <v>10</v>
      </c>
      <c r="B20" s="334">
        <v>1865</v>
      </c>
    </row>
    <row r="21" spans="1:6">
      <c r="A21" s="348" t="s">
        <v>11</v>
      </c>
      <c r="B21" s="334">
        <v>25082</v>
      </c>
    </row>
    <row r="22" spans="1:6">
      <c r="A22" s="348" t="s">
        <v>12</v>
      </c>
      <c r="B22" s="334">
        <v>53993</v>
      </c>
    </row>
    <row r="23" spans="1:6">
      <c r="A23" s="348" t="s">
        <v>13</v>
      </c>
      <c r="B23" s="334">
        <v>1148</v>
      </c>
    </row>
    <row r="24" spans="1:6">
      <c r="A24" s="348" t="s">
        <v>14</v>
      </c>
      <c r="B24" s="334">
        <v>47</v>
      </c>
    </row>
    <row r="25" spans="1:6">
      <c r="A25" s="348" t="s">
        <v>15</v>
      </c>
      <c r="B25" s="334">
        <v>6936</v>
      </c>
    </row>
    <row r="26" spans="1:6">
      <c r="A26" s="348" t="s">
        <v>16</v>
      </c>
      <c r="B26" s="334">
        <v>128</v>
      </c>
    </row>
    <row r="27" spans="1:6">
      <c r="A27" s="348" t="s">
        <v>17</v>
      </c>
      <c r="B27" s="334">
        <v>0</v>
      </c>
    </row>
    <row r="28" spans="1:6" s="356" customFormat="1">
      <c r="A28" s="355" t="s">
        <v>18</v>
      </c>
      <c r="B28" s="355">
        <v>595464</v>
      </c>
    </row>
    <row r="29" spans="1:6">
      <c r="A29" s="355" t="s">
        <v>901</v>
      </c>
      <c r="B29" s="355">
        <v>278</v>
      </c>
      <c r="C29" s="356"/>
      <c r="D29" s="356"/>
      <c r="E29" s="356"/>
      <c r="F29" s="356"/>
    </row>
    <row r="30" spans="1:6">
      <c r="A30" s="341" t="s">
        <v>902</v>
      </c>
      <c r="B30" s="341">
        <v>68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7</v>
      </c>
      <c r="F35" s="334">
        <v>198218.1</v>
      </c>
    </row>
    <row r="36" spans="1:6">
      <c r="A36" s="348" t="s">
        <v>25</v>
      </c>
      <c r="B36" s="348" t="s">
        <v>27</v>
      </c>
      <c r="C36" s="334">
        <v>0</v>
      </c>
      <c r="D36" s="334">
        <v>0</v>
      </c>
      <c r="E36" s="334">
        <v>42</v>
      </c>
      <c r="F36" s="334">
        <v>2343526</v>
      </c>
    </row>
    <row r="37" spans="1:6">
      <c r="A37" s="348" t="s">
        <v>25</v>
      </c>
      <c r="B37" s="348" t="s">
        <v>28</v>
      </c>
      <c r="C37" s="334">
        <v>0</v>
      </c>
      <c r="D37" s="334">
        <v>0</v>
      </c>
      <c r="E37" s="334">
        <v>0</v>
      </c>
      <c r="F37" s="334">
        <v>0</v>
      </c>
    </row>
    <row r="38" spans="1:6">
      <c r="A38" s="348" t="s">
        <v>25</v>
      </c>
      <c r="B38" s="348" t="s">
        <v>29</v>
      </c>
      <c r="C38" s="334">
        <v>4</v>
      </c>
      <c r="D38" s="334">
        <v>16010441.8328456</v>
      </c>
      <c r="E38" s="334">
        <v>5</v>
      </c>
      <c r="F38" s="334">
        <v>15712.57</v>
      </c>
    </row>
    <row r="39" spans="1:6">
      <c r="A39" s="348" t="s">
        <v>30</v>
      </c>
      <c r="B39" s="348" t="s">
        <v>31</v>
      </c>
      <c r="C39" s="334">
        <v>14263</v>
      </c>
      <c r="D39" s="334">
        <v>198959994.88997099</v>
      </c>
      <c r="E39" s="334">
        <v>19309</v>
      </c>
      <c r="F39" s="334">
        <v>90469341</v>
      </c>
    </row>
    <row r="40" spans="1:6">
      <c r="A40" s="348" t="s">
        <v>30</v>
      </c>
      <c r="B40" s="348" t="s">
        <v>29</v>
      </c>
      <c r="C40" s="334">
        <v>0</v>
      </c>
      <c r="D40" s="334">
        <v>0</v>
      </c>
      <c r="E40" s="334">
        <v>0</v>
      </c>
      <c r="F40" s="334">
        <v>0</v>
      </c>
    </row>
    <row r="41" spans="1:6">
      <c r="A41" s="348" t="s">
        <v>32</v>
      </c>
      <c r="B41" s="348" t="s">
        <v>33</v>
      </c>
      <c r="C41" s="334">
        <v>169</v>
      </c>
      <c r="D41" s="334">
        <v>12337314.697537901</v>
      </c>
      <c r="E41" s="334">
        <v>368</v>
      </c>
      <c r="F41" s="334">
        <v>7995144</v>
      </c>
    </row>
    <row r="42" spans="1:6">
      <c r="A42" s="348" t="s">
        <v>32</v>
      </c>
      <c r="B42" s="348" t="s">
        <v>34</v>
      </c>
      <c r="C42" s="334">
        <v>0</v>
      </c>
      <c r="D42" s="334">
        <v>0</v>
      </c>
      <c r="E42" s="334">
        <v>5</v>
      </c>
      <c r="F42" s="334">
        <v>17928318</v>
      </c>
    </row>
    <row r="43" spans="1:6">
      <c r="A43" s="348" t="s">
        <v>32</v>
      </c>
      <c r="B43" s="348" t="s">
        <v>35</v>
      </c>
      <c r="C43" s="334">
        <v>0</v>
      </c>
      <c r="D43" s="334">
        <v>0</v>
      </c>
      <c r="E43" s="334">
        <v>0</v>
      </c>
      <c r="F43" s="334">
        <v>0</v>
      </c>
    </row>
    <row r="44" spans="1:6">
      <c r="A44" s="348" t="s">
        <v>32</v>
      </c>
      <c r="B44" s="348" t="s">
        <v>36</v>
      </c>
      <c r="C44" s="334">
        <v>0</v>
      </c>
      <c r="D44" s="334">
        <v>0</v>
      </c>
      <c r="E44" s="334">
        <v>34</v>
      </c>
      <c r="F44" s="334">
        <v>602590.80000000005</v>
      </c>
    </row>
    <row r="45" spans="1:6">
      <c r="A45" s="348" t="s">
        <v>32</v>
      </c>
      <c r="B45" s="348" t="s">
        <v>37</v>
      </c>
      <c r="C45" s="334">
        <v>3</v>
      </c>
      <c r="D45" s="334">
        <v>64203.522616766299</v>
      </c>
      <c r="E45" s="334">
        <v>3</v>
      </c>
      <c r="F45" s="334">
        <v>47942.09</v>
      </c>
    </row>
    <row r="46" spans="1:6">
      <c r="A46" s="348" t="s">
        <v>32</v>
      </c>
      <c r="B46" s="348" t="s">
        <v>38</v>
      </c>
      <c r="C46" s="334">
        <v>0</v>
      </c>
      <c r="D46" s="334">
        <v>0</v>
      </c>
      <c r="E46" s="334">
        <v>0</v>
      </c>
      <c r="F46" s="334">
        <v>0</v>
      </c>
    </row>
    <row r="47" spans="1:6">
      <c r="A47" s="348" t="s">
        <v>32</v>
      </c>
      <c r="B47" s="348" t="s">
        <v>39</v>
      </c>
      <c r="C47" s="334">
        <v>3</v>
      </c>
      <c r="D47" s="334">
        <v>61258.501128800599</v>
      </c>
      <c r="E47" s="334">
        <v>7</v>
      </c>
      <c r="F47" s="334">
        <v>262530.7</v>
      </c>
    </row>
    <row r="48" spans="1:6">
      <c r="A48" s="348" t="s">
        <v>32</v>
      </c>
      <c r="B48" s="348" t="s">
        <v>29</v>
      </c>
      <c r="C48" s="334">
        <v>50</v>
      </c>
      <c r="D48" s="334">
        <v>28618295.063297998</v>
      </c>
      <c r="E48" s="334">
        <v>75</v>
      </c>
      <c r="F48" s="334">
        <v>61355848</v>
      </c>
    </row>
    <row r="49" spans="1:6">
      <c r="A49" s="348" t="s">
        <v>32</v>
      </c>
      <c r="B49" s="348" t="s">
        <v>40</v>
      </c>
      <c r="C49" s="334">
        <v>3</v>
      </c>
      <c r="D49" s="334">
        <v>54319.1327086155</v>
      </c>
      <c r="E49" s="334">
        <v>9</v>
      </c>
      <c r="F49" s="334">
        <v>58297.04</v>
      </c>
    </row>
    <row r="50" spans="1:6">
      <c r="A50" s="348" t="s">
        <v>32</v>
      </c>
      <c r="B50" s="348" t="s">
        <v>41</v>
      </c>
      <c r="C50" s="334">
        <v>26</v>
      </c>
      <c r="D50" s="334">
        <v>1553895.81002819</v>
      </c>
      <c r="E50" s="334">
        <v>32</v>
      </c>
      <c r="F50" s="334">
        <v>2366477</v>
      </c>
    </row>
    <row r="51" spans="1:6">
      <c r="A51" s="348" t="s">
        <v>42</v>
      </c>
      <c r="B51" s="348" t="s">
        <v>43</v>
      </c>
      <c r="C51" s="334">
        <v>52</v>
      </c>
      <c r="D51" s="334">
        <v>124685208.903923</v>
      </c>
      <c r="E51" s="334">
        <v>350</v>
      </c>
      <c r="F51" s="334">
        <v>9400874</v>
      </c>
    </row>
    <row r="52" spans="1:6">
      <c r="A52" s="348" t="s">
        <v>42</v>
      </c>
      <c r="B52" s="348" t="s">
        <v>29</v>
      </c>
      <c r="C52" s="334">
        <v>12</v>
      </c>
      <c r="D52" s="334">
        <v>208062.99289112899</v>
      </c>
      <c r="E52" s="334">
        <v>12</v>
      </c>
      <c r="F52" s="334">
        <v>179727.7</v>
      </c>
    </row>
    <row r="53" spans="1:6">
      <c r="A53" s="348" t="s">
        <v>44</v>
      </c>
      <c r="B53" s="348" t="s">
        <v>45</v>
      </c>
      <c r="C53" s="334">
        <v>383</v>
      </c>
      <c r="D53" s="334">
        <v>6566775.9957017396</v>
      </c>
      <c r="E53" s="334">
        <v>897</v>
      </c>
      <c r="F53" s="334">
        <v>8552844</v>
      </c>
    </row>
    <row r="54" spans="1:6">
      <c r="A54" s="348" t="s">
        <v>46</v>
      </c>
      <c r="B54" s="348" t="s">
        <v>47</v>
      </c>
      <c r="C54" s="334">
        <v>0</v>
      </c>
      <c r="D54" s="334">
        <v>0</v>
      </c>
      <c r="E54" s="334">
        <v>1</v>
      </c>
      <c r="F54" s="334">
        <v>3140610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117</v>
      </c>
      <c r="D57" s="334">
        <v>5745923.2120368602</v>
      </c>
      <c r="E57" s="334">
        <v>194</v>
      </c>
      <c r="F57" s="334">
        <v>7496629</v>
      </c>
    </row>
    <row r="58" spans="1:6">
      <c r="A58" s="348" t="s">
        <v>49</v>
      </c>
      <c r="B58" s="348" t="s">
        <v>51</v>
      </c>
      <c r="C58" s="334">
        <v>46</v>
      </c>
      <c r="D58" s="334">
        <v>1657763.04295647</v>
      </c>
      <c r="E58" s="334">
        <v>63</v>
      </c>
      <c r="F58" s="334">
        <v>1651086</v>
      </c>
    </row>
    <row r="59" spans="1:6">
      <c r="A59" s="348" t="s">
        <v>49</v>
      </c>
      <c r="B59" s="348" t="s">
        <v>52</v>
      </c>
      <c r="C59" s="334">
        <v>284</v>
      </c>
      <c r="D59" s="334">
        <v>9886770.0195931401</v>
      </c>
      <c r="E59" s="334">
        <v>561</v>
      </c>
      <c r="F59" s="334">
        <v>20625181</v>
      </c>
    </row>
    <row r="60" spans="1:6">
      <c r="A60" s="348" t="s">
        <v>49</v>
      </c>
      <c r="B60" s="348" t="s">
        <v>53</v>
      </c>
      <c r="C60" s="334">
        <v>124</v>
      </c>
      <c r="D60" s="334">
        <v>4495026.6158618201</v>
      </c>
      <c r="E60" s="334">
        <v>164</v>
      </c>
      <c r="F60" s="334">
        <v>3868234</v>
      </c>
    </row>
    <row r="61" spans="1:6">
      <c r="A61" s="348" t="s">
        <v>49</v>
      </c>
      <c r="B61" s="348" t="s">
        <v>54</v>
      </c>
      <c r="C61" s="334">
        <v>357</v>
      </c>
      <c r="D61" s="334">
        <v>21368014.98734</v>
      </c>
      <c r="E61" s="334">
        <v>689</v>
      </c>
      <c r="F61" s="334">
        <v>78195967</v>
      </c>
    </row>
    <row r="62" spans="1:6">
      <c r="A62" s="348" t="s">
        <v>49</v>
      </c>
      <c r="B62" s="348" t="s">
        <v>55</v>
      </c>
      <c r="C62" s="334">
        <v>15</v>
      </c>
      <c r="D62" s="334">
        <v>1020707.2593418499</v>
      </c>
      <c r="E62" s="334">
        <v>28</v>
      </c>
      <c r="F62" s="334">
        <v>860558.1</v>
      </c>
    </row>
    <row r="63" spans="1:6">
      <c r="A63" s="348" t="s">
        <v>49</v>
      </c>
      <c r="B63" s="348" t="s">
        <v>29</v>
      </c>
      <c r="C63" s="334">
        <v>153</v>
      </c>
      <c r="D63" s="334">
        <v>28601019.431851398</v>
      </c>
      <c r="E63" s="334">
        <v>151</v>
      </c>
      <c r="F63" s="334">
        <v>16810292</v>
      </c>
    </row>
    <row r="64" spans="1:6">
      <c r="A64" s="348" t="s">
        <v>56</v>
      </c>
      <c r="B64" s="348" t="s">
        <v>57</v>
      </c>
      <c r="C64" s="334">
        <v>0</v>
      </c>
      <c r="D64" s="334">
        <v>0</v>
      </c>
      <c r="E64" s="334">
        <v>0</v>
      </c>
      <c r="F64" s="334">
        <v>0</v>
      </c>
    </row>
    <row r="65" spans="1:6">
      <c r="A65" s="348" t="s">
        <v>56</v>
      </c>
      <c r="B65" s="348" t="s">
        <v>29</v>
      </c>
      <c r="C65" s="334">
        <v>6</v>
      </c>
      <c r="D65" s="334">
        <v>2323123.17613617</v>
      </c>
      <c r="E65" s="334">
        <v>8</v>
      </c>
      <c r="F65" s="334">
        <v>1765750</v>
      </c>
    </row>
    <row r="66" spans="1:6">
      <c r="A66" s="348" t="s">
        <v>56</v>
      </c>
      <c r="B66" s="348" t="s">
        <v>58</v>
      </c>
      <c r="C66" s="334">
        <v>0</v>
      </c>
      <c r="D66" s="334">
        <v>0</v>
      </c>
      <c r="E66" s="334">
        <v>29</v>
      </c>
      <c r="F66" s="334">
        <v>3824892</v>
      </c>
    </row>
    <row r="67" spans="1:6">
      <c r="A67" s="355" t="s">
        <v>56</v>
      </c>
      <c r="B67" s="355" t="s">
        <v>59</v>
      </c>
      <c r="C67" s="334">
        <v>0</v>
      </c>
      <c r="D67" s="334">
        <v>0</v>
      </c>
      <c r="E67" s="334">
        <v>0</v>
      </c>
      <c r="F67" s="334">
        <v>0</v>
      </c>
    </row>
    <row r="68" spans="1:6">
      <c r="A68" s="341" t="s">
        <v>56</v>
      </c>
      <c r="B68" s="341" t="s">
        <v>60</v>
      </c>
      <c r="C68" s="334">
        <v>7</v>
      </c>
      <c r="D68" s="334">
        <v>277144.46393906203</v>
      </c>
      <c r="E68" s="334">
        <v>37</v>
      </c>
      <c r="F68" s="334">
        <v>1009934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107513961</v>
      </c>
      <c r="E73" s="476">
        <v>181448941.13965991</v>
      </c>
    </row>
    <row r="74" spans="1:6">
      <c r="A74" s="348" t="s">
        <v>64</v>
      </c>
      <c r="B74" s="348" t="s">
        <v>714</v>
      </c>
      <c r="C74" s="1311" t="s">
        <v>716</v>
      </c>
      <c r="D74" s="476">
        <v>18941244.311169676</v>
      </c>
      <c r="E74" s="476">
        <v>31502312.612434216</v>
      </c>
    </row>
    <row r="75" spans="1:6">
      <c r="A75" s="348" t="s">
        <v>65</v>
      </c>
      <c r="B75" s="348" t="s">
        <v>713</v>
      </c>
      <c r="C75" s="1311" t="s">
        <v>717</v>
      </c>
      <c r="D75" s="476">
        <v>71466890</v>
      </c>
      <c r="E75" s="476">
        <v>127849365.64532027</v>
      </c>
    </row>
    <row r="76" spans="1:6">
      <c r="A76" s="348" t="s">
        <v>65</v>
      </c>
      <c r="B76" s="348" t="s">
        <v>714</v>
      </c>
      <c r="C76" s="1311" t="s">
        <v>718</v>
      </c>
      <c r="D76" s="476">
        <v>12471033.311169678</v>
      </c>
      <c r="E76" s="476">
        <v>21783597.186458554</v>
      </c>
    </row>
    <row r="77" spans="1:6">
      <c r="A77" s="348" t="s">
        <v>66</v>
      </c>
      <c r="B77" s="348" t="s">
        <v>713</v>
      </c>
      <c r="C77" s="1311" t="s">
        <v>719</v>
      </c>
      <c r="D77" s="476">
        <v>298605844</v>
      </c>
      <c r="E77" s="476">
        <v>329335509.8866815</v>
      </c>
    </row>
    <row r="78" spans="1:6">
      <c r="A78" s="341" t="s">
        <v>66</v>
      </c>
      <c r="B78" s="341" t="s">
        <v>714</v>
      </c>
      <c r="C78" s="341" t="s">
        <v>720</v>
      </c>
      <c r="D78" s="1307">
        <v>84240757</v>
      </c>
      <c r="E78" s="1307">
        <v>93221529.289531812</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1050651.3776606442</v>
      </c>
      <c r="C83" s="476">
        <v>1066007.454748821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25841.124262531808</v>
      </c>
    </row>
    <row r="91" spans="1:6">
      <c r="A91" s="348" t="s">
        <v>68</v>
      </c>
      <c r="B91" s="334">
        <v>10621.757314634899</v>
      </c>
    </row>
    <row r="92" spans="1:6">
      <c r="A92" s="341" t="s">
        <v>69</v>
      </c>
      <c r="B92" s="342">
        <v>34909.963727702205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9871</v>
      </c>
    </row>
    <row r="98" spans="1:6">
      <c r="A98" s="348" t="s">
        <v>72</v>
      </c>
      <c r="B98" s="334">
        <v>3</v>
      </c>
    </row>
    <row r="99" spans="1:6">
      <c r="A99" s="348" t="s">
        <v>73</v>
      </c>
      <c r="B99" s="334">
        <v>133</v>
      </c>
    </row>
    <row r="100" spans="1:6">
      <c r="A100" s="348" t="s">
        <v>74</v>
      </c>
      <c r="B100" s="334">
        <v>2776</v>
      </c>
    </row>
    <row r="101" spans="1:6">
      <c r="A101" s="348" t="s">
        <v>75</v>
      </c>
      <c r="B101" s="334">
        <v>316</v>
      </c>
    </row>
    <row r="102" spans="1:6">
      <c r="A102" s="348" t="s">
        <v>76</v>
      </c>
      <c r="B102" s="334">
        <v>369</v>
      </c>
    </row>
    <row r="103" spans="1:6">
      <c r="A103" s="348" t="s">
        <v>77</v>
      </c>
      <c r="B103" s="334">
        <v>626</v>
      </c>
    </row>
    <row r="104" spans="1:6">
      <c r="A104" s="348" t="s">
        <v>78</v>
      </c>
      <c r="B104" s="334">
        <v>3115</v>
      </c>
    </row>
    <row r="105" spans="1:6">
      <c r="A105" s="341" t="s">
        <v>79</v>
      </c>
      <c r="B105" s="341">
        <v>19</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36</v>
      </c>
      <c r="C123" s="334">
        <v>116</v>
      </c>
    </row>
    <row r="124" spans="1:6">
      <c r="A124" s="341" t="s">
        <v>89</v>
      </c>
      <c r="B124" s="334">
        <v>1</v>
      </c>
      <c r="C124" s="334">
        <v>3</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524</v>
      </c>
    </row>
    <row r="130" spans="1:6">
      <c r="A130" s="348" t="s">
        <v>295</v>
      </c>
      <c r="B130" s="334">
        <v>6</v>
      </c>
    </row>
    <row r="131" spans="1:6">
      <c r="A131" s="348" t="s">
        <v>296</v>
      </c>
      <c r="B131" s="334">
        <v>2</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348662.95368281292</v>
      </c>
      <c r="C3" s="43" t="s">
        <v>170</v>
      </c>
      <c r="D3" s="43"/>
      <c r="E3" s="154"/>
      <c r="F3" s="43"/>
      <c r="G3" s="43"/>
      <c r="H3" s="43"/>
      <c r="I3" s="43"/>
      <c r="J3" s="43"/>
      <c r="K3" s="96"/>
    </row>
    <row r="4" spans="1:11">
      <c r="A4" s="384" t="s">
        <v>171</v>
      </c>
      <c r="B4" s="49">
        <f>IF(ISERROR('SEAP template'!B78+'SEAP template'!C78),0,'SEAP template'!B78+'SEAP template'!C78)</f>
        <v>152979.74530486891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12644.724705882354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0.16030012126913004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18063.892436974791</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116581.28571428574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0.1549467594760045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3140.61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3140.61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0.16030012126913004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503.44016385904251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90469.341</v>
      </c>
      <c r="C5" s="17">
        <f>IF(ISERROR('Eigen informatie GS &amp; warmtenet'!B57),0,'Eigen informatie GS &amp; warmtenet'!B57)</f>
        <v>0</v>
      </c>
      <c r="D5" s="30">
        <f>(SUM(HH_hh_gas_kWh,HH_rest_gas_kWh)/1000)*0.902</f>
        <v>179461.91539075383</v>
      </c>
      <c r="E5" s="17">
        <f>B46*B57</f>
        <v>3043.524764685541</v>
      </c>
      <c r="F5" s="17">
        <f>B51*B62</f>
        <v>0</v>
      </c>
      <c r="G5" s="18"/>
      <c r="H5" s="17"/>
      <c r="I5" s="17"/>
      <c r="J5" s="17">
        <f>B50*B61+C50*C61</f>
        <v>6570.5449969341153</v>
      </c>
      <c r="K5" s="17"/>
      <c r="L5" s="17"/>
      <c r="M5" s="17"/>
      <c r="N5" s="17">
        <f>B48*B59+C48*C59</f>
        <v>27422.716135446386</v>
      </c>
      <c r="O5" s="17">
        <f>B69*B70*B71</f>
        <v>1005.2233333333334</v>
      </c>
      <c r="P5" s="17">
        <f>B77*B78*B79/1000-B77*B78*B79/1000/B80</f>
        <v>1182.1333333333332</v>
      </c>
    </row>
    <row r="6" spans="1:16">
      <c r="A6" s="16" t="s">
        <v>631</v>
      </c>
      <c r="B6" s="789">
        <f>kWh_PV_kleiner_dan_10kW</f>
        <v>10621.757314634899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101091.0983146349</v>
      </c>
      <c r="C8" s="21">
        <f>C5</f>
        <v>0</v>
      </c>
      <c r="D8" s="21">
        <f>D5</f>
        <v>179461.91539075383</v>
      </c>
      <c r="E8" s="21">
        <f>E5</f>
        <v>3043.524764685541</v>
      </c>
      <c r="F8" s="21">
        <f>F5</f>
        <v>0</v>
      </c>
      <c r="G8" s="21"/>
      <c r="H8" s="21"/>
      <c r="I8" s="21"/>
      <c r="J8" s="21">
        <f>J5</f>
        <v>6570.5449969341153</v>
      </c>
      <c r="K8" s="21"/>
      <c r="L8" s="21">
        <f>L5</f>
        <v>0</v>
      </c>
      <c r="M8" s="21">
        <f>M5</f>
        <v>0</v>
      </c>
      <c r="N8" s="21">
        <f>N5</f>
        <v>27422.716135446386</v>
      </c>
      <c r="O8" s="21">
        <f>O5</f>
        <v>1005.2233333333334</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0.16030012126913004</v>
      </c>
      <c r="C10" s="25">
        <f ca="1">'EF ele_warmte'!B22</f>
        <v>0.1549467594760045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16204.915319065522</v>
      </c>
      <c r="C12" s="23">
        <f ca="1">C10*C8</f>
        <v>0</v>
      </c>
      <c r="D12" s="23">
        <f>D8*D10</f>
        <v>36251.306908932274</v>
      </c>
      <c r="E12" s="23">
        <f>E10*E8</f>
        <v>690.88012158361778</v>
      </c>
      <c r="F12" s="23">
        <f>F10*F8</f>
        <v>0</v>
      </c>
      <c r="G12" s="23"/>
      <c r="H12" s="23"/>
      <c r="I12" s="23"/>
      <c r="J12" s="23">
        <f>J10*J8</f>
        <v>2325.9729289146767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9871</v>
      </c>
      <c r="C18" s="166" t="s">
        <v>111</v>
      </c>
      <c r="D18" s="228"/>
      <c r="E18" s="15"/>
    </row>
    <row r="19" spans="1:7">
      <c r="A19" s="171" t="s">
        <v>72</v>
      </c>
      <c r="B19" s="37">
        <f>aantalw2001_ander</f>
        <v>3</v>
      </c>
      <c r="C19" s="166" t="s">
        <v>111</v>
      </c>
      <c r="D19" s="229"/>
      <c r="E19" s="15"/>
    </row>
    <row r="20" spans="1:7">
      <c r="A20" s="171" t="s">
        <v>73</v>
      </c>
      <c r="B20" s="37">
        <f>aantalw2001_propaan</f>
        <v>133</v>
      </c>
      <c r="C20" s="167">
        <f>IF(ISERROR(B20/SUM($B$20,$B$21,$B$22)*100),0,B20/SUM($B$20,$B$21,$B$22)*100)</f>
        <v>4.1240310077519382</v>
      </c>
      <c r="D20" s="229"/>
      <c r="E20" s="15"/>
    </row>
    <row r="21" spans="1:7">
      <c r="A21" s="171" t="s">
        <v>74</v>
      </c>
      <c r="B21" s="37">
        <f>aantalw2001_elektriciteit</f>
        <v>2776</v>
      </c>
      <c r="C21" s="167">
        <f>IF(ISERROR(B21/SUM($B$20,$B$21,$B$22)*100),0,B21/SUM($B$20,$B$21,$B$22)*100)</f>
        <v>86.077519379844958</v>
      </c>
      <c r="D21" s="229"/>
      <c r="E21" s="15"/>
    </row>
    <row r="22" spans="1:7">
      <c r="A22" s="171" t="s">
        <v>75</v>
      </c>
      <c r="B22" s="37">
        <f>aantalw2001_hout</f>
        <v>316</v>
      </c>
      <c r="C22" s="167">
        <f>IF(ISERROR(B22/SUM($B$20,$B$21,$B$22)*100),0,B22/SUM($B$20,$B$21,$B$22)*100)</f>
        <v>9.7984496124031004</v>
      </c>
      <c r="D22" s="229"/>
      <c r="E22" s="15"/>
    </row>
    <row r="23" spans="1:7">
      <c r="A23" s="171" t="s">
        <v>76</v>
      </c>
      <c r="B23" s="37">
        <f>aantalw2001_niet_gespec</f>
        <v>369</v>
      </c>
      <c r="C23" s="166" t="s">
        <v>111</v>
      </c>
      <c r="D23" s="228"/>
      <c r="E23" s="15"/>
    </row>
    <row r="24" spans="1:7">
      <c r="A24" s="171" t="s">
        <v>77</v>
      </c>
      <c r="B24" s="37">
        <f>aantalw2001_steenkool</f>
        <v>626</v>
      </c>
      <c r="C24" s="166" t="s">
        <v>111</v>
      </c>
      <c r="D24" s="229"/>
      <c r="E24" s="15"/>
    </row>
    <row r="25" spans="1:7">
      <c r="A25" s="171" t="s">
        <v>78</v>
      </c>
      <c r="B25" s="37">
        <f>aantalw2001_stookolie</f>
        <v>3115</v>
      </c>
      <c r="C25" s="166" t="s">
        <v>111</v>
      </c>
      <c r="D25" s="228"/>
      <c r="E25" s="52"/>
    </row>
    <row r="26" spans="1:7">
      <c r="A26" s="171" t="s">
        <v>79</v>
      </c>
      <c r="B26" s="37">
        <f>aantalw2001_WP</f>
        <v>19</v>
      </c>
      <c r="C26" s="166" t="s">
        <v>111</v>
      </c>
      <c r="D26" s="228"/>
      <c r="E26" s="15"/>
    </row>
    <row r="27" spans="1:7" s="15" customFormat="1">
      <c r="A27" s="171"/>
      <c r="B27" s="29"/>
      <c r="C27" s="36"/>
      <c r="D27" s="228"/>
    </row>
    <row r="28" spans="1:7" s="15" customFormat="1">
      <c r="A28" s="230" t="s">
        <v>740</v>
      </c>
      <c r="B28" s="37">
        <f>aantalHuishoudens2011</f>
        <v>19458</v>
      </c>
      <c r="C28" s="36"/>
      <c r="D28" s="228"/>
    </row>
    <row r="29" spans="1:7" s="15" customFormat="1">
      <c r="A29" s="230" t="s">
        <v>741</v>
      </c>
      <c r="B29" s="37">
        <f>SUM(HH_hh_gas_aantal,HH_rest_gas_aantal)</f>
        <v>14263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14263</v>
      </c>
      <c r="C32" s="167">
        <f>IF(ISERROR(B32/SUM($B$32,$B$34,$B$35,$B$36,$B$38,$B$39)*100),0,B32/SUM($B$32,$B$34,$B$35,$B$36,$B$38,$B$39)*100)</f>
        <v>73.535780573314085</v>
      </c>
      <c r="D32" s="233"/>
      <c r="G32" s="15"/>
    </row>
    <row r="33" spans="1:7">
      <c r="A33" s="171" t="s">
        <v>72</v>
      </c>
      <c r="B33" s="34" t="s">
        <v>111</v>
      </c>
      <c r="C33" s="167"/>
      <c r="D33" s="233"/>
      <c r="G33" s="15"/>
    </row>
    <row r="34" spans="1:7">
      <c r="A34" s="171" t="s">
        <v>73</v>
      </c>
      <c r="B34" s="33">
        <f>IF((($B$28-$B$32-$B$39-$B$77-$B$38)*C20/100)&lt;0,0,($B$28-$B$32-$B$39-$B$77-$B$38)*C20/100)</f>
        <v>203.98282170542635</v>
      </c>
      <c r="C34" s="167">
        <f>IF(ISERROR(B34/SUM($B$32,$B$34,$B$35,$B$36,$B$38,$B$39)*100),0,B34/SUM($B$32,$B$34,$B$35,$B$36,$B$38,$B$39)*100)</f>
        <v>1.0516746839834314</v>
      </c>
      <c r="D34" s="233"/>
      <c r="G34" s="15"/>
    </row>
    <row r="35" spans="1:7">
      <c r="A35" s="171" t="s">
        <v>74</v>
      </c>
      <c r="B35" s="33">
        <f>IF((($B$28-$B$32-$B$39-$B$77-$B$38)*C21/100)&lt;0,0,($B$28-$B$32-$B$39-$B$77-$B$38)*C21/100)</f>
        <v>4257.5662635658919</v>
      </c>
      <c r="C35" s="167">
        <f>IF(ISERROR(B35/SUM($B$32,$B$34,$B$35,$B$36,$B$38,$B$39)*100),0,B35/SUM($B$32,$B$34,$B$35,$B$36,$B$38,$B$39)*100)</f>
        <v>21.950743779985007</v>
      </c>
      <c r="D35" s="233"/>
      <c r="G35" s="15"/>
    </row>
    <row r="36" spans="1:7">
      <c r="A36" s="171" t="s">
        <v>75</v>
      </c>
      <c r="B36" s="33">
        <f>IF((($B$28-$B$32-$B$39-$B$77-$B$38)*C22/100)&lt;0,0,($B$28-$B$32-$B$39-$B$77-$B$38)*C22/100)</f>
        <v>484.6509147286821</v>
      </c>
      <c r="C36" s="167">
        <f>IF(ISERROR(B36/SUM($B$32,$B$34,$B$35,$B$36,$B$38,$B$39)*100),0,B36/SUM($B$32,$B$34,$B$35,$B$36,$B$38,$B$39)*100)</f>
        <v>2.4987157905170245</v>
      </c>
      <c r="D36" s="233"/>
      <c r="G36" s="15"/>
    </row>
    <row r="37" spans="1:7">
      <c r="A37" s="171" t="s">
        <v>76</v>
      </c>
      <c r="B37" s="34" t="s">
        <v>111</v>
      </c>
      <c r="C37" s="167"/>
      <c r="D37" s="173"/>
      <c r="G37" s="15"/>
    </row>
    <row r="38" spans="1:7">
      <c r="A38" s="171" t="s">
        <v>77</v>
      </c>
      <c r="B38" s="33">
        <f>IF((B24-(B29-B18)*0.1)&lt;0,0,B24-(B29-B18)*0.1)</f>
        <v>186.79999999999995</v>
      </c>
      <c r="C38" s="167">
        <f>IF(ISERROR(B38/SUM($B$32,$B$34,$B$35,$B$36,$B$38,$B$39)*100),0,B38/SUM($B$32,$B$34,$B$35,$B$36,$B$38,$B$39)*100)</f>
        <v>0.96308517220045353</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14263</v>
      </c>
      <c r="C44" s="34" t="s">
        <v>111</v>
      </c>
      <c r="D44" s="174"/>
    </row>
    <row r="45" spans="1:7">
      <c r="A45" s="171" t="s">
        <v>72</v>
      </c>
      <c r="B45" s="33" t="str">
        <f t="shared" si="0"/>
        <v>-</v>
      </c>
      <c r="C45" s="34" t="s">
        <v>111</v>
      </c>
      <c r="D45" s="174"/>
    </row>
    <row r="46" spans="1:7">
      <c r="A46" s="171" t="s">
        <v>73</v>
      </c>
      <c r="B46" s="33">
        <f t="shared" si="0"/>
        <v>203.98282170542635</v>
      </c>
      <c r="C46" s="34" t="s">
        <v>111</v>
      </c>
      <c r="D46" s="174"/>
    </row>
    <row r="47" spans="1:7">
      <c r="A47" s="171" t="s">
        <v>74</v>
      </c>
      <c r="B47" s="33">
        <f t="shared" si="0"/>
        <v>4257.5662635658919</v>
      </c>
      <c r="C47" s="34" t="s">
        <v>111</v>
      </c>
      <c r="D47" s="174"/>
    </row>
    <row r="48" spans="1:7">
      <c r="A48" s="171" t="s">
        <v>75</v>
      </c>
      <c r="B48" s="33">
        <f t="shared" si="0"/>
        <v>484.6509147286821</v>
      </c>
      <c r="C48" s="33">
        <f>B48*10</f>
        <v>4846.5091472868207</v>
      </c>
      <c r="D48" s="234"/>
    </row>
    <row r="49" spans="1:6">
      <c r="A49" s="171" t="s">
        <v>76</v>
      </c>
      <c r="B49" s="33" t="str">
        <f t="shared" si="0"/>
        <v>-</v>
      </c>
      <c r="C49" s="34" t="s">
        <v>111</v>
      </c>
      <c r="D49" s="234"/>
    </row>
    <row r="50" spans="1:6">
      <c r="A50" s="171" t="s">
        <v>77</v>
      </c>
      <c r="B50" s="33">
        <f t="shared" si="0"/>
        <v>186.79999999999995</v>
      </c>
      <c r="C50" s="33">
        <f>B50*2</f>
        <v>373.59999999999991</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643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129507.94709999999</v>
      </c>
      <c r="C5" s="17">
        <f>IF(ISERROR('Eigen informatie GS &amp; warmtenet'!B58),0,'Eigen informatie GS &amp; warmtenet'!B58)</f>
        <v>0</v>
      </c>
      <c r="D5" s="30">
        <f>SUM(D6:D12)</f>
        <v>65643.25256122135</v>
      </c>
      <c r="E5" s="17">
        <f>SUM(E6:E12)</f>
        <v>790.03942203555653</v>
      </c>
      <c r="F5" s="17">
        <f>SUM(F6:F12)</f>
        <v>16929.727185938442</v>
      </c>
      <c r="G5" s="18"/>
      <c r="H5" s="17"/>
      <c r="I5" s="17"/>
      <c r="J5" s="17">
        <f>SUM(J6:J12)</f>
        <v>0</v>
      </c>
      <c r="K5" s="17"/>
      <c r="L5" s="17"/>
      <c r="M5" s="17"/>
      <c r="N5" s="17">
        <f>SUM(N6:N12)</f>
        <v>7679.546528224575</v>
      </c>
      <c r="O5" s="17">
        <f>B38*B39*B40</f>
        <v>9.3800000000000008</v>
      </c>
      <c r="P5" s="17">
        <f>B46*B47*B48/1000-B46*B47*B48/1000/B49</f>
        <v>38.133333333333333</v>
      </c>
      <c r="R5" s="32"/>
    </row>
    <row r="6" spans="1:18">
      <c r="A6" s="32" t="s">
        <v>54</v>
      </c>
      <c r="B6" s="37">
        <f>B26</f>
        <v>78195.967000000004</v>
      </c>
      <c r="C6" s="33"/>
      <c r="D6" s="37">
        <f>IF(ISERROR(TER_kantoor_gas_kWh/1000),0,TER_kantoor_gas_kWh/1000)*0.902</f>
        <v>19273.949518580681</v>
      </c>
      <c r="E6" s="33">
        <f>$C$26*'E Balans VL '!I12/100/3.6*1000000</f>
        <v>226.54518937414187</v>
      </c>
      <c r="F6" s="33">
        <f>$C$26*('E Balans VL '!L12+'E Balans VL '!N12)/100/3.6*1000000</f>
        <v>8850.0606736749851</v>
      </c>
      <c r="G6" s="34"/>
      <c r="H6" s="33"/>
      <c r="I6" s="33"/>
      <c r="J6" s="33">
        <f>$C$26*('E Balans VL '!D12+'E Balans VL '!E12)/100/3.6*1000000</f>
        <v>0</v>
      </c>
      <c r="K6" s="33"/>
      <c r="L6" s="33"/>
      <c r="M6" s="33"/>
      <c r="N6" s="33">
        <f>$C$26*'E Balans VL '!Y12/100/3.6*1000000</f>
        <v>782.6840123089703</v>
      </c>
      <c r="O6" s="33"/>
      <c r="P6" s="33"/>
      <c r="R6" s="32"/>
    </row>
    <row r="7" spans="1:18">
      <c r="A7" s="32" t="s">
        <v>53</v>
      </c>
      <c r="B7" s="37">
        <f t="shared" ref="B7:B12" si="0">B27</f>
        <v>3868.2339999999999</v>
      </c>
      <c r="C7" s="33"/>
      <c r="D7" s="37">
        <f>IF(ISERROR(TER_horeca_gas_kWh/1000),0,TER_horeca_gas_kWh/1000)*0.902</f>
        <v>4054.5140075073614</v>
      </c>
      <c r="E7" s="33">
        <f>$C$27*'E Balans VL '!I9/100/3.6*1000000</f>
        <v>162.37765568780421</v>
      </c>
      <c r="F7" s="33">
        <f>$C$27*('E Balans VL '!L9+'E Balans VL '!N9)/100/3.6*1000000</f>
        <v>831.16940050928952</v>
      </c>
      <c r="G7" s="34"/>
      <c r="H7" s="33"/>
      <c r="I7" s="33"/>
      <c r="J7" s="33">
        <f>$C$27*('E Balans VL '!D9+'E Balans VL '!E9)/100/3.6*1000000</f>
        <v>0</v>
      </c>
      <c r="K7" s="33"/>
      <c r="L7" s="33"/>
      <c r="M7" s="33"/>
      <c r="N7" s="33">
        <f>$C$27*'E Balans VL '!Y9/100/3.6*1000000</f>
        <v>0.99681007286644718</v>
      </c>
      <c r="O7" s="33"/>
      <c r="P7" s="33"/>
      <c r="R7" s="32"/>
    </row>
    <row r="8" spans="1:18">
      <c r="A8" s="6" t="s">
        <v>52</v>
      </c>
      <c r="B8" s="37">
        <f t="shared" si="0"/>
        <v>20625.181</v>
      </c>
      <c r="C8" s="33"/>
      <c r="D8" s="37">
        <f>IF(ISERROR(TER_handel_gas_kWh/1000),0,TER_handel_gas_kWh/1000)*0.902</f>
        <v>8917.8665576730127</v>
      </c>
      <c r="E8" s="33">
        <f>$C$28*'E Balans VL '!I13/100/3.6*1000000</f>
        <v>221.53160979017971</v>
      </c>
      <c r="F8" s="33">
        <f>$C$28*('E Balans VL '!L13+'E Balans VL '!N13)/100/3.6*1000000</f>
        <v>2670.0999996836022</v>
      </c>
      <c r="G8" s="34"/>
      <c r="H8" s="33"/>
      <c r="I8" s="33"/>
      <c r="J8" s="33">
        <f>$C$28*('E Balans VL '!D13+'E Balans VL '!E13)/100/3.6*1000000</f>
        <v>0</v>
      </c>
      <c r="K8" s="33"/>
      <c r="L8" s="33"/>
      <c r="M8" s="33"/>
      <c r="N8" s="33">
        <f>$C$28*'E Balans VL '!Y13/100/3.6*1000000</f>
        <v>167.31259445584854</v>
      </c>
      <c r="O8" s="33"/>
      <c r="P8" s="33"/>
      <c r="R8" s="32"/>
    </row>
    <row r="9" spans="1:18">
      <c r="A9" s="32" t="s">
        <v>51</v>
      </c>
      <c r="B9" s="37">
        <f t="shared" si="0"/>
        <v>1651.086</v>
      </c>
      <c r="C9" s="33"/>
      <c r="D9" s="37">
        <f>IF(ISERROR(TER_gezond_gas_kWh/1000),0,TER_gezond_gas_kWh/1000)*0.902</f>
        <v>1495.302264746736</v>
      </c>
      <c r="E9" s="33">
        <f>$C$29*'E Balans VL '!I10/100/3.6*1000000</f>
        <v>1.314371245381508</v>
      </c>
      <c r="F9" s="33">
        <f>$C$29*('E Balans VL '!L10+'E Balans VL '!N10)/100/3.6*1000000</f>
        <v>200.71336364181067</v>
      </c>
      <c r="G9" s="34"/>
      <c r="H9" s="33"/>
      <c r="I9" s="33"/>
      <c r="J9" s="33">
        <f>$C$29*('E Balans VL '!D10+'E Balans VL '!E10)/100/3.6*1000000</f>
        <v>0</v>
      </c>
      <c r="K9" s="33"/>
      <c r="L9" s="33"/>
      <c r="M9" s="33"/>
      <c r="N9" s="33">
        <f>$C$29*'E Balans VL '!Y10/100/3.6*1000000</f>
        <v>13.337035281504841</v>
      </c>
      <c r="O9" s="33"/>
      <c r="P9" s="33"/>
      <c r="R9" s="32"/>
    </row>
    <row r="10" spans="1:18">
      <c r="A10" s="32" t="s">
        <v>50</v>
      </c>
      <c r="B10" s="37">
        <f t="shared" si="0"/>
        <v>7496.6289999999999</v>
      </c>
      <c r="C10" s="33"/>
      <c r="D10" s="37">
        <f>IF(ISERROR(TER_ander_gas_kWh/1000),0,TER_ander_gas_kWh/1000)*0.902</f>
        <v>5182.8227372572483</v>
      </c>
      <c r="E10" s="33">
        <f>$C$30*'E Balans VL '!I14/100/3.6*1000000</f>
        <v>25.691341405405154</v>
      </c>
      <c r="F10" s="33">
        <f>$C$30*('E Balans VL '!L14+'E Balans VL '!N14)/100/3.6*1000000</f>
        <v>1674.4422914814488</v>
      </c>
      <c r="G10" s="34"/>
      <c r="H10" s="33"/>
      <c r="I10" s="33"/>
      <c r="J10" s="33">
        <f>$C$30*('E Balans VL '!D14+'E Balans VL '!E14)/100/3.6*1000000</f>
        <v>0</v>
      </c>
      <c r="K10" s="33"/>
      <c r="L10" s="33"/>
      <c r="M10" s="33"/>
      <c r="N10" s="33">
        <f>$C$30*'E Balans VL '!Y14/100/3.6*1000000</f>
        <v>5280.666420883701</v>
      </c>
      <c r="O10" s="33"/>
      <c r="P10" s="33"/>
      <c r="R10" s="32"/>
    </row>
    <row r="11" spans="1:18">
      <c r="A11" s="32" t="s">
        <v>55</v>
      </c>
      <c r="B11" s="37">
        <f t="shared" si="0"/>
        <v>860.55809999999997</v>
      </c>
      <c r="C11" s="33"/>
      <c r="D11" s="37">
        <f>IF(ISERROR(TER_onderwijs_gas_kWh/1000),0,TER_onderwijs_gas_kWh/1000)*0.902</f>
        <v>920.67794792634868</v>
      </c>
      <c r="E11" s="33">
        <f>$C$31*'E Balans VL '!I11/100/3.6*1000000</f>
        <v>0.59487731142634726</v>
      </c>
      <c r="F11" s="33">
        <f>$C$31*('E Balans VL '!L11+'E Balans VL '!N11)/100/3.6*1000000</f>
        <v>225.26911306331726</v>
      </c>
      <c r="G11" s="34"/>
      <c r="H11" s="33"/>
      <c r="I11" s="33"/>
      <c r="J11" s="33">
        <f>$C$31*('E Balans VL '!D11+'E Balans VL '!E11)/100/3.6*1000000</f>
        <v>0</v>
      </c>
      <c r="K11" s="33"/>
      <c r="L11" s="33"/>
      <c r="M11" s="33"/>
      <c r="N11" s="33">
        <f>$C$31*'E Balans VL '!Y11/100/3.6*1000000</f>
        <v>0.85661229192878396</v>
      </c>
      <c r="O11" s="33"/>
      <c r="P11" s="33"/>
      <c r="R11" s="32"/>
    </row>
    <row r="12" spans="1:18">
      <c r="A12" s="32" t="s">
        <v>260</v>
      </c>
      <c r="B12" s="37">
        <f t="shared" si="0"/>
        <v>16810.292000000001</v>
      </c>
      <c r="C12" s="33"/>
      <c r="D12" s="37">
        <f>IF(ISERROR(TER_rest_gas_kWh/1000),0,TER_rest_gas_kWh/1000)*0.902</f>
        <v>25798.119527529961</v>
      </c>
      <c r="E12" s="33">
        <f>$C$32*'E Balans VL '!I8/100/3.6*1000000</f>
        <v>151.9843772212177</v>
      </c>
      <c r="F12" s="33">
        <f>$C$32*('E Balans VL '!L8+'E Balans VL '!N8)/100/3.6*1000000</f>
        <v>2477.9723438839878</v>
      </c>
      <c r="G12" s="34"/>
      <c r="H12" s="33"/>
      <c r="I12" s="33"/>
      <c r="J12" s="33">
        <f>$C$32*('E Balans VL '!D8+'E Balans VL '!E8)/100/3.6*1000000</f>
        <v>0</v>
      </c>
      <c r="K12" s="33"/>
      <c r="L12" s="33"/>
      <c r="M12" s="33"/>
      <c r="N12" s="33">
        <f>$C$32*'E Balans VL '!Y8/100/3.6*1000000</f>
        <v>1433.6930429297543</v>
      </c>
      <c r="O12" s="33"/>
      <c r="P12" s="33"/>
      <c r="R12" s="32"/>
    </row>
    <row r="13" spans="1:18">
      <c r="A13" s="16" t="s">
        <v>494</v>
      </c>
      <c r="B13" s="247">
        <f ca="1">'lokale energieproductie'!N91+'lokale energieproductie'!N60</f>
        <v>3432</v>
      </c>
      <c r="C13" s="247">
        <f ca="1">'lokale energieproductie'!O91+'lokale energieproductie'!O60</f>
        <v>4902.8571428571431</v>
      </c>
      <c r="D13" s="310">
        <f ca="1">('lokale energieproductie'!P60+'lokale energieproductie'!P91)*(-1)</f>
        <v>-3432.8571428571431</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-6372.8571428571431</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132939.94709999999</v>
      </c>
      <c r="C16" s="21">
        <f t="shared" ca="1" si="1"/>
        <v>4902.8571428571431</v>
      </c>
      <c r="D16" s="21">
        <f t="shared" ca="1" si="1"/>
        <v>62210.395418364205</v>
      </c>
      <c r="E16" s="21">
        <f t="shared" si="1"/>
        <v>790.03942203555653</v>
      </c>
      <c r="F16" s="21">
        <f t="shared" ca="1" si="1"/>
        <v>16929.727185938442</v>
      </c>
      <c r="G16" s="21">
        <f t="shared" si="1"/>
        <v>0</v>
      </c>
      <c r="H16" s="21">
        <f t="shared" si="1"/>
        <v>0</v>
      </c>
      <c r="I16" s="21">
        <f t="shared" si="1"/>
        <v>0</v>
      </c>
      <c r="J16" s="21">
        <f t="shared" si="1"/>
        <v>0</v>
      </c>
      <c r="K16" s="21">
        <f t="shared" si="1"/>
        <v>0</v>
      </c>
      <c r="L16" s="21">
        <f t="shared" ca="1" si="1"/>
        <v>0</v>
      </c>
      <c r="M16" s="21">
        <f t="shared" si="1"/>
        <v>0</v>
      </c>
      <c r="N16" s="21">
        <f t="shared" ca="1" si="1"/>
        <v>1306.6893853674319</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0.16030012126913004</v>
      </c>
      <c r="C18" s="25">
        <f ca="1">'EF ele_warmte'!B22</f>
        <v>0.1549467594760045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21310.289641641732</v>
      </c>
      <c r="C20" s="23">
        <f t="shared" ref="C20:P20" ca="1" si="2">C16*C18</f>
        <v>759.68182645949639</v>
      </c>
      <c r="D20" s="23">
        <f t="shared" ca="1" si="2"/>
        <v>12566.499874509571</v>
      </c>
      <c r="E20" s="23">
        <f t="shared" si="2"/>
        <v>179.33894880207134</v>
      </c>
      <c r="F20" s="23">
        <f t="shared" ca="1" si="2"/>
        <v>4520.2371586455638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78195.967000000004</v>
      </c>
      <c r="C26" s="39">
        <f>IF(ISERROR(B26*3.6/1000000/'E Balans VL '!Z12*100),0,B26*3.6/1000000/'E Balans VL '!Z12*100)</f>
        <v>1.7176648187456185</v>
      </c>
      <c r="D26" s="237" t="s">
        <v>692</v>
      </c>
      <c r="F26" s="6"/>
    </row>
    <row r="27" spans="1:18">
      <c r="A27" s="231" t="s">
        <v>53</v>
      </c>
      <c r="B27" s="33">
        <f>IF(ISERROR(TER_horeca_ele_kWh/1000),0,TER_horeca_ele_kWh/1000)</f>
        <v>3868.2339999999999</v>
      </c>
      <c r="C27" s="39">
        <f>IF(ISERROR(B27*3.6/1000000/'E Balans VL '!Z9*100),0,B27*3.6/1000000/'E Balans VL '!Z9*100)</f>
        <v>0.31085116091193554</v>
      </c>
      <c r="D27" s="237" t="s">
        <v>692</v>
      </c>
      <c r="F27" s="6"/>
    </row>
    <row r="28" spans="1:18">
      <c r="A28" s="171" t="s">
        <v>52</v>
      </c>
      <c r="B28" s="33">
        <f>IF(ISERROR(TER_handel_ele_kWh/1000),0,TER_handel_ele_kWh/1000)</f>
        <v>20625.181</v>
      </c>
      <c r="C28" s="39">
        <f>IF(ISERROR(B28*3.6/1000000/'E Balans VL '!Z13*100),0,B28*3.6/1000000/'E Balans VL '!Z13*100)</f>
        <v>0.6098721931160126</v>
      </c>
      <c r="D28" s="237" t="s">
        <v>692</v>
      </c>
      <c r="F28" s="6"/>
    </row>
    <row r="29" spans="1:18">
      <c r="A29" s="231" t="s">
        <v>51</v>
      </c>
      <c r="B29" s="33">
        <f>IF(ISERROR(TER_gezond_ele_kWh/1000),0,TER_gezond_ele_kWh/1000)</f>
        <v>1651.086</v>
      </c>
      <c r="C29" s="39">
        <f>IF(ISERROR(B29*3.6/1000000/'E Balans VL '!Z10*100),0,B29*3.6/1000000/'E Balans VL '!Z10*100)</f>
        <v>0.18603476491708448</v>
      </c>
      <c r="D29" s="237" t="s">
        <v>692</v>
      </c>
      <c r="F29" s="6"/>
    </row>
    <row r="30" spans="1:18">
      <c r="A30" s="231" t="s">
        <v>50</v>
      </c>
      <c r="B30" s="33">
        <f>IF(ISERROR(TER_ander_ele_kWh/1000),0,TER_ander_ele_kWh/1000)</f>
        <v>7496.6289999999999</v>
      </c>
      <c r="C30" s="39">
        <f>IF(ISERROR(B30*3.6/1000000/'E Balans VL '!Z14*100),0,B30*3.6/1000000/'E Balans VL '!Z14*100)</f>
        <v>0.56695723636157469</v>
      </c>
      <c r="D30" s="237" t="s">
        <v>692</v>
      </c>
      <c r="F30" s="6"/>
    </row>
    <row r="31" spans="1:18">
      <c r="A31" s="231" t="s">
        <v>55</v>
      </c>
      <c r="B31" s="33">
        <f>IF(ISERROR(TER_onderwijs_ele_kWh/1000),0,TER_onderwijs_ele_kWh/1000)</f>
        <v>860.55809999999997</v>
      </c>
      <c r="C31" s="39">
        <f>IF(ISERROR(B31*3.6/1000000/'E Balans VL '!Z11*100),0,B31*3.6/1000000/'E Balans VL '!Z11*100)</f>
        <v>0.17863188456132953</v>
      </c>
      <c r="D31" s="237" t="s">
        <v>692</v>
      </c>
    </row>
    <row r="32" spans="1:18">
      <c r="A32" s="231" t="s">
        <v>260</v>
      </c>
      <c r="B32" s="33">
        <f>IF(ISERROR(TER_rest_ele_kWh/1000),0,TER_rest_ele_kWh/1000)</f>
        <v>16810.292000000001</v>
      </c>
      <c r="C32" s="39">
        <f>IF(ISERROR(B32*3.6/1000000/'E Balans VL '!Z8*100),0,B32*3.6/1000000/'E Balans VL '!Z8*100)</f>
        <v>0.1416168209401093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90617.147629999992</v>
      </c>
      <c r="C5" s="17">
        <f>IF(ISERROR('Eigen informatie GS &amp; warmtenet'!B59),0,'Eigen informatie GS &amp; warmtenet'!B59)</f>
        <v>0</v>
      </c>
      <c r="D5" s="30">
        <f>SUM(D6:D15)</f>
        <v>38505.736628041086</v>
      </c>
      <c r="E5" s="17">
        <f>SUM(E6:E15)</f>
        <v>5426.9648125347458</v>
      </c>
      <c r="F5" s="17">
        <f>SUM(F6:F15)</f>
        <v>25163.871742459633</v>
      </c>
      <c r="G5" s="18"/>
      <c r="H5" s="17"/>
      <c r="I5" s="17"/>
      <c r="J5" s="17">
        <f>SUM(J6:J15)</f>
        <v>314.11667716535123</v>
      </c>
      <c r="K5" s="17"/>
      <c r="L5" s="17"/>
      <c r="M5" s="17"/>
      <c r="N5" s="17">
        <f>SUM(N6:N15)</f>
        <v>15796.257700476435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602.59080000000006</v>
      </c>
      <c r="C8" s="33"/>
      <c r="D8" s="37">
        <f>IF( ISERROR(IND_metaal_Gas_kWH/1000),0,IND_metaal_Gas_kWH/1000)*0.902</f>
        <v>0</v>
      </c>
      <c r="E8" s="33">
        <f>C30*'E Balans VL '!I18/100/3.6*1000000</f>
        <v>15.080738701382865</v>
      </c>
      <c r="F8" s="33">
        <f>C30*'E Balans VL '!L18/100/3.6*1000000+C30*'E Balans VL '!N18/100/3.6*1000000</f>
        <v>188.85495416079146</v>
      </c>
      <c r="G8" s="34"/>
      <c r="H8" s="33"/>
      <c r="I8" s="33"/>
      <c r="J8" s="40">
        <f>C30*'E Balans VL '!D18/100/3.6*1000000+C30*'E Balans VL '!E18/100/3.6*1000000</f>
        <v>0</v>
      </c>
      <c r="K8" s="33"/>
      <c r="L8" s="33"/>
      <c r="M8" s="33"/>
      <c r="N8" s="33">
        <f>C30*'E Balans VL '!Y18/100/3.6*1000000</f>
        <v>15.138644755495601</v>
      </c>
      <c r="O8" s="33"/>
      <c r="P8" s="33"/>
      <c r="R8" s="32"/>
    </row>
    <row r="9" spans="1:18">
      <c r="A9" s="6" t="s">
        <v>33</v>
      </c>
      <c r="B9" s="37">
        <f t="shared" si="0"/>
        <v>7995.1440000000002</v>
      </c>
      <c r="C9" s="33"/>
      <c r="D9" s="37">
        <f>IF( ISERROR(IND_andere_gas_kWh/1000),0,IND_andere_gas_kWh/1000)*0.902</f>
        <v>11128.257857179187</v>
      </c>
      <c r="E9" s="33">
        <f>C31*'E Balans VL '!I19/100/3.6*1000000</f>
        <v>2198.3366787243572</v>
      </c>
      <c r="F9" s="33">
        <f>C31*'E Balans VL '!L19/100/3.6*1000000+C31*'E Balans VL '!N19/100/3.6*1000000</f>
        <v>6301.5647269452675</v>
      </c>
      <c r="G9" s="34"/>
      <c r="H9" s="33"/>
      <c r="I9" s="33"/>
      <c r="J9" s="40">
        <f>C31*'E Balans VL '!D19/100/3.6*1000000+C31*'E Balans VL '!E19/100/3.6*1000000</f>
        <v>0</v>
      </c>
      <c r="K9" s="33"/>
      <c r="L9" s="33"/>
      <c r="M9" s="33"/>
      <c r="N9" s="33">
        <f>C31*'E Balans VL '!Y19/100/3.6*1000000</f>
        <v>2588.2391492869347</v>
      </c>
      <c r="O9" s="33"/>
      <c r="P9" s="33"/>
      <c r="R9" s="32"/>
    </row>
    <row r="10" spans="1:18">
      <c r="A10" s="6" t="s">
        <v>41</v>
      </c>
      <c r="B10" s="37">
        <f t="shared" si="0"/>
        <v>2366.4769999999999</v>
      </c>
      <c r="C10" s="33"/>
      <c r="D10" s="37">
        <f>IF( ISERROR(IND_voed_gas_kWh/1000),0,IND_voed_gas_kWh/1000)*0.902</f>
        <v>1401.6140206454274</v>
      </c>
      <c r="E10" s="33">
        <f>C32*'E Balans VL '!I20/100/3.6*1000000</f>
        <v>24.124929315381756</v>
      </c>
      <c r="F10" s="33">
        <f>C32*'E Balans VL '!L20/100/3.6*1000000+C32*'E Balans VL '!N20/100/3.6*1000000</f>
        <v>4470.2602521151093</v>
      </c>
      <c r="G10" s="34"/>
      <c r="H10" s="33"/>
      <c r="I10" s="33"/>
      <c r="J10" s="40">
        <f>C32*'E Balans VL '!D20/100/3.6*1000000+C32*'E Balans VL '!E20/100/3.6*1000000</f>
        <v>56.637537757800303</v>
      </c>
      <c r="K10" s="33"/>
      <c r="L10" s="33"/>
      <c r="M10" s="33"/>
      <c r="N10" s="33">
        <f>C32*'E Balans VL '!Y20/100/3.6*1000000</f>
        <v>1247.4059637250889</v>
      </c>
      <c r="O10" s="33"/>
      <c r="P10" s="33"/>
      <c r="R10" s="32"/>
    </row>
    <row r="11" spans="1:18">
      <c r="A11" s="6" t="s">
        <v>40</v>
      </c>
      <c r="B11" s="37">
        <f t="shared" si="0"/>
        <v>58.297040000000003</v>
      </c>
      <c r="C11" s="33"/>
      <c r="D11" s="37">
        <f>IF( ISERROR(IND_textiel_gas_kWh/1000),0,IND_textiel_gas_kWh/1000)*0.902</f>
        <v>48.995857703171183</v>
      </c>
      <c r="E11" s="33">
        <f>C33*'E Balans VL '!I21/100/3.6*1000000</f>
        <v>0.15451567593230842</v>
      </c>
      <c r="F11" s="33">
        <f>C33*'E Balans VL '!L21/100/3.6*1000000+C33*'E Balans VL '!N21/100/3.6*1000000</f>
        <v>2.6036059442747455</v>
      </c>
      <c r="G11" s="34"/>
      <c r="H11" s="33"/>
      <c r="I11" s="33"/>
      <c r="J11" s="40">
        <f>C33*'E Balans VL '!D21/100/3.6*1000000+C33*'E Balans VL '!E21/100/3.6*1000000</f>
        <v>0</v>
      </c>
      <c r="K11" s="33"/>
      <c r="L11" s="33"/>
      <c r="M11" s="33"/>
      <c r="N11" s="33">
        <f>C33*'E Balans VL '!Y21/100/3.6*1000000</f>
        <v>0.54940792882088096</v>
      </c>
      <c r="O11" s="33"/>
      <c r="P11" s="33"/>
      <c r="R11" s="32"/>
    </row>
    <row r="12" spans="1:18">
      <c r="A12" s="6" t="s">
        <v>37</v>
      </c>
      <c r="B12" s="37">
        <f t="shared" si="0"/>
        <v>47.942089999999993</v>
      </c>
      <c r="C12" s="33"/>
      <c r="D12" s="37">
        <f>IF( ISERROR(IND_min_gas_kWh/1000),0,IND_min_gas_kWh/1000)*0.902</f>
        <v>57.911577400323196</v>
      </c>
      <c r="E12" s="33">
        <f>C34*'E Balans VL '!I22/100/3.6*1000000</f>
        <v>0.14519490386498055</v>
      </c>
      <c r="F12" s="33">
        <f>C34*'E Balans VL '!L22/100/3.6*1000000+C34*'E Balans VL '!N22/100/3.6*1000000</f>
        <v>1.4982315300457218</v>
      </c>
      <c r="G12" s="34"/>
      <c r="H12" s="33"/>
      <c r="I12" s="33"/>
      <c r="J12" s="40">
        <f>C34*'E Balans VL '!D22/100/3.6*1000000+C34*'E Balans VL '!E22/100/3.6*1000000</f>
        <v>7.1087476874422656E-2</v>
      </c>
      <c r="K12" s="33"/>
      <c r="L12" s="33"/>
      <c r="M12" s="33"/>
      <c r="N12" s="33">
        <f>C34*'E Balans VL '!Y22/100/3.6*1000000</f>
        <v>0</v>
      </c>
      <c r="O12" s="33"/>
      <c r="P12" s="33"/>
      <c r="R12" s="32"/>
    </row>
    <row r="13" spans="1:18">
      <c r="A13" s="6" t="s">
        <v>39</v>
      </c>
      <c r="B13" s="37">
        <f t="shared" si="0"/>
        <v>262.53070000000002</v>
      </c>
      <c r="C13" s="33"/>
      <c r="D13" s="37">
        <f>IF( ISERROR(IND_papier_gas_kWh/1000),0,IND_papier_gas_kWh/1000)*0.902</f>
        <v>55.255168018178139</v>
      </c>
      <c r="E13" s="33">
        <f>C35*'E Balans VL '!I23/100/3.6*1000000</f>
        <v>0.54371880009555051</v>
      </c>
      <c r="F13" s="33">
        <f>C35*'E Balans VL '!L23/100/3.6*1000000+C35*'E Balans VL '!N23/100/3.6*1000000</f>
        <v>5.2065466020873412</v>
      </c>
      <c r="G13" s="34"/>
      <c r="H13" s="33"/>
      <c r="I13" s="33"/>
      <c r="J13" s="40">
        <f>C35*'E Balans VL '!D23/100/3.6*1000000+C35*'E Balans VL '!E23/100/3.6*1000000</f>
        <v>0</v>
      </c>
      <c r="K13" s="33"/>
      <c r="L13" s="33"/>
      <c r="M13" s="33"/>
      <c r="N13" s="33">
        <f>C35*'E Balans VL '!Y23/100/3.6*1000000</f>
        <v>110.85302856438834</v>
      </c>
      <c r="O13" s="33"/>
      <c r="P13" s="33"/>
      <c r="R13" s="32"/>
    </row>
    <row r="14" spans="1:18">
      <c r="A14" s="6" t="s">
        <v>34</v>
      </c>
      <c r="B14" s="37">
        <f t="shared" si="0"/>
        <v>17928.317999999999</v>
      </c>
      <c r="C14" s="33"/>
      <c r="D14" s="37">
        <f>IF( ISERROR(IND_chemie_gas_kWh/1000),0,IND_chemie_gas_kWh/1000)*0.902</f>
        <v>0</v>
      </c>
      <c r="E14" s="33">
        <f>C36*'E Balans VL '!I24/100/3.6*1000000</f>
        <v>67.216210579367527</v>
      </c>
      <c r="F14" s="33">
        <f>C36*'E Balans VL '!L24/100/3.6*1000000+C36*'E Balans VL '!N24/100/3.6*1000000</f>
        <v>208.57720034027588</v>
      </c>
      <c r="G14" s="34"/>
      <c r="H14" s="33"/>
      <c r="I14" s="33"/>
      <c r="J14" s="40">
        <f>C36*'E Balans VL '!D24/100/3.6*1000000+C36*'E Balans VL '!E24/100/3.6*1000000</f>
        <v>0</v>
      </c>
      <c r="K14" s="33"/>
      <c r="L14" s="33"/>
      <c r="M14" s="33"/>
      <c r="N14" s="33">
        <f>C36*'E Balans VL '!Y24/100/3.6*1000000</f>
        <v>306.2967088804715</v>
      </c>
      <c r="O14" s="33"/>
      <c r="P14" s="33"/>
      <c r="R14" s="32"/>
    </row>
    <row r="15" spans="1:18">
      <c r="A15" s="6" t="s">
        <v>270</v>
      </c>
      <c r="B15" s="37">
        <f t="shared" si="0"/>
        <v>61355.847999999998</v>
      </c>
      <c r="C15" s="33"/>
      <c r="D15" s="37">
        <f>IF( ISERROR(IND_rest_gas_kWh/1000),0,IND_rest_gas_kWh/1000)*0.902</f>
        <v>25813.702147094795</v>
      </c>
      <c r="E15" s="33">
        <f>C37*'E Balans VL '!I15/100/3.6*1000000</f>
        <v>3121.3628258343633</v>
      </c>
      <c r="F15" s="33">
        <f>C37*'E Balans VL '!L15/100/3.6*1000000+C37*'E Balans VL '!N15/100/3.6*1000000</f>
        <v>13985.306224821779</v>
      </c>
      <c r="G15" s="34"/>
      <c r="H15" s="33"/>
      <c r="I15" s="33"/>
      <c r="J15" s="40">
        <f>C37*'E Balans VL '!D15/100/3.6*1000000+C37*'E Balans VL '!E15/100/3.6*1000000</f>
        <v>257.40805193067649</v>
      </c>
      <c r="K15" s="33"/>
      <c r="L15" s="33"/>
      <c r="M15" s="33"/>
      <c r="N15" s="33">
        <f>C37*'E Balans VL '!Y15/100/3.6*1000000</f>
        <v>11527.774797335234</v>
      </c>
      <c r="O15" s="33"/>
      <c r="P15" s="33"/>
      <c r="R15" s="32"/>
    </row>
    <row r="16" spans="1:18">
      <c r="A16" s="16" t="s">
        <v>494</v>
      </c>
      <c r="B16" s="247">
        <f>'lokale energieproductie'!N90+'lokale energieproductie'!N59</f>
        <v>2675.25</v>
      </c>
      <c r="C16" s="247">
        <f>'lokale energieproductie'!O90+'lokale energieproductie'!O59</f>
        <v>3821.7857142857142</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-7643.5714285714294</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93292.397629999992</v>
      </c>
      <c r="C18" s="21">
        <f>C5+C16</f>
        <v>3821.7857142857142</v>
      </c>
      <c r="D18" s="21">
        <f>MAX((D5+D16),0)</f>
        <v>38505.736628041086</v>
      </c>
      <c r="E18" s="21">
        <f>MAX((E5+E16),0)</f>
        <v>5426.9648125347458</v>
      </c>
      <c r="F18" s="21">
        <f>MAX((F5+F16),0)</f>
        <v>25163.871742459633</v>
      </c>
      <c r="G18" s="21"/>
      <c r="H18" s="21"/>
      <c r="I18" s="21"/>
      <c r="J18" s="21">
        <f>MAX((J5+J16),0)</f>
        <v>314.11667716535123</v>
      </c>
      <c r="K18" s="21"/>
      <c r="L18" s="21">
        <f>MAX((L5+L16),0)</f>
        <v>0</v>
      </c>
      <c r="M18" s="21"/>
      <c r="N18" s="21">
        <f>MAX((N5+N16),0)</f>
        <v>8152.6862719050059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0.16030012126913004</v>
      </c>
      <c r="C20" s="25">
        <f ca="1">'EF ele_warmte'!B22</f>
        <v>0.1549467594760045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14954.782653576898</v>
      </c>
      <c r="C22" s="23">
        <f ca="1">C18*C20</f>
        <v>592.17331184025863</v>
      </c>
      <c r="D22" s="23">
        <f>D18*D20</f>
        <v>7778.1587988642996</v>
      </c>
      <c r="E22" s="23">
        <f>E18*E20</f>
        <v>1231.9210124453873</v>
      </c>
      <c r="F22" s="23">
        <f>F18*F20</f>
        <v>6718.7537552367221</v>
      </c>
      <c r="G22" s="23"/>
      <c r="H22" s="23"/>
      <c r="I22" s="23"/>
      <c r="J22" s="23">
        <f>J18*J20</f>
        <v>111.19730371653434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602.59080000000006</v>
      </c>
      <c r="C30" s="39">
        <f>IF(ISERROR(B30*3.6/1000000/'E Balans VL '!Z18*100),0,B30*3.6/1000000/'E Balans VL '!Z18*100)</f>
        <v>8.4342630439742883E-2</v>
      </c>
      <c r="D30" s="237" t="s">
        <v>692</v>
      </c>
    </row>
    <row r="31" spans="1:18">
      <c r="A31" s="6" t="s">
        <v>33</v>
      </c>
      <c r="B31" s="37">
        <f>IF( ISERROR(IND_ander_ele_kWh/1000),0,IND_ander_ele_kWh/1000)</f>
        <v>7995.1440000000002</v>
      </c>
      <c r="C31" s="39">
        <f>IF(ISERROR(B31*3.6/1000000/'E Balans VL '!Z19*100),0,B31*3.6/1000000/'E Balans VL '!Z19*100)</f>
        <v>0.3499461558833733</v>
      </c>
      <c r="D31" s="237" t="s">
        <v>692</v>
      </c>
    </row>
    <row r="32" spans="1:18">
      <c r="A32" s="171" t="s">
        <v>41</v>
      </c>
      <c r="B32" s="37">
        <f>IF( ISERROR(IND_voed_ele_kWh/1000),0,IND_voed_ele_kWh/1000)</f>
        <v>2366.4769999999999</v>
      </c>
      <c r="C32" s="39">
        <f>IF(ISERROR(B32*3.6/1000000/'E Balans VL '!Z20*100),0,B32*3.6/1000000/'E Balans VL '!Z20*100)</f>
        <v>0.58586111837516286</v>
      </c>
      <c r="D32" s="237" t="s">
        <v>692</v>
      </c>
    </row>
    <row r="33" spans="1:5">
      <c r="A33" s="171" t="s">
        <v>40</v>
      </c>
      <c r="B33" s="37">
        <f>IF( ISERROR(IND_textiel_ele_kWh/1000),0,IND_textiel_ele_kWh/1000)</f>
        <v>58.297040000000003</v>
      </c>
      <c r="C33" s="39">
        <f>IF(ISERROR(B33*3.6/1000000/'E Balans VL '!Z21*100),0,B33*3.6/1000000/'E Balans VL '!Z21*100)</f>
        <v>6.56904949617944E-3</v>
      </c>
      <c r="D33" s="237" t="s">
        <v>692</v>
      </c>
    </row>
    <row r="34" spans="1:5">
      <c r="A34" s="171" t="s">
        <v>37</v>
      </c>
      <c r="B34" s="37">
        <f>IF( ISERROR(IND_min_ele_kWh/1000),0,IND_min_ele_kWh/1000)</f>
        <v>47.942089999999993</v>
      </c>
      <c r="C34" s="39">
        <f>IF(ISERROR(B34*3.6/1000000/'E Balans VL '!Z22*100),0,B34*3.6/1000000/'E Balans VL '!Z22*100)</f>
        <v>1.3604009209848506E-3</v>
      </c>
      <c r="D34" s="237" t="s">
        <v>692</v>
      </c>
    </row>
    <row r="35" spans="1:5">
      <c r="A35" s="171" t="s">
        <v>39</v>
      </c>
      <c r="B35" s="37">
        <f>IF( ISERROR(IND_papier_ele_kWh/1000),0,IND_papier_ele_kWh/1000)</f>
        <v>262.53070000000002</v>
      </c>
      <c r="C35" s="39">
        <f>IF(ISERROR(B35*3.6/1000000/'E Balans VL '!Z22*100),0,B35*3.6/1000000/'E Balans VL '!Z22*100)</f>
        <v>7.4495501983079509E-3</v>
      </c>
      <c r="D35" s="237" t="s">
        <v>692</v>
      </c>
    </row>
    <row r="36" spans="1:5">
      <c r="A36" s="171" t="s">
        <v>34</v>
      </c>
      <c r="B36" s="37">
        <f>IF( ISERROR(IND_chemie_ele_kWh/1000),0,IND_chemie_ele_kWh/1000)</f>
        <v>17928.317999999999</v>
      </c>
      <c r="C36" s="39">
        <f>IF(ISERROR(B36*3.6/1000000/'E Balans VL '!Z24*100),0,B36*3.6/1000000/'E Balans VL '!Z24*100)</f>
        <v>0.45714474434634178</v>
      </c>
      <c r="D36" s="237" t="s">
        <v>692</v>
      </c>
    </row>
    <row r="37" spans="1:5">
      <c r="A37" s="171" t="s">
        <v>270</v>
      </c>
      <c r="B37" s="37">
        <f>IF( ISERROR(IND_rest_ele_kWh/1000),0,IND_rest_ele_kWh/1000)</f>
        <v>61355.847999999998</v>
      </c>
      <c r="C37" s="39">
        <f>IF(ISERROR(B37*3.6/1000000/'E Balans VL '!Z15*100),0,B37*3.6/1000000/'E Balans VL '!Z15*100)</f>
        <v>0.45494310835430651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9580.6016999999993</v>
      </c>
      <c r="C5" s="17">
        <f>'Eigen informatie GS &amp; warmtenet'!B60</f>
        <v>0</v>
      </c>
      <c r="D5" s="30">
        <f>IF(ISERROR(SUM(LB_lb_gas_kWh,LB_rest_gas_kWh)/1000),0,SUM(LB_lb_gas_kWh,LB_rest_gas_kWh)/1000)*0.902</f>
        <v>112653.73125092636</v>
      </c>
      <c r="E5" s="17">
        <f>B17*'E Balans VL '!I25/3.6*1000000/100</f>
        <v>88.739545670249342</v>
      </c>
      <c r="F5" s="17">
        <f>B17*('E Balans VL '!L25/3.6*1000000+'E Balans VL '!N25/3.6*1000000)/100</f>
        <v>24307.811615650891</v>
      </c>
      <c r="G5" s="18"/>
      <c r="H5" s="17"/>
      <c r="I5" s="17"/>
      <c r="J5" s="17">
        <f>('E Balans VL '!D25+'E Balans VL '!E25)/3.6*1000000*landbouw!B17/100</f>
        <v>1468.8131604370276</v>
      </c>
      <c r="K5" s="17"/>
      <c r="L5" s="17">
        <f>L6*(-1)</f>
        <v>0</v>
      </c>
      <c r="M5" s="17"/>
      <c r="N5" s="17">
        <f>N6*(-1)</f>
        <v>67123.285714285725</v>
      </c>
      <c r="O5" s="17"/>
      <c r="P5" s="17"/>
      <c r="R5" s="32"/>
    </row>
    <row r="6" spans="1:18">
      <c r="A6" s="16" t="s">
        <v>494</v>
      </c>
      <c r="B6" s="17" t="s">
        <v>211</v>
      </c>
      <c r="C6" s="17">
        <f>'lokale energieproductie'!O92+'lokale energieproductie'!O61</f>
        <v>107856.64285714288</v>
      </c>
      <c r="D6" s="310">
        <f>('lokale energieproductie'!P61+'lokale energieproductie'!P92)*(-1)</f>
        <v>-148590.00000000003</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-67123.285714285725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9580.6016999999993</v>
      </c>
      <c r="C8" s="21">
        <f>C5+C6</f>
        <v>107856.64285714288</v>
      </c>
      <c r="D8" s="21">
        <f>MAX((D5+D6),0)</f>
        <v>0</v>
      </c>
      <c r="E8" s="21">
        <f>MAX((E5+E6),0)</f>
        <v>88.739545670249342</v>
      </c>
      <c r="F8" s="21">
        <f>MAX((F5+F6),0)</f>
        <v>24307.811615650891</v>
      </c>
      <c r="G8" s="21"/>
      <c r="H8" s="21"/>
      <c r="I8" s="21"/>
      <c r="J8" s="21">
        <f>MAX((J5+J6),0)</f>
        <v>1468.8131604370276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0.16030012126913004</v>
      </c>
      <c r="C10" s="31">
        <f ca="1">'EF ele_warmte'!B22</f>
        <v>0.1549467594760045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1535.7716143412333</v>
      </c>
      <c r="C12" s="23">
        <f ca="1">C8*C10</f>
        <v>16712.037298675037</v>
      </c>
      <c r="D12" s="23">
        <f>D8*D10</f>
        <v>0</v>
      </c>
      <c r="E12" s="23">
        <f>E8*E10</f>
        <v>20.143876867146602</v>
      </c>
      <c r="F12" s="23">
        <f>F8*F10</f>
        <v>6490.1857013787885</v>
      </c>
      <c r="G12" s="23"/>
      <c r="H12" s="23"/>
      <c r="I12" s="23"/>
      <c r="J12" s="23">
        <f>J8*J10</f>
        <v>519.95985879470777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1.3621584178707311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932.24987446819455</v>
      </c>
      <c r="C26" s="247">
        <f>B26*'GWP N2O_CH4'!B5</f>
        <v>19577.247363832084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519.07541714319541</v>
      </c>
      <c r="C27" s="247">
        <f>B27*'GWP N2O_CH4'!B5</f>
        <v>10900.583760007103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14.411408580624101</v>
      </c>
      <c r="C28" s="247">
        <f>B28*'GWP N2O_CH4'!B4</f>
        <v>4467.5366599934714</v>
      </c>
      <c r="D28" s="50"/>
    </row>
    <row r="29" spans="1:4">
      <c r="A29" s="41" t="s">
        <v>277</v>
      </c>
      <c r="B29" s="247">
        <f>B34*'ha_N2O bodem landbouw'!B4</f>
        <v>46.71583790053824</v>
      </c>
      <c r="C29" s="247">
        <f>B29*'GWP N2O_CH4'!B4</f>
        <v>14481.909749166854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1.0477539433675409E-2</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2.3563777744102971E-4</v>
      </c>
      <c r="C5" s="464" t="s">
        <v>211</v>
      </c>
      <c r="D5" s="449">
        <f>SUM(D6:D11)</f>
        <v>6.2428384361374494E-4</v>
      </c>
      <c r="E5" s="449">
        <f>SUM(E6:E11)</f>
        <v>4.5666210886201389E-3</v>
      </c>
      <c r="F5" s="462" t="s">
        <v>211</v>
      </c>
      <c r="G5" s="449">
        <f>SUM(G6:G11)</f>
        <v>1.9524459472515516</v>
      </c>
      <c r="H5" s="449">
        <f>SUM(H6:H11)</f>
        <v>0.24230938484097822</v>
      </c>
      <c r="I5" s="464" t="s">
        <v>211</v>
      </c>
      <c r="J5" s="464" t="s">
        <v>211</v>
      </c>
      <c r="K5" s="464" t="s">
        <v>211</v>
      </c>
      <c r="L5" s="464" t="s">
        <v>211</v>
      </c>
      <c r="M5" s="449">
        <f>SUM(M6:M11)</f>
        <v>0.12039908718154754</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5.3046600919067788E-5</v>
      </c>
      <c r="C6" s="450"/>
      <c r="D6" s="893">
        <f>vkm_2011_GW_PW*SUMIFS(TableVerdeelsleutelVkm[CNG],TableVerdeelsleutelVkm[Voertuigtype],"Lichte voertuigen")*SUMIFS(TableECFTransport[EnergieConsumptieFactor (PJ per km)],TableECFTransport[Index],CONCATENATE($A6,"_CNG_CNG"))</f>
        <v>1.2270262811463697E-4</v>
      </c>
      <c r="E6" s="893">
        <f>vkm_2011_GW_PW*SUMIFS(TableVerdeelsleutelVkm[LPG],TableVerdeelsleutelVkm[Voertuigtype],"Lichte voertuigen")*SUMIFS(TableECFTransport[EnergieConsumptieFactor (PJ per km)],TableECFTransport[Index],CONCATENATE($A6,"_LPG_LPG"))</f>
        <v>7.9896541624093463E-4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0.16597915426225474</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4.6786093524825767E-2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1.104141339961482E-2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0.1766999222430139</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6.0428164387039332E-5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1.0223092082370697E-2</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3.5261240098454898E-5</v>
      </c>
      <c r="C8" s="450"/>
      <c r="D8" s="452">
        <f>vkm_2011_NGW_PW*SUMIFS(TableVerdeelsleutelVkm[CNG],TableVerdeelsleutelVkm[Voertuigtype],"Lichte voertuigen")*SUMIFS(TableECFTransport[EnergieConsumptieFactor (PJ per km)],TableECFTransport[Index],CONCATENATE($A8,"_CNG_CNG"))</f>
        <v>1.4426134143402943E-4</v>
      </c>
      <c r="E8" s="452">
        <f>vkm_2011_NGW_PW*SUMIFS(TableVerdeelsleutelVkm[LPG],TableVerdeelsleutelVkm[Voertuigtype],"Lichte voertuigen")*SUMIFS(TableECFTransport[EnergieConsumptieFactor (PJ per km)],TableECFTransport[Index],CONCATENATE($A8,"_LPG_LPG"))</f>
        <v>8.6691562029386326E-4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0.16835373990608515</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5.3187265540055359E-2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1.1375833916550376E-2</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0.14841967677799348</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4.8026878511336984E-5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8.5868355398957506E-3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1.4732993642350701E-4</v>
      </c>
      <c r="C10" s="450"/>
      <c r="D10" s="452">
        <f>vkm_2011_SW_PW*SUMIFS(TableVerdeelsleutelVkm[CNG],TableVerdeelsleutelVkm[Voertuigtype],"Lichte voertuigen")*SUMIFS(TableECFTransport[EnergieConsumptieFactor (PJ per km)],TableECFTransport[Index],CONCATENATE($A10,"_CNG_CNG"))</f>
        <v>3.5731987406507855E-4</v>
      </c>
      <c r="E10" s="452">
        <f>vkm_2011_SW_PW*SUMIFS(TableVerdeelsleutelVkm[LPG],TableVerdeelsleutelVkm[Voertuigtype],"Lichte voertuigen")*SUMIFS(TableECFTransport[EnergieConsumptieFactor (PJ per km)],TableECFTransport[Index],CONCATENATE($A10,"_LPG_LPG"))</f>
        <v>2.9007400520853406E-3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0.54252167719492717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0.14195097515704552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3.5752251982622038E-2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0.75047177686727706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2.7659557615319436E-4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4.3419660260493861E-2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65.454938178063799</v>
      </c>
      <c r="C14" s="21"/>
      <c r="D14" s="21">
        <f t="shared" ref="D14:M14" si="0">((D5)*10^9/3600)+D12</f>
        <v>173.41217878159583</v>
      </c>
      <c r="E14" s="21">
        <f t="shared" si="0"/>
        <v>1268.5058579500387</v>
      </c>
      <c r="F14" s="21"/>
      <c r="G14" s="21">
        <f t="shared" si="0"/>
        <v>542346.0964587644</v>
      </c>
      <c r="H14" s="21">
        <f t="shared" si="0"/>
        <v>67308.162455827289</v>
      </c>
      <c r="I14" s="21"/>
      <c r="J14" s="21"/>
      <c r="K14" s="21"/>
      <c r="L14" s="21"/>
      <c r="M14" s="21">
        <f t="shared" si="0"/>
        <v>33444.190883763207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0.16030012126913004</v>
      </c>
      <c r="C16" s="56">
        <f ca="1">'EF ele_warmte'!B22</f>
        <v>0.1549467594760045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10.492434527607037</v>
      </c>
      <c r="C18" s="23"/>
      <c r="D18" s="23">
        <f t="shared" ref="D18:M18" si="1">D14*D16</f>
        <v>35.029260113882358</v>
      </c>
      <c r="E18" s="23">
        <f t="shared" si="1"/>
        <v>287.9508297546588</v>
      </c>
      <c r="F18" s="23"/>
      <c r="G18" s="23">
        <f t="shared" si="1"/>
        <v>144806.40775449009</v>
      </c>
      <c r="H18" s="23">
        <f t="shared" si="1"/>
        <v>16759.732451500993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1.339059154178193E-2</v>
      </c>
      <c r="H50" s="321">
        <f t="shared" si="2"/>
        <v>0</v>
      </c>
      <c r="I50" s="321">
        <f t="shared" si="2"/>
        <v>0</v>
      </c>
      <c r="J50" s="321">
        <f t="shared" si="2"/>
        <v>0</v>
      </c>
      <c r="K50" s="321">
        <f t="shared" si="2"/>
        <v>0</v>
      </c>
      <c r="L50" s="321">
        <f t="shared" si="2"/>
        <v>0</v>
      </c>
      <c r="M50" s="321">
        <f t="shared" si="2"/>
        <v>7.6362639994478139E-4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1.339059154178193E-2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7.6362639994478139E-4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3719.6087616060918</v>
      </c>
      <c r="H54" s="21">
        <f t="shared" si="3"/>
        <v>0</v>
      </c>
      <c r="I54" s="21">
        <f t="shared" si="3"/>
        <v>0</v>
      </c>
      <c r="J54" s="21">
        <f t="shared" si="3"/>
        <v>0</v>
      </c>
      <c r="K54" s="21">
        <f t="shared" si="3"/>
        <v>0</v>
      </c>
      <c r="L54" s="21">
        <f t="shared" si="3"/>
        <v>0</v>
      </c>
      <c r="M54" s="21">
        <f t="shared" si="3"/>
        <v>212.11844442910595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0.16030012126913004</v>
      </c>
      <c r="C56" s="56">
        <f ca="1">'EF ele_warmte'!B22</f>
        <v>0.1549467594760045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993.13553934882657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136080.55709999998</v>
      </c>
      <c r="D10" s="1025">
        <f ca="1">tertiair!C16</f>
        <v>4902.8571428571431</v>
      </c>
      <c r="E10" s="1025">
        <f ca="1">tertiair!D16</f>
        <v>62210.395418364205</v>
      </c>
      <c r="F10" s="1025">
        <f>tertiair!E16</f>
        <v>790.03942203555653</v>
      </c>
      <c r="G10" s="1025">
        <f ca="1">tertiair!F16</f>
        <v>16929.727185938442</v>
      </c>
      <c r="H10" s="1025">
        <f>tertiair!G16</f>
        <v>0</v>
      </c>
      <c r="I10" s="1025">
        <f>tertiair!H16</f>
        <v>0</v>
      </c>
      <c r="J10" s="1025">
        <f>tertiair!I16</f>
        <v>0</v>
      </c>
      <c r="K10" s="1025">
        <f>tertiair!J16</f>
        <v>0</v>
      </c>
      <c r="L10" s="1025">
        <f>tertiair!K16</f>
        <v>0</v>
      </c>
      <c r="M10" s="1025">
        <f ca="1">tertiair!L16</f>
        <v>0</v>
      </c>
      <c r="N10" s="1025">
        <f>tertiair!M16</f>
        <v>0</v>
      </c>
      <c r="O10" s="1025">
        <f ca="1">tertiair!N16</f>
        <v>1306.6893853674319</v>
      </c>
      <c r="P10" s="1025">
        <f>tertiair!O16</f>
        <v>9.3800000000000008</v>
      </c>
      <c r="Q10" s="1026">
        <f>tertiair!P16</f>
        <v>38.133333333333333</v>
      </c>
      <c r="R10" s="701">
        <f ca="1">SUM(C10:Q10)</f>
        <v>222267.7789878961</v>
      </c>
      <c r="S10" s="67"/>
    </row>
    <row r="11" spans="1:19" s="474" customFormat="1">
      <c r="A11" s="810" t="s">
        <v>225</v>
      </c>
      <c r="B11" s="815"/>
      <c r="C11" s="1025">
        <f>huishoudens!B8</f>
        <v>101091.0983146349</v>
      </c>
      <c r="D11" s="1025">
        <f>huishoudens!C8</f>
        <v>0</v>
      </c>
      <c r="E11" s="1025">
        <f>huishoudens!D8</f>
        <v>179461.91539075383</v>
      </c>
      <c r="F11" s="1025">
        <f>huishoudens!E8</f>
        <v>3043.524764685541</v>
      </c>
      <c r="G11" s="1025">
        <f>huishoudens!F8</f>
        <v>0</v>
      </c>
      <c r="H11" s="1025">
        <f>huishoudens!G8</f>
        <v>0</v>
      </c>
      <c r="I11" s="1025">
        <f>huishoudens!H8</f>
        <v>0</v>
      </c>
      <c r="J11" s="1025">
        <f>huishoudens!I8</f>
        <v>0</v>
      </c>
      <c r="K11" s="1025">
        <f>huishoudens!J8</f>
        <v>6570.5449969341153</v>
      </c>
      <c r="L11" s="1025">
        <f>huishoudens!K8</f>
        <v>0</v>
      </c>
      <c r="M11" s="1025">
        <f>huishoudens!L8</f>
        <v>0</v>
      </c>
      <c r="N11" s="1025">
        <f>huishoudens!M8</f>
        <v>0</v>
      </c>
      <c r="O11" s="1025">
        <f>huishoudens!N8</f>
        <v>27422.716135446386</v>
      </c>
      <c r="P11" s="1025">
        <f>huishoudens!O8</f>
        <v>1005.2233333333334</v>
      </c>
      <c r="Q11" s="1026">
        <f>huishoudens!P8</f>
        <v>1182.1333333333332</v>
      </c>
      <c r="R11" s="701">
        <f>SUM(C11:Q11)</f>
        <v>319777.15626912151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93292.397629999992</v>
      </c>
      <c r="D13" s="1025">
        <f>industrie!C18</f>
        <v>3821.7857142857142</v>
      </c>
      <c r="E13" s="1025">
        <f>industrie!D18</f>
        <v>38505.736628041086</v>
      </c>
      <c r="F13" s="1025">
        <f>industrie!E18</f>
        <v>5426.9648125347458</v>
      </c>
      <c r="G13" s="1025">
        <f>industrie!F18</f>
        <v>25163.871742459633</v>
      </c>
      <c r="H13" s="1025">
        <f>industrie!G18</f>
        <v>0</v>
      </c>
      <c r="I13" s="1025">
        <f>industrie!H18</f>
        <v>0</v>
      </c>
      <c r="J13" s="1025">
        <f>industrie!I18</f>
        <v>0</v>
      </c>
      <c r="K13" s="1025">
        <f>industrie!J18</f>
        <v>314.11667716535123</v>
      </c>
      <c r="L13" s="1025">
        <f>industrie!K18</f>
        <v>0</v>
      </c>
      <c r="M13" s="1025">
        <f>industrie!L18</f>
        <v>0</v>
      </c>
      <c r="N13" s="1025">
        <f>industrie!M18</f>
        <v>0</v>
      </c>
      <c r="O13" s="1025">
        <f>industrie!N18</f>
        <v>8152.6862719050059</v>
      </c>
      <c r="P13" s="1025">
        <f>industrie!O18</f>
        <v>0</v>
      </c>
      <c r="Q13" s="1026">
        <f>industrie!P18</f>
        <v>0</v>
      </c>
      <c r="R13" s="701">
        <f>SUM(C13:Q13)</f>
        <v>174677.5594763915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330464.05304463487</v>
      </c>
      <c r="D16" s="733">
        <f t="shared" ref="D16:R16" ca="1" si="0">SUM(D9:D15)</f>
        <v>8724.6428571428569</v>
      </c>
      <c r="E16" s="733">
        <f t="shared" ca="1" si="0"/>
        <v>280178.04743715911</v>
      </c>
      <c r="F16" s="733">
        <f t="shared" si="0"/>
        <v>9260.5289992558428</v>
      </c>
      <c r="G16" s="733">
        <f t="shared" ca="1" si="0"/>
        <v>42093.598928398074</v>
      </c>
      <c r="H16" s="733">
        <f t="shared" si="0"/>
        <v>0</v>
      </c>
      <c r="I16" s="733">
        <f t="shared" si="0"/>
        <v>0</v>
      </c>
      <c r="J16" s="733">
        <f t="shared" si="0"/>
        <v>0</v>
      </c>
      <c r="K16" s="733">
        <f t="shared" si="0"/>
        <v>6884.6616740994668</v>
      </c>
      <c r="L16" s="733">
        <f t="shared" si="0"/>
        <v>0</v>
      </c>
      <c r="M16" s="733">
        <f t="shared" ca="1" si="0"/>
        <v>0</v>
      </c>
      <c r="N16" s="733">
        <f t="shared" si="0"/>
        <v>0</v>
      </c>
      <c r="O16" s="733">
        <f t="shared" ca="1" si="0"/>
        <v>36882.09179271882</v>
      </c>
      <c r="P16" s="733">
        <f t="shared" si="0"/>
        <v>1014.6033333333334</v>
      </c>
      <c r="Q16" s="733">
        <f t="shared" si="0"/>
        <v>1220.2666666666667</v>
      </c>
      <c r="R16" s="733">
        <f t="shared" ca="1" si="0"/>
        <v>716722.49473340914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3719.6087616060918</v>
      </c>
      <c r="I19" s="1025">
        <f>transport!H54</f>
        <v>0</v>
      </c>
      <c r="J19" s="1025">
        <f>transport!I54</f>
        <v>0</v>
      </c>
      <c r="K19" s="1025">
        <f>transport!J54</f>
        <v>0</v>
      </c>
      <c r="L19" s="1025">
        <f>transport!K54</f>
        <v>0</v>
      </c>
      <c r="M19" s="1025">
        <f>transport!L54</f>
        <v>0</v>
      </c>
      <c r="N19" s="1025">
        <f>transport!M54</f>
        <v>212.11844442910595</v>
      </c>
      <c r="O19" s="1025">
        <f>transport!N54</f>
        <v>0</v>
      </c>
      <c r="P19" s="1025">
        <f>transport!O54</f>
        <v>0</v>
      </c>
      <c r="Q19" s="1026">
        <f>transport!P54</f>
        <v>0</v>
      </c>
      <c r="R19" s="701">
        <f>SUM(C19:Q19)</f>
        <v>3931.7272060351979</v>
      </c>
      <c r="S19" s="67"/>
    </row>
    <row r="20" spans="1:19" s="474" customFormat="1">
      <c r="A20" s="810" t="s">
        <v>307</v>
      </c>
      <c r="B20" s="815"/>
      <c r="C20" s="1025">
        <f>transport!B14</f>
        <v>65.454938178063799</v>
      </c>
      <c r="D20" s="1025">
        <f>transport!C14</f>
        <v>0</v>
      </c>
      <c r="E20" s="1025">
        <f>transport!D14</f>
        <v>173.41217878159583</v>
      </c>
      <c r="F20" s="1025">
        <f>transport!E14</f>
        <v>1268.5058579500387</v>
      </c>
      <c r="G20" s="1025">
        <f>transport!F14</f>
        <v>0</v>
      </c>
      <c r="H20" s="1025">
        <f>transport!G14</f>
        <v>542346.0964587644</v>
      </c>
      <c r="I20" s="1025">
        <f>transport!H14</f>
        <v>67308.162455827289</v>
      </c>
      <c r="J20" s="1025">
        <f>transport!I14</f>
        <v>0</v>
      </c>
      <c r="K20" s="1025">
        <f>transport!J14</f>
        <v>0</v>
      </c>
      <c r="L20" s="1025">
        <f>transport!K14</f>
        <v>0</v>
      </c>
      <c r="M20" s="1025">
        <f>transport!L14</f>
        <v>0</v>
      </c>
      <c r="N20" s="1025">
        <f>transport!M14</f>
        <v>33444.190883763207</v>
      </c>
      <c r="O20" s="1025">
        <f>transport!N14</f>
        <v>0</v>
      </c>
      <c r="P20" s="1025">
        <f>transport!O14</f>
        <v>0</v>
      </c>
      <c r="Q20" s="1026">
        <f>transport!P14</f>
        <v>0</v>
      </c>
      <c r="R20" s="701">
        <f>SUM(C20:Q20)</f>
        <v>644605.8227732646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65.454938178063799</v>
      </c>
      <c r="D22" s="813">
        <f t="shared" ref="D22:R22" si="1">SUM(D18:D21)</f>
        <v>0</v>
      </c>
      <c r="E22" s="813">
        <f t="shared" si="1"/>
        <v>173.41217878159583</v>
      </c>
      <c r="F22" s="813">
        <f t="shared" si="1"/>
        <v>1268.5058579500387</v>
      </c>
      <c r="G22" s="813">
        <f t="shared" si="1"/>
        <v>0</v>
      </c>
      <c r="H22" s="813">
        <f t="shared" si="1"/>
        <v>546065.70522037044</v>
      </c>
      <c r="I22" s="813">
        <f t="shared" si="1"/>
        <v>67308.162455827289</v>
      </c>
      <c r="J22" s="813">
        <f t="shared" si="1"/>
        <v>0</v>
      </c>
      <c r="K22" s="813">
        <f t="shared" si="1"/>
        <v>0</v>
      </c>
      <c r="L22" s="813">
        <f t="shared" si="1"/>
        <v>0</v>
      </c>
      <c r="M22" s="813">
        <f t="shared" si="1"/>
        <v>0</v>
      </c>
      <c r="N22" s="813">
        <f t="shared" si="1"/>
        <v>33656.309328192314</v>
      </c>
      <c r="O22" s="813">
        <f t="shared" si="1"/>
        <v>0</v>
      </c>
      <c r="P22" s="813">
        <f t="shared" si="1"/>
        <v>0</v>
      </c>
      <c r="Q22" s="813">
        <f t="shared" si="1"/>
        <v>0</v>
      </c>
      <c r="R22" s="813">
        <f t="shared" si="1"/>
        <v>648537.54997929977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9580.6016999999993</v>
      </c>
      <c r="D24" s="1025">
        <f>+landbouw!C8</f>
        <v>107856.64285714288</v>
      </c>
      <c r="E24" s="1025">
        <f>+landbouw!D8</f>
        <v>0</v>
      </c>
      <c r="F24" s="1025">
        <f>+landbouw!E8</f>
        <v>88.739545670249342</v>
      </c>
      <c r="G24" s="1025">
        <f>+landbouw!F8</f>
        <v>24307.811615650891</v>
      </c>
      <c r="H24" s="1025">
        <f>+landbouw!G8</f>
        <v>0</v>
      </c>
      <c r="I24" s="1025">
        <f>+landbouw!H8</f>
        <v>0</v>
      </c>
      <c r="J24" s="1025">
        <f>+landbouw!I8</f>
        <v>0</v>
      </c>
      <c r="K24" s="1025">
        <f>+landbouw!J8</f>
        <v>1468.8131604370276</v>
      </c>
      <c r="L24" s="1025">
        <f>+landbouw!K8</f>
        <v>0</v>
      </c>
      <c r="M24" s="1025">
        <f>+landbouw!L8</f>
        <v>0</v>
      </c>
      <c r="N24" s="1025">
        <f>+landbouw!M8</f>
        <v>0</v>
      </c>
      <c r="O24" s="1025">
        <f>+landbouw!N8</f>
        <v>0</v>
      </c>
      <c r="P24" s="1025">
        <f>+landbouw!O8</f>
        <v>0</v>
      </c>
      <c r="Q24" s="1026">
        <f>+landbouw!P8</f>
        <v>0</v>
      </c>
      <c r="R24" s="701">
        <f>SUM(C24:Q24)</f>
        <v>143302.60887890102</v>
      </c>
      <c r="S24" s="67"/>
    </row>
    <row r="25" spans="1:19" s="474" customFormat="1" ht="15" thickBot="1">
      <c r="A25" s="832" t="s">
        <v>864</v>
      </c>
      <c r="B25" s="1028"/>
      <c r="C25" s="1029">
        <f>IF(Onbekend_ele_kWh="---",0,Onbekend_ele_kWh)/1000+IF(REST_rest_ele_kWh="---",0,REST_rest_ele_kWh)/1000</f>
        <v>8552.8439999999991</v>
      </c>
      <c r="D25" s="1029"/>
      <c r="E25" s="1029">
        <f>IF(onbekend_gas_kWh="---",0,onbekend_gas_kWh)/1000+IF(REST_rest_gas_kWh="---",0,REST_rest_gas_kWh)/1000</f>
        <v>6566.7759957017397</v>
      </c>
      <c r="F25" s="1029"/>
      <c r="G25" s="1029"/>
      <c r="H25" s="1029"/>
      <c r="I25" s="1029"/>
      <c r="J25" s="1029"/>
      <c r="K25" s="1029"/>
      <c r="L25" s="1029"/>
      <c r="M25" s="1029"/>
      <c r="N25" s="1029"/>
      <c r="O25" s="1029"/>
      <c r="P25" s="1029"/>
      <c r="Q25" s="1030"/>
      <c r="R25" s="701">
        <f>SUM(C25:Q25)</f>
        <v>15119.619995701738</v>
      </c>
      <c r="S25" s="67"/>
    </row>
    <row r="26" spans="1:19" s="474" customFormat="1" ht="15.75" thickBot="1">
      <c r="A26" s="706" t="s">
        <v>865</v>
      </c>
      <c r="B26" s="818"/>
      <c r="C26" s="813">
        <f>SUM(C24:C25)</f>
        <v>18133.445699999997</v>
      </c>
      <c r="D26" s="813">
        <f t="shared" ref="D26:R26" si="2">SUM(D24:D25)</f>
        <v>107856.64285714288</v>
      </c>
      <c r="E26" s="813">
        <f t="shared" si="2"/>
        <v>6566.7759957017397</v>
      </c>
      <c r="F26" s="813">
        <f t="shared" si="2"/>
        <v>88.739545670249342</v>
      </c>
      <c r="G26" s="813">
        <f t="shared" si="2"/>
        <v>24307.811615650891</v>
      </c>
      <c r="H26" s="813">
        <f t="shared" si="2"/>
        <v>0</v>
      </c>
      <c r="I26" s="813">
        <f t="shared" si="2"/>
        <v>0</v>
      </c>
      <c r="J26" s="813">
        <f t="shared" si="2"/>
        <v>0</v>
      </c>
      <c r="K26" s="813">
        <f t="shared" si="2"/>
        <v>1468.8131604370276</v>
      </c>
      <c r="L26" s="813">
        <f t="shared" si="2"/>
        <v>0</v>
      </c>
      <c r="M26" s="813">
        <f t="shared" si="2"/>
        <v>0</v>
      </c>
      <c r="N26" s="813">
        <f t="shared" si="2"/>
        <v>0</v>
      </c>
      <c r="O26" s="813">
        <f t="shared" si="2"/>
        <v>0</v>
      </c>
      <c r="P26" s="813">
        <f t="shared" si="2"/>
        <v>0</v>
      </c>
      <c r="Q26" s="813">
        <f t="shared" si="2"/>
        <v>0</v>
      </c>
      <c r="R26" s="813">
        <f t="shared" si="2"/>
        <v>158422.22887460276</v>
      </c>
      <c r="S26" s="67"/>
    </row>
    <row r="27" spans="1:19" s="474" customFormat="1" ht="17.25" thickTop="1" thickBot="1">
      <c r="A27" s="707" t="s">
        <v>116</v>
      </c>
      <c r="B27" s="806"/>
      <c r="C27" s="708">
        <f ca="1">C22+C16+C26</f>
        <v>348662.95368281292</v>
      </c>
      <c r="D27" s="708">
        <f t="shared" ref="D27:R27" ca="1" si="3">D22+D16+D26</f>
        <v>116581.28571428574</v>
      </c>
      <c r="E27" s="708">
        <f t="shared" ca="1" si="3"/>
        <v>286918.23561164242</v>
      </c>
      <c r="F27" s="708">
        <f t="shared" si="3"/>
        <v>10617.77440287613</v>
      </c>
      <c r="G27" s="708">
        <f t="shared" ca="1" si="3"/>
        <v>66401.410544048966</v>
      </c>
      <c r="H27" s="708">
        <f t="shared" si="3"/>
        <v>546065.70522037044</v>
      </c>
      <c r="I27" s="708">
        <f t="shared" si="3"/>
        <v>67308.162455827289</v>
      </c>
      <c r="J27" s="708">
        <f t="shared" si="3"/>
        <v>0</v>
      </c>
      <c r="K27" s="708">
        <f t="shared" si="3"/>
        <v>8353.4748345364951</v>
      </c>
      <c r="L27" s="708">
        <f t="shared" si="3"/>
        <v>0</v>
      </c>
      <c r="M27" s="708">
        <f t="shared" ca="1" si="3"/>
        <v>0</v>
      </c>
      <c r="N27" s="708">
        <f t="shared" si="3"/>
        <v>33656.309328192314</v>
      </c>
      <c r="O27" s="708">
        <f t="shared" ca="1" si="3"/>
        <v>36882.09179271882</v>
      </c>
      <c r="P27" s="708">
        <f t="shared" si="3"/>
        <v>1014.6033333333334</v>
      </c>
      <c r="Q27" s="708">
        <f t="shared" si="3"/>
        <v>1220.2666666666667</v>
      </c>
      <c r="R27" s="708">
        <f t="shared" ca="1" si="3"/>
        <v>1523682.2735873116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21813.729805500774</v>
      </c>
      <c r="D40" s="1025">
        <f ca="1">tertiair!C20</f>
        <v>759.68182645949639</v>
      </c>
      <c r="E40" s="1025">
        <f ca="1">tertiair!D20</f>
        <v>12566.499874509571</v>
      </c>
      <c r="F40" s="1025">
        <f>tertiair!E20</f>
        <v>179.33894880207134</v>
      </c>
      <c r="G40" s="1025">
        <f ca="1">tertiair!F20</f>
        <v>4520.2371586455638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39839.487613917474</v>
      </c>
    </row>
    <row r="41" spans="1:18">
      <c r="A41" s="823" t="s">
        <v>225</v>
      </c>
      <c r="B41" s="830"/>
      <c r="C41" s="1025">
        <f ca="1">huishoudens!B12</f>
        <v>16204.915319065522</v>
      </c>
      <c r="D41" s="1025">
        <f ca="1">huishoudens!C12</f>
        <v>0</v>
      </c>
      <c r="E41" s="1025">
        <f>huishoudens!D12</f>
        <v>36251.306908932274</v>
      </c>
      <c r="F41" s="1025">
        <f>huishoudens!E12</f>
        <v>690.88012158361778</v>
      </c>
      <c r="G41" s="1025">
        <f>huishoudens!F12</f>
        <v>0</v>
      </c>
      <c r="H41" s="1025">
        <f>huishoudens!G12</f>
        <v>0</v>
      </c>
      <c r="I41" s="1025">
        <f>huishoudens!H12</f>
        <v>0</v>
      </c>
      <c r="J41" s="1025">
        <f>huishoudens!I12</f>
        <v>0</v>
      </c>
      <c r="K41" s="1025">
        <f>huishoudens!J12</f>
        <v>2325.9729289146767</v>
      </c>
      <c r="L41" s="1025">
        <f>huishoudens!K12</f>
        <v>0</v>
      </c>
      <c r="M41" s="1025">
        <f>huishoudens!L12</f>
        <v>0</v>
      </c>
      <c r="N41" s="1025">
        <f>huishoudens!M12</f>
        <v>0</v>
      </c>
      <c r="O41" s="1025">
        <f>huishoudens!N12</f>
        <v>0</v>
      </c>
      <c r="P41" s="1025">
        <f>huishoudens!O12</f>
        <v>0</v>
      </c>
      <c r="Q41" s="775">
        <f>huishoudens!P12</f>
        <v>0</v>
      </c>
      <c r="R41" s="851">
        <f t="shared" ca="1" si="4"/>
        <v>55473.075278496093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14954.782653576898</v>
      </c>
      <c r="D43" s="1025">
        <f ca="1">industrie!C22</f>
        <v>592.17331184025863</v>
      </c>
      <c r="E43" s="1025">
        <f>industrie!D22</f>
        <v>7778.1587988642996</v>
      </c>
      <c r="F43" s="1025">
        <f>industrie!E22</f>
        <v>1231.9210124453873</v>
      </c>
      <c r="G43" s="1025">
        <f>industrie!F22</f>
        <v>6718.7537552367221</v>
      </c>
      <c r="H43" s="1025">
        <f>industrie!G22</f>
        <v>0</v>
      </c>
      <c r="I43" s="1025">
        <f>industrie!H22</f>
        <v>0</v>
      </c>
      <c r="J43" s="1025">
        <f>industrie!I22</f>
        <v>0</v>
      </c>
      <c r="K43" s="1025">
        <f>industrie!J22</f>
        <v>111.19730371653434</v>
      </c>
      <c r="L43" s="1025">
        <f>industrie!K22</f>
        <v>0</v>
      </c>
      <c r="M43" s="1025">
        <f>industrie!L22</f>
        <v>0</v>
      </c>
      <c r="N43" s="1025">
        <f>industrie!M22</f>
        <v>0</v>
      </c>
      <c r="O43" s="1025">
        <f>industrie!N22</f>
        <v>0</v>
      </c>
      <c r="P43" s="1025">
        <f>industrie!O22</f>
        <v>0</v>
      </c>
      <c r="Q43" s="775">
        <f>industrie!P22</f>
        <v>0</v>
      </c>
      <c r="R43" s="850">
        <f t="shared" ca="1" si="4"/>
        <v>31386.986835680098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52973.427778143196</v>
      </c>
      <c r="D46" s="733">
        <f t="shared" ref="D46:Q46" ca="1" si="5">SUM(D39:D45)</f>
        <v>1351.855138299755</v>
      </c>
      <c r="E46" s="733">
        <f t="shared" ca="1" si="5"/>
        <v>56595.965582306148</v>
      </c>
      <c r="F46" s="733">
        <f t="shared" si="5"/>
        <v>2102.1400828310761</v>
      </c>
      <c r="G46" s="733">
        <f t="shared" ca="1" si="5"/>
        <v>11238.990913882286</v>
      </c>
      <c r="H46" s="733">
        <f t="shared" si="5"/>
        <v>0</v>
      </c>
      <c r="I46" s="733">
        <f t="shared" si="5"/>
        <v>0</v>
      </c>
      <c r="J46" s="733">
        <f t="shared" si="5"/>
        <v>0</v>
      </c>
      <c r="K46" s="733">
        <f t="shared" si="5"/>
        <v>2437.1702326312111</v>
      </c>
      <c r="L46" s="733">
        <f t="shared" si="5"/>
        <v>0</v>
      </c>
      <c r="M46" s="733">
        <f t="shared" ca="1" si="5"/>
        <v>0</v>
      </c>
      <c r="N46" s="733">
        <f t="shared" si="5"/>
        <v>0</v>
      </c>
      <c r="O46" s="733">
        <f t="shared" ca="1" si="5"/>
        <v>0</v>
      </c>
      <c r="P46" s="733">
        <f t="shared" si="5"/>
        <v>0</v>
      </c>
      <c r="Q46" s="733">
        <f t="shared" si="5"/>
        <v>0</v>
      </c>
      <c r="R46" s="733">
        <f ca="1">SUM(R39:R45)</f>
        <v>126699.54972809367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993.13553934882657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993.13553934882657</v>
      </c>
    </row>
    <row r="50" spans="1:18">
      <c r="A50" s="826" t="s">
        <v>307</v>
      </c>
      <c r="B50" s="836"/>
      <c r="C50" s="704">
        <f ca="1">transport!B18</f>
        <v>10.492434527607037</v>
      </c>
      <c r="D50" s="704">
        <f>transport!C18</f>
        <v>0</v>
      </c>
      <c r="E50" s="704">
        <f>transport!D18</f>
        <v>35.029260113882358</v>
      </c>
      <c r="F50" s="704">
        <f>transport!E18</f>
        <v>287.9508297546588</v>
      </c>
      <c r="G50" s="704">
        <f>transport!F18</f>
        <v>0</v>
      </c>
      <c r="H50" s="704">
        <f>transport!G18</f>
        <v>144806.40775449009</v>
      </c>
      <c r="I50" s="704">
        <f>transport!H18</f>
        <v>16759.732451500993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161899.61273038722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10.492434527607037</v>
      </c>
      <c r="D52" s="733">
        <f t="shared" ref="D52:Q52" ca="1" si="6">SUM(D48:D51)</f>
        <v>0</v>
      </c>
      <c r="E52" s="733">
        <f t="shared" si="6"/>
        <v>35.029260113882358</v>
      </c>
      <c r="F52" s="733">
        <f t="shared" si="6"/>
        <v>287.9508297546588</v>
      </c>
      <c r="G52" s="733">
        <f t="shared" si="6"/>
        <v>0</v>
      </c>
      <c r="H52" s="733">
        <f t="shared" si="6"/>
        <v>145799.54329383891</v>
      </c>
      <c r="I52" s="733">
        <f t="shared" si="6"/>
        <v>16759.732451500993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162892.74826973604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1535.7716143412333</v>
      </c>
      <c r="D54" s="704">
        <f ca="1">+landbouw!C12</f>
        <v>16712.037298675037</v>
      </c>
      <c r="E54" s="704">
        <f>+landbouw!D12</f>
        <v>0</v>
      </c>
      <c r="F54" s="704">
        <f>+landbouw!E12</f>
        <v>20.143876867146602</v>
      </c>
      <c r="G54" s="704">
        <f>+landbouw!F12</f>
        <v>6490.1857013787885</v>
      </c>
      <c r="H54" s="704">
        <f>+landbouw!G12</f>
        <v>0</v>
      </c>
      <c r="I54" s="704">
        <f>+landbouw!H12</f>
        <v>0</v>
      </c>
      <c r="J54" s="704">
        <f>+landbouw!I12</f>
        <v>0</v>
      </c>
      <c r="K54" s="704">
        <f>+landbouw!J12</f>
        <v>519.95985879470777</v>
      </c>
      <c r="L54" s="704">
        <f>+landbouw!K12</f>
        <v>0</v>
      </c>
      <c r="M54" s="704">
        <f>+landbouw!L12</f>
        <v>0</v>
      </c>
      <c r="N54" s="704">
        <f>+landbouw!M12</f>
        <v>0</v>
      </c>
      <c r="O54" s="704">
        <f>+landbouw!N12</f>
        <v>0</v>
      </c>
      <c r="P54" s="704">
        <f>+landbouw!O12</f>
        <v>0</v>
      </c>
      <c r="Q54" s="705">
        <f>+landbouw!P12</f>
        <v>0</v>
      </c>
      <c r="R54" s="732">
        <f ca="1">SUM(C54:Q54)</f>
        <v>25278.098350056913</v>
      </c>
    </row>
    <row r="55" spans="1:18" ht="15" thickBot="1">
      <c r="A55" s="826" t="s">
        <v>864</v>
      </c>
      <c r="B55" s="836"/>
      <c r="C55" s="704">
        <f ca="1">C25*'EF ele_warmte'!B12</f>
        <v>1371.0219303959511</v>
      </c>
      <c r="D55" s="704"/>
      <c r="E55" s="704">
        <f>E25*EF_CO2_aardgas</f>
        <v>1326.4887511317515</v>
      </c>
      <c r="F55" s="704"/>
      <c r="G55" s="704"/>
      <c r="H55" s="704"/>
      <c r="I55" s="704"/>
      <c r="J55" s="704"/>
      <c r="K55" s="704"/>
      <c r="L55" s="704"/>
      <c r="M55" s="704"/>
      <c r="N55" s="704"/>
      <c r="O55" s="704"/>
      <c r="P55" s="704"/>
      <c r="Q55" s="705"/>
      <c r="R55" s="732">
        <f ca="1">SUM(C55:Q55)</f>
        <v>2697.5106815277027</v>
      </c>
    </row>
    <row r="56" spans="1:18" ht="15.75" thickBot="1">
      <c r="A56" s="824" t="s">
        <v>865</v>
      </c>
      <c r="B56" s="837"/>
      <c r="C56" s="733">
        <f ca="1">SUM(C54:C55)</f>
        <v>2906.7935447371847</v>
      </c>
      <c r="D56" s="733">
        <f t="shared" ref="D56:Q56" ca="1" si="7">SUM(D54:D55)</f>
        <v>16712.037298675037</v>
      </c>
      <c r="E56" s="733">
        <f t="shared" si="7"/>
        <v>1326.4887511317515</v>
      </c>
      <c r="F56" s="733">
        <f t="shared" si="7"/>
        <v>20.143876867146602</v>
      </c>
      <c r="G56" s="733">
        <f t="shared" si="7"/>
        <v>6490.1857013787885</v>
      </c>
      <c r="H56" s="733">
        <f t="shared" si="7"/>
        <v>0</v>
      </c>
      <c r="I56" s="733">
        <f t="shared" si="7"/>
        <v>0</v>
      </c>
      <c r="J56" s="733">
        <f t="shared" si="7"/>
        <v>0</v>
      </c>
      <c r="K56" s="733">
        <f t="shared" si="7"/>
        <v>519.95985879470777</v>
      </c>
      <c r="L56" s="733">
        <f t="shared" si="7"/>
        <v>0</v>
      </c>
      <c r="M56" s="733">
        <f t="shared" si="7"/>
        <v>0</v>
      </c>
      <c r="N56" s="733">
        <f t="shared" si="7"/>
        <v>0</v>
      </c>
      <c r="O56" s="733">
        <f t="shared" si="7"/>
        <v>0</v>
      </c>
      <c r="P56" s="733">
        <f t="shared" si="7"/>
        <v>0</v>
      </c>
      <c r="Q56" s="734">
        <f t="shared" si="7"/>
        <v>0</v>
      </c>
      <c r="R56" s="735">
        <f ca="1">SUM(R54:R55)</f>
        <v>27975.609031584616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55890.71375740799</v>
      </c>
      <c r="D61" s="741">
        <f t="shared" ref="D61:Q61" ca="1" si="8">D46+D52+D56</f>
        <v>18063.892436974791</v>
      </c>
      <c r="E61" s="741">
        <f t="shared" ca="1" si="8"/>
        <v>57957.483593551777</v>
      </c>
      <c r="F61" s="741">
        <f t="shared" si="8"/>
        <v>2410.2347894528816</v>
      </c>
      <c r="G61" s="741">
        <f t="shared" ca="1" si="8"/>
        <v>17729.176615261073</v>
      </c>
      <c r="H61" s="741">
        <f t="shared" si="8"/>
        <v>145799.54329383891</v>
      </c>
      <c r="I61" s="741">
        <f t="shared" si="8"/>
        <v>16759.732451500993</v>
      </c>
      <c r="J61" s="741">
        <f t="shared" si="8"/>
        <v>0</v>
      </c>
      <c r="K61" s="741">
        <f t="shared" si="8"/>
        <v>2957.1300914259191</v>
      </c>
      <c r="L61" s="741">
        <f t="shared" si="8"/>
        <v>0</v>
      </c>
      <c r="M61" s="741">
        <f t="shared" ca="1" si="8"/>
        <v>0</v>
      </c>
      <c r="N61" s="741">
        <f t="shared" si="8"/>
        <v>0</v>
      </c>
      <c r="O61" s="741">
        <f t="shared" ca="1" si="8"/>
        <v>0</v>
      </c>
      <c r="P61" s="741">
        <f t="shared" si="8"/>
        <v>0</v>
      </c>
      <c r="Q61" s="741">
        <f t="shared" si="8"/>
        <v>0</v>
      </c>
      <c r="R61" s="741">
        <f ca="1">R46+R52+R56</f>
        <v>317567.90702941437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0.16030012126913007</v>
      </c>
      <c r="D63" s="782">
        <f t="shared" ca="1" si="9"/>
        <v>0.1549467594760045</v>
      </c>
      <c r="E63" s="1036">
        <f t="shared" ca="1" si="9"/>
        <v>0.20200000000000004</v>
      </c>
      <c r="F63" s="782">
        <f t="shared" si="9"/>
        <v>0.22700000000000001</v>
      </c>
      <c r="G63" s="782">
        <f t="shared" ca="1" si="9"/>
        <v>0.26699999999999996</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25841.124262531808</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45531.7210423371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28398.900000000005</v>
      </c>
      <c r="C76" s="751">
        <f>'lokale energieproductie'!B8*IFERROR(SUM(D76:H76)/SUM(D76:O76),0)</f>
        <v>53208</v>
      </c>
      <c r="D76" s="1046">
        <f>'lokale energieproductie'!C8</f>
        <v>62597.647058823532</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33410.470588235301</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12644.724705882354</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99771.74530486892</v>
      </c>
      <c r="C78" s="756">
        <f>SUM(C72:C77)</f>
        <v>53208</v>
      </c>
      <c r="D78" s="757">
        <f t="shared" ref="D78:H78" si="10">SUM(D76:D77)</f>
        <v>62597.647058823532</v>
      </c>
      <c r="E78" s="757">
        <f t="shared" si="10"/>
        <v>0</v>
      </c>
      <c r="F78" s="757">
        <f t="shared" si="10"/>
        <v>0</v>
      </c>
      <c r="G78" s="757">
        <f t="shared" si="10"/>
        <v>0</v>
      </c>
      <c r="H78" s="757">
        <f t="shared" si="10"/>
        <v>0</v>
      </c>
      <c r="I78" s="757">
        <f>SUM(I76:I77)</f>
        <v>0</v>
      </c>
      <c r="J78" s="757">
        <f>SUM(J76:J77)</f>
        <v>33410.470588235301</v>
      </c>
      <c r="K78" s="757">
        <f t="shared" ref="K78:L78" si="11">SUM(K76:K77)</f>
        <v>0</v>
      </c>
      <c r="L78" s="757">
        <f t="shared" si="11"/>
        <v>0</v>
      </c>
      <c r="M78" s="757">
        <f>SUM(M76:M77)</f>
        <v>0</v>
      </c>
      <c r="N78" s="757">
        <f>SUM(N76:N77)</f>
        <v>0</v>
      </c>
      <c r="O78" s="861">
        <f>SUM(O76:O77)</f>
        <v>0</v>
      </c>
      <c r="P78" s="758">
        <v>0</v>
      </c>
      <c r="Q78" s="758">
        <f>SUM(Q76:Q77)</f>
        <v>12644.724705882354</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40569.857142857152</v>
      </c>
      <c r="C87" s="767">
        <f>'lokale energieproductie'!B17*IFERROR(SUM(D87:H87)/SUM(D87:O87),0)</f>
        <v>76011.428571428565</v>
      </c>
      <c r="D87" s="778">
        <f>'lokale energieproductie'!C17</f>
        <v>89425.210084033621</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47729.243697479003</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18063.892436974791</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40569.857142857152</v>
      </c>
      <c r="C90" s="756">
        <f>SUM(C87:C89)</f>
        <v>76011.428571428565</v>
      </c>
      <c r="D90" s="756">
        <f t="shared" ref="D90:H90" si="12">SUM(D87:D89)</f>
        <v>89425.210084033621</v>
      </c>
      <c r="E90" s="756">
        <f t="shared" si="12"/>
        <v>0</v>
      </c>
      <c r="F90" s="756">
        <f t="shared" si="12"/>
        <v>0</v>
      </c>
      <c r="G90" s="756">
        <f t="shared" si="12"/>
        <v>0</v>
      </c>
      <c r="H90" s="756">
        <f t="shared" si="12"/>
        <v>0</v>
      </c>
      <c r="I90" s="756">
        <f>SUM(I87:I89)</f>
        <v>0</v>
      </c>
      <c r="J90" s="756">
        <f>SUM(J87:J89)</f>
        <v>47729.243697479003</v>
      </c>
      <c r="K90" s="756">
        <f t="shared" ref="K90:L90" si="13">SUM(K87:K89)</f>
        <v>0</v>
      </c>
      <c r="L90" s="756">
        <f t="shared" si="13"/>
        <v>0</v>
      </c>
      <c r="M90" s="756">
        <f>SUM(M87:M89)</f>
        <v>0</v>
      </c>
      <c r="N90" s="756">
        <f>SUM(N87:N89)</f>
        <v>0</v>
      </c>
      <c r="O90" s="756">
        <f>SUM(O87:O89)</f>
        <v>0</v>
      </c>
      <c r="P90" s="756">
        <v>0</v>
      </c>
      <c r="Q90" s="756">
        <f>SUM(Q87:Q89)</f>
        <v>18063.892436974791</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25841.124262531808</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45531.7210423371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81606.899999999994</v>
      </c>
      <c r="C8" s="571">
        <f>B101</f>
        <v>62597.647058823532</v>
      </c>
      <c r="D8" s="1056"/>
      <c r="E8" s="1056">
        <f>E101</f>
        <v>0</v>
      </c>
      <c r="F8" s="1057"/>
      <c r="G8" s="572"/>
      <c r="H8" s="1056">
        <f>I101</f>
        <v>0</v>
      </c>
      <c r="I8" s="1056">
        <f>G101+F101</f>
        <v>0</v>
      </c>
      <c r="J8" s="1056">
        <f>H101+D101+C101</f>
        <v>33410.470588235301</v>
      </c>
      <c r="K8" s="1056"/>
      <c r="L8" s="1056"/>
      <c r="M8" s="1056"/>
      <c r="N8" s="573"/>
      <c r="O8" s="574">
        <f>C8*$C$12+D8*$D$12+E8*$E$12+F8*$F$12+G8*$G$12+H8*$H$12+I8*$I$12+J8*$J$12</f>
        <v>12644.724705882354</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152979.74530486891</v>
      </c>
      <c r="C10" s="584">
        <f t="shared" ref="C10:L10" si="0">SUM(C8:C9)</f>
        <v>62597.647058823532</v>
      </c>
      <c r="D10" s="584">
        <f t="shared" si="0"/>
        <v>0</v>
      </c>
      <c r="E10" s="584">
        <f t="shared" si="0"/>
        <v>0</v>
      </c>
      <c r="F10" s="584">
        <f t="shared" si="0"/>
        <v>0</v>
      </c>
      <c r="G10" s="584">
        <f t="shared" si="0"/>
        <v>0</v>
      </c>
      <c r="H10" s="584">
        <f t="shared" si="0"/>
        <v>0</v>
      </c>
      <c r="I10" s="584">
        <f t="shared" si="0"/>
        <v>0</v>
      </c>
      <c r="J10" s="584">
        <f t="shared" si="0"/>
        <v>33410.470588235301</v>
      </c>
      <c r="K10" s="584">
        <f t="shared" si="0"/>
        <v>0</v>
      </c>
      <c r="L10" s="584">
        <f t="shared" si="0"/>
        <v>0</v>
      </c>
      <c r="M10" s="1059"/>
      <c r="N10" s="1059"/>
      <c r="O10" s="585">
        <f>SUM(O4:O9)</f>
        <v>12644.724705882354</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116581.28571428571</v>
      </c>
      <c r="C17" s="596">
        <f>B102</f>
        <v>89425.210084033621</v>
      </c>
      <c r="D17" s="597"/>
      <c r="E17" s="597">
        <f>E102</f>
        <v>0</v>
      </c>
      <c r="F17" s="1062"/>
      <c r="G17" s="598"/>
      <c r="H17" s="596">
        <f>I102</f>
        <v>0</v>
      </c>
      <c r="I17" s="597">
        <f>G102+F102</f>
        <v>0</v>
      </c>
      <c r="J17" s="597">
        <f>H102+D102+C102</f>
        <v>47729.243697479003</v>
      </c>
      <c r="K17" s="597"/>
      <c r="L17" s="597"/>
      <c r="M17" s="597"/>
      <c r="N17" s="1063"/>
      <c r="O17" s="599">
        <f>C17*$C$22+E17*$E$22+H17*$H$22+I17*$I$22+J17*$J$22+D17*$D$22+F17*$F$22+G17*$G$22+K17*$K$22+L17*$L$22</f>
        <v>18063.892436974791</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116581.28571428571</v>
      </c>
      <c r="C20" s="583">
        <f>SUM(C17:C19)</f>
        <v>89425.210084033621</v>
      </c>
      <c r="D20" s="583">
        <f t="shared" ref="D20:L20" si="1">SUM(D17:D19)</f>
        <v>0</v>
      </c>
      <c r="E20" s="583">
        <f t="shared" si="1"/>
        <v>0</v>
      </c>
      <c r="F20" s="583">
        <f t="shared" si="1"/>
        <v>0</v>
      </c>
      <c r="G20" s="583">
        <f t="shared" si="1"/>
        <v>0</v>
      </c>
      <c r="H20" s="583">
        <f t="shared" si="1"/>
        <v>0</v>
      </c>
      <c r="I20" s="583">
        <f t="shared" si="1"/>
        <v>0</v>
      </c>
      <c r="J20" s="583">
        <f t="shared" si="1"/>
        <v>47729.243697479003</v>
      </c>
      <c r="K20" s="583">
        <f t="shared" si="1"/>
        <v>0</v>
      </c>
      <c r="L20" s="583">
        <f t="shared" si="1"/>
        <v>0</v>
      </c>
      <c r="M20" s="583"/>
      <c r="N20" s="583"/>
      <c r="O20" s="602">
        <f>SUM(O17:O19)</f>
        <v>18063.892436974791</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46003</v>
      </c>
      <c r="C28" s="797">
        <v>9120</v>
      </c>
      <c r="D28" s="654" t="s">
        <v>907</v>
      </c>
      <c r="E28" s="653" t="s">
        <v>908</v>
      </c>
      <c r="F28" s="653" t="s">
        <v>909</v>
      </c>
      <c r="G28" s="653" t="s">
        <v>910</v>
      </c>
      <c r="H28" s="653" t="s">
        <v>911</v>
      </c>
      <c r="I28" s="653" t="s">
        <v>908</v>
      </c>
      <c r="J28" s="796">
        <v>39377</v>
      </c>
      <c r="K28" s="796">
        <v>39380</v>
      </c>
      <c r="L28" s="653" t="s">
        <v>912</v>
      </c>
      <c r="M28" s="653">
        <v>1372</v>
      </c>
      <c r="N28" s="653">
        <v>6174.0000000000009</v>
      </c>
      <c r="O28" s="653">
        <v>8820.0000000000018</v>
      </c>
      <c r="P28" s="653">
        <v>17640.000000000004</v>
      </c>
      <c r="Q28" s="653">
        <v>0</v>
      </c>
      <c r="R28" s="653">
        <v>0</v>
      </c>
      <c r="S28" s="653">
        <v>0</v>
      </c>
      <c r="T28" s="653">
        <v>0</v>
      </c>
      <c r="U28" s="653">
        <v>0</v>
      </c>
      <c r="V28" s="653">
        <v>0</v>
      </c>
      <c r="W28" s="653">
        <v>0</v>
      </c>
      <c r="X28" s="653">
        <v>10</v>
      </c>
      <c r="Y28" s="653" t="s">
        <v>112</v>
      </c>
      <c r="Z28" s="655" t="s">
        <v>112</v>
      </c>
    </row>
    <row r="29" spans="1:26" s="607" customFormat="1" ht="25.5">
      <c r="A29" s="606"/>
      <c r="B29" s="797">
        <v>46003</v>
      </c>
      <c r="C29" s="797">
        <v>9120</v>
      </c>
      <c r="D29" s="654" t="s">
        <v>913</v>
      </c>
      <c r="E29" s="653" t="s">
        <v>914</v>
      </c>
      <c r="F29" s="653" t="s">
        <v>915</v>
      </c>
      <c r="G29" s="653" t="s">
        <v>910</v>
      </c>
      <c r="H29" s="653" t="s">
        <v>911</v>
      </c>
      <c r="I29" s="653" t="s">
        <v>914</v>
      </c>
      <c r="J29" s="796">
        <v>39568</v>
      </c>
      <c r="K29" s="796">
        <v>39568</v>
      </c>
      <c r="L29" s="653" t="s">
        <v>912</v>
      </c>
      <c r="M29" s="653">
        <v>2731</v>
      </c>
      <c r="N29" s="653">
        <v>12289.5</v>
      </c>
      <c r="O29" s="653">
        <v>17556.428571428572</v>
      </c>
      <c r="P29" s="653">
        <v>35112.857142857145</v>
      </c>
      <c r="Q29" s="653">
        <v>0</v>
      </c>
      <c r="R29" s="653">
        <v>0</v>
      </c>
      <c r="S29" s="653">
        <v>0</v>
      </c>
      <c r="T29" s="653">
        <v>0</v>
      </c>
      <c r="U29" s="653">
        <v>0</v>
      </c>
      <c r="V29" s="653">
        <v>0</v>
      </c>
      <c r="W29" s="653">
        <v>0</v>
      </c>
      <c r="X29" s="653">
        <v>10</v>
      </c>
      <c r="Y29" s="653" t="s">
        <v>112</v>
      </c>
      <c r="Z29" s="655" t="s">
        <v>112</v>
      </c>
    </row>
    <row r="30" spans="1:26" s="607" customFormat="1" ht="25.5">
      <c r="A30" s="606"/>
      <c r="B30" s="797">
        <v>46003</v>
      </c>
      <c r="C30" s="797">
        <v>9120</v>
      </c>
      <c r="D30" s="654" t="s">
        <v>916</v>
      </c>
      <c r="E30" s="653" t="s">
        <v>917</v>
      </c>
      <c r="F30" s="653" t="s">
        <v>918</v>
      </c>
      <c r="G30" s="653" t="s">
        <v>910</v>
      </c>
      <c r="H30" s="653" t="s">
        <v>911</v>
      </c>
      <c r="I30" s="653" t="s">
        <v>917</v>
      </c>
      <c r="J30" s="796">
        <v>39737</v>
      </c>
      <c r="K30" s="796">
        <v>39737</v>
      </c>
      <c r="L30" s="653" t="s">
        <v>912</v>
      </c>
      <c r="M30" s="653">
        <v>1562</v>
      </c>
      <c r="N30" s="653">
        <v>7029</v>
      </c>
      <c r="O30" s="653">
        <v>10041.428571428572</v>
      </c>
      <c r="P30" s="653">
        <v>20082.857142857145</v>
      </c>
      <c r="Q30" s="653">
        <v>0</v>
      </c>
      <c r="R30" s="653">
        <v>0</v>
      </c>
      <c r="S30" s="653">
        <v>0</v>
      </c>
      <c r="T30" s="653">
        <v>0</v>
      </c>
      <c r="U30" s="653">
        <v>0</v>
      </c>
      <c r="V30" s="653">
        <v>0</v>
      </c>
      <c r="W30" s="653">
        <v>0</v>
      </c>
      <c r="X30" s="653">
        <v>10</v>
      </c>
      <c r="Y30" s="653" t="s">
        <v>112</v>
      </c>
      <c r="Z30" s="655" t="s">
        <v>112</v>
      </c>
    </row>
    <row r="31" spans="1:26" s="607" customFormat="1" ht="25.5">
      <c r="A31" s="606"/>
      <c r="B31" s="797">
        <v>46003</v>
      </c>
      <c r="C31" s="797">
        <v>9120</v>
      </c>
      <c r="D31" s="654" t="s">
        <v>919</v>
      </c>
      <c r="E31" s="653" t="s">
        <v>920</v>
      </c>
      <c r="F31" s="653" t="s">
        <v>921</v>
      </c>
      <c r="G31" s="653" t="s">
        <v>910</v>
      </c>
      <c r="H31" s="653" t="s">
        <v>911</v>
      </c>
      <c r="I31" s="653" t="s">
        <v>920</v>
      </c>
      <c r="J31" s="796">
        <v>40927</v>
      </c>
      <c r="K31" s="796">
        <v>39841</v>
      </c>
      <c r="L31" s="653" t="s">
        <v>912</v>
      </c>
      <c r="M31" s="653">
        <v>2233</v>
      </c>
      <c r="N31" s="653">
        <v>10048.5</v>
      </c>
      <c r="O31" s="653">
        <v>14355</v>
      </c>
      <c r="P31" s="653">
        <v>0</v>
      </c>
      <c r="Q31" s="653">
        <v>28710.000000000004</v>
      </c>
      <c r="R31" s="653">
        <v>0</v>
      </c>
      <c r="S31" s="653">
        <v>0</v>
      </c>
      <c r="T31" s="653">
        <v>0</v>
      </c>
      <c r="U31" s="653">
        <v>0</v>
      </c>
      <c r="V31" s="653">
        <v>0</v>
      </c>
      <c r="W31" s="653">
        <v>0</v>
      </c>
      <c r="X31" s="653">
        <v>10</v>
      </c>
      <c r="Y31" s="653" t="s">
        <v>112</v>
      </c>
      <c r="Z31" s="655" t="s">
        <v>112</v>
      </c>
    </row>
    <row r="32" spans="1:26" s="607" customFormat="1" ht="25.5">
      <c r="A32" s="606"/>
      <c r="B32" s="797">
        <v>46003</v>
      </c>
      <c r="C32" s="797">
        <v>9120</v>
      </c>
      <c r="D32" s="654" t="s">
        <v>922</v>
      </c>
      <c r="E32" s="653" t="s">
        <v>923</v>
      </c>
      <c r="F32" s="653" t="s">
        <v>924</v>
      </c>
      <c r="G32" s="653" t="s">
        <v>910</v>
      </c>
      <c r="H32" s="653" t="s">
        <v>911</v>
      </c>
      <c r="I32" s="653" t="s">
        <v>923</v>
      </c>
      <c r="J32" s="796">
        <v>40954</v>
      </c>
      <c r="K32" s="796">
        <v>39990</v>
      </c>
      <c r="L32" s="653" t="s">
        <v>912</v>
      </c>
      <c r="M32" s="653">
        <v>3898</v>
      </c>
      <c r="N32" s="653">
        <v>17541</v>
      </c>
      <c r="O32" s="653">
        <v>25058.571428571428</v>
      </c>
      <c r="P32" s="653">
        <v>50117.142857142862</v>
      </c>
      <c r="Q32" s="653">
        <v>0</v>
      </c>
      <c r="R32" s="653">
        <v>0</v>
      </c>
      <c r="S32" s="653">
        <v>0</v>
      </c>
      <c r="T32" s="653">
        <v>0</v>
      </c>
      <c r="U32" s="653">
        <v>0</v>
      </c>
      <c r="V32" s="653">
        <v>0</v>
      </c>
      <c r="W32" s="653">
        <v>0</v>
      </c>
      <c r="X32" s="653">
        <v>10</v>
      </c>
      <c r="Y32" s="653" t="s">
        <v>112</v>
      </c>
      <c r="Z32" s="655" t="s">
        <v>112</v>
      </c>
    </row>
    <row r="33" spans="1:26" s="607" customFormat="1" ht="25.5">
      <c r="A33" s="606"/>
      <c r="B33" s="797">
        <v>46003</v>
      </c>
      <c r="C33" s="797">
        <v>9120</v>
      </c>
      <c r="D33" s="654" t="s">
        <v>925</v>
      </c>
      <c r="E33" s="653" t="s">
        <v>926</v>
      </c>
      <c r="F33" s="653" t="s">
        <v>927</v>
      </c>
      <c r="G33" s="653" t="s">
        <v>910</v>
      </c>
      <c r="H33" s="653" t="s">
        <v>911</v>
      </c>
      <c r="I33" s="653" t="s">
        <v>928</v>
      </c>
      <c r="J33" s="796">
        <v>40333</v>
      </c>
      <c r="K33" s="796">
        <v>40345</v>
      </c>
      <c r="L33" s="653" t="s">
        <v>912</v>
      </c>
      <c r="M33" s="653">
        <v>1994</v>
      </c>
      <c r="N33" s="653">
        <v>8973</v>
      </c>
      <c r="O33" s="653">
        <v>12818.571428571429</v>
      </c>
      <c r="P33" s="653">
        <v>25637.142857142859</v>
      </c>
      <c r="Q33" s="653">
        <v>0</v>
      </c>
      <c r="R33" s="653">
        <v>0</v>
      </c>
      <c r="S33" s="653">
        <v>0</v>
      </c>
      <c r="T33" s="653">
        <v>0</v>
      </c>
      <c r="U33" s="653">
        <v>0</v>
      </c>
      <c r="V33" s="653">
        <v>0</v>
      </c>
      <c r="W33" s="653">
        <v>0</v>
      </c>
      <c r="X33" s="653">
        <v>10</v>
      </c>
      <c r="Y33" s="653" t="s">
        <v>112</v>
      </c>
      <c r="Z33" s="655" t="s">
        <v>112</v>
      </c>
    </row>
    <row r="34" spans="1:26" s="607" customFormat="1" ht="25.5">
      <c r="A34" s="606"/>
      <c r="B34" s="797">
        <v>46003</v>
      </c>
      <c r="C34" s="797">
        <v>9120</v>
      </c>
      <c r="D34" s="654" t="s">
        <v>929</v>
      </c>
      <c r="E34" s="653" t="s">
        <v>930</v>
      </c>
      <c r="F34" s="653" t="s">
        <v>931</v>
      </c>
      <c r="G34" s="653" t="s">
        <v>910</v>
      </c>
      <c r="H34" s="653" t="s">
        <v>911</v>
      </c>
      <c r="I34" s="653" t="s">
        <v>930</v>
      </c>
      <c r="J34" s="796">
        <v>40819</v>
      </c>
      <c r="K34" s="796">
        <v>40834</v>
      </c>
      <c r="L34" s="653" t="s">
        <v>912</v>
      </c>
      <c r="M34" s="653">
        <v>197</v>
      </c>
      <c r="N34" s="653">
        <v>886.5</v>
      </c>
      <c r="O34" s="653">
        <v>1266.4285714285716</v>
      </c>
      <c r="P34" s="653">
        <v>2532.8571428571431</v>
      </c>
      <c r="Q34" s="653">
        <v>0</v>
      </c>
      <c r="R34" s="653">
        <v>0</v>
      </c>
      <c r="S34" s="653">
        <v>0</v>
      </c>
      <c r="T34" s="653">
        <v>0</v>
      </c>
      <c r="U34" s="653">
        <v>0</v>
      </c>
      <c r="V34" s="653">
        <v>0</v>
      </c>
      <c r="W34" s="653">
        <v>0</v>
      </c>
      <c r="X34" s="653">
        <v>1200</v>
      </c>
      <c r="Y34" s="653" t="s">
        <v>53</v>
      </c>
      <c r="Z34" s="655" t="s">
        <v>156</v>
      </c>
    </row>
    <row r="35" spans="1:26" s="607" customFormat="1" ht="25.5">
      <c r="A35" s="606"/>
      <c r="B35" s="797">
        <v>46003</v>
      </c>
      <c r="C35" s="797">
        <v>9120</v>
      </c>
      <c r="D35" s="654" t="s">
        <v>932</v>
      </c>
      <c r="E35" s="653" t="s">
        <v>933</v>
      </c>
      <c r="F35" s="653" t="s">
        <v>934</v>
      </c>
      <c r="G35" s="653" t="s">
        <v>910</v>
      </c>
      <c r="H35" s="653" t="s">
        <v>911</v>
      </c>
      <c r="I35" s="653" t="s">
        <v>933</v>
      </c>
      <c r="J35" s="796">
        <v>41184</v>
      </c>
      <c r="K35" s="796">
        <v>41184</v>
      </c>
      <c r="L35" s="653" t="s">
        <v>912</v>
      </c>
      <c r="M35" s="653">
        <v>2978</v>
      </c>
      <c r="N35" s="653">
        <v>13401.000000000002</v>
      </c>
      <c r="O35" s="653">
        <v>19144.285714285717</v>
      </c>
      <c r="P35" s="653">
        <v>0</v>
      </c>
      <c r="Q35" s="653">
        <v>38288.571428571435</v>
      </c>
      <c r="R35" s="653">
        <v>0</v>
      </c>
      <c r="S35" s="653">
        <v>0</v>
      </c>
      <c r="T35" s="653">
        <v>0</v>
      </c>
      <c r="U35" s="653">
        <v>0</v>
      </c>
      <c r="V35" s="653">
        <v>0</v>
      </c>
      <c r="W35" s="653">
        <v>0</v>
      </c>
      <c r="X35" s="653">
        <v>10</v>
      </c>
      <c r="Y35" s="653" t="s">
        <v>112</v>
      </c>
      <c r="Z35" s="655" t="s">
        <v>112</v>
      </c>
    </row>
    <row r="36" spans="1:26" s="607" customFormat="1" ht="63.75">
      <c r="A36" s="606"/>
      <c r="B36" s="797">
        <v>46003</v>
      </c>
      <c r="C36" s="797">
        <v>9120</v>
      </c>
      <c r="D36" s="654" t="s">
        <v>935</v>
      </c>
      <c r="E36" s="653" t="s">
        <v>936</v>
      </c>
      <c r="F36" s="653" t="s">
        <v>937</v>
      </c>
      <c r="G36" s="653" t="s">
        <v>910</v>
      </c>
      <c r="H36" s="653" t="s">
        <v>911</v>
      </c>
      <c r="I36" s="653" t="s">
        <v>938</v>
      </c>
      <c r="J36" s="796">
        <v>41450</v>
      </c>
      <c r="K36" s="796">
        <v>41361</v>
      </c>
      <c r="L36" s="653" t="s">
        <v>912</v>
      </c>
      <c r="M36" s="653">
        <v>70</v>
      </c>
      <c r="N36" s="653">
        <v>315.00000000000006</v>
      </c>
      <c r="O36" s="653">
        <v>450.00000000000011</v>
      </c>
      <c r="P36" s="653">
        <v>900.00000000000023</v>
      </c>
      <c r="Q36" s="653">
        <v>0</v>
      </c>
      <c r="R36" s="653">
        <v>0</v>
      </c>
      <c r="S36" s="653">
        <v>0</v>
      </c>
      <c r="T36" s="653">
        <v>0</v>
      </c>
      <c r="U36" s="653">
        <v>0</v>
      </c>
      <c r="V36" s="653">
        <v>0</v>
      </c>
      <c r="W36" s="653">
        <v>0</v>
      </c>
      <c r="X36" s="653">
        <v>1600</v>
      </c>
      <c r="Y36" s="653" t="s">
        <v>50</v>
      </c>
      <c r="Z36" s="655" t="s">
        <v>156</v>
      </c>
    </row>
    <row r="37" spans="1:26" s="607" customFormat="1" ht="25.5">
      <c r="A37" s="606"/>
      <c r="B37" s="797">
        <v>46003</v>
      </c>
      <c r="C37" s="797">
        <v>9120</v>
      </c>
      <c r="D37" s="654" t="s">
        <v>939</v>
      </c>
      <c r="E37" s="653" t="s">
        <v>940</v>
      </c>
      <c r="F37" s="653" t="s">
        <v>941</v>
      </c>
      <c r="G37" s="653" t="s">
        <v>910</v>
      </c>
      <c r="H37" s="653" t="s">
        <v>911</v>
      </c>
      <c r="I37" s="653" t="s">
        <v>940</v>
      </c>
      <c r="J37" s="796">
        <v>41373</v>
      </c>
      <c r="K37" s="796">
        <v>41373</v>
      </c>
      <c r="L37" s="653" t="s">
        <v>912</v>
      </c>
      <c r="M37" s="653">
        <v>9.6999999999999993</v>
      </c>
      <c r="N37" s="653">
        <v>43.649999999999991</v>
      </c>
      <c r="O37" s="653">
        <v>62.357142857142847</v>
      </c>
      <c r="P37" s="653">
        <v>0</v>
      </c>
      <c r="Q37" s="653">
        <v>124.71428571428569</v>
      </c>
      <c r="R37" s="653">
        <v>0</v>
      </c>
      <c r="S37" s="653">
        <v>0</v>
      </c>
      <c r="T37" s="653">
        <v>0</v>
      </c>
      <c r="U37" s="653">
        <v>0</v>
      </c>
      <c r="V37" s="653">
        <v>0</v>
      </c>
      <c r="W37" s="653">
        <v>0</v>
      </c>
      <c r="X37" s="653">
        <v>10</v>
      </c>
      <c r="Y37" s="653" t="s">
        <v>112</v>
      </c>
      <c r="Z37" s="655" t="s">
        <v>112</v>
      </c>
    </row>
    <row r="38" spans="1:26" s="607" customFormat="1" ht="25.5">
      <c r="A38" s="606"/>
      <c r="B38" s="797">
        <v>46003</v>
      </c>
      <c r="C38" s="797">
        <v>9130</v>
      </c>
      <c r="D38" s="654" t="s">
        <v>942</v>
      </c>
      <c r="E38" s="653" t="s">
        <v>943</v>
      </c>
      <c r="F38" s="653" t="s">
        <v>944</v>
      </c>
      <c r="G38" s="653" t="s">
        <v>910</v>
      </c>
      <c r="H38" s="653" t="s">
        <v>911</v>
      </c>
      <c r="I38" s="653" t="s">
        <v>943</v>
      </c>
      <c r="J38" s="796">
        <v>41814</v>
      </c>
      <c r="K38" s="796">
        <v>41814</v>
      </c>
      <c r="L38" s="653" t="s">
        <v>912</v>
      </c>
      <c r="M38" s="653">
        <v>1189</v>
      </c>
      <c r="N38" s="653">
        <v>2675.25</v>
      </c>
      <c r="O38" s="653">
        <v>3821.7857142857142</v>
      </c>
      <c r="P38" s="653">
        <v>0</v>
      </c>
      <c r="Q38" s="653">
        <v>7643.5714285714294</v>
      </c>
      <c r="R38" s="653">
        <v>0</v>
      </c>
      <c r="S38" s="653">
        <v>0</v>
      </c>
      <c r="T38" s="653">
        <v>0</v>
      </c>
      <c r="U38" s="653">
        <v>0</v>
      </c>
      <c r="V38" s="653">
        <v>0</v>
      </c>
      <c r="W38" s="653">
        <v>0</v>
      </c>
      <c r="X38" s="653">
        <v>500</v>
      </c>
      <c r="Y38" s="653" t="s">
        <v>41</v>
      </c>
      <c r="Z38" s="655" t="s">
        <v>389</v>
      </c>
    </row>
    <row r="39" spans="1:26" s="607" customFormat="1" ht="63.75">
      <c r="A39" s="606"/>
      <c r="B39" s="797">
        <v>46003</v>
      </c>
      <c r="C39" s="797">
        <v>9120</v>
      </c>
      <c r="D39" s="654" t="s">
        <v>945</v>
      </c>
      <c r="E39" s="653" t="s">
        <v>946</v>
      </c>
      <c r="F39" s="653" t="s">
        <v>947</v>
      </c>
      <c r="G39" s="653" t="s">
        <v>910</v>
      </c>
      <c r="H39" s="653" t="s">
        <v>911</v>
      </c>
      <c r="I39" s="653" t="s">
        <v>948</v>
      </c>
      <c r="J39" s="796">
        <v>41936</v>
      </c>
      <c r="K39" s="796">
        <v>41936</v>
      </c>
      <c r="L39" s="653" t="s">
        <v>949</v>
      </c>
      <c r="M39" s="653">
        <v>2974</v>
      </c>
      <c r="N39" s="653">
        <v>2230.5</v>
      </c>
      <c r="O39" s="653">
        <v>3186.4285714285716</v>
      </c>
      <c r="P39" s="653">
        <v>0</v>
      </c>
      <c r="Q39" s="653">
        <v>6372.8571428571431</v>
      </c>
      <c r="R39" s="653">
        <v>0</v>
      </c>
      <c r="S39" s="653">
        <v>0</v>
      </c>
      <c r="T39" s="653">
        <v>0</v>
      </c>
      <c r="U39" s="653">
        <v>0</v>
      </c>
      <c r="V39" s="653">
        <v>0</v>
      </c>
      <c r="W39" s="653">
        <v>0</v>
      </c>
      <c r="X39" s="653">
        <v>1600</v>
      </c>
      <c r="Y39" s="653" t="s">
        <v>50</v>
      </c>
      <c r="Z39" s="655" t="s">
        <v>156</v>
      </c>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21207.7</v>
      </c>
      <c r="N58" s="611">
        <f>SUM(N28:N57)</f>
        <v>81606.899999999994</v>
      </c>
      <c r="O58" s="611">
        <f t="shared" ref="O58:W58" si="2">SUM(O28:O57)</f>
        <v>116581.28571428571</v>
      </c>
      <c r="P58" s="611">
        <f t="shared" si="2"/>
        <v>152022.85714285716</v>
      </c>
      <c r="Q58" s="611">
        <f t="shared" si="2"/>
        <v>81139.714285714304</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1189</v>
      </c>
      <c r="N59" s="611">
        <f t="shared" si="3"/>
        <v>2675.25</v>
      </c>
      <c r="O59" s="611">
        <f t="shared" si="3"/>
        <v>3821.7857142857142</v>
      </c>
      <c r="P59" s="611">
        <f t="shared" si="3"/>
        <v>0</v>
      </c>
      <c r="Q59" s="611">
        <f t="shared" si="3"/>
        <v>7643.5714285714294</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3241</v>
      </c>
      <c r="N60" s="611">
        <f ca="1">SUMIF($Z$28:AD57,"tertiair",N28:N57)</f>
        <v>3432</v>
      </c>
      <c r="O60" s="611">
        <f ca="1">SUMIF($Z$28:AE57,"tertiair",O28:O57)</f>
        <v>4902.8571428571431</v>
      </c>
      <c r="P60" s="611">
        <f ca="1">SUMIF($Z$28:AF57,"tertiair",P28:P57)</f>
        <v>3432.8571428571431</v>
      </c>
      <c r="Q60" s="611">
        <f ca="1">SUMIF($Z$28:AG57,"tertiair",Q28:Q57)</f>
        <v>6372.8571428571431</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16777.7</v>
      </c>
      <c r="N61" s="616">
        <f t="shared" si="4"/>
        <v>75499.649999999994</v>
      </c>
      <c r="O61" s="616">
        <f t="shared" si="4"/>
        <v>107856.64285714288</v>
      </c>
      <c r="P61" s="616">
        <f t="shared" si="4"/>
        <v>148590.00000000003</v>
      </c>
      <c r="Q61" s="616">
        <f t="shared" si="4"/>
        <v>67123.285714285725</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62597.647058823532</v>
      </c>
      <c r="C101" s="645">
        <f t="shared" si="9"/>
        <v>33410.470588235301</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89425.210084033621</v>
      </c>
      <c r="C102" s="648">
        <f t="shared" si="10"/>
        <v>47729.243697479003</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101091.0983146349</v>
      </c>
      <c r="C4" s="478">
        <f>huishoudens!C8</f>
        <v>0</v>
      </c>
      <c r="D4" s="478">
        <f>huishoudens!D8</f>
        <v>179461.91539075383</v>
      </c>
      <c r="E4" s="478">
        <f>huishoudens!E8</f>
        <v>3043.524764685541</v>
      </c>
      <c r="F4" s="478">
        <f>huishoudens!F8</f>
        <v>0</v>
      </c>
      <c r="G4" s="478">
        <f>huishoudens!G8</f>
        <v>0</v>
      </c>
      <c r="H4" s="478">
        <f>huishoudens!H8</f>
        <v>0</v>
      </c>
      <c r="I4" s="478">
        <f>huishoudens!I8</f>
        <v>0</v>
      </c>
      <c r="J4" s="478">
        <f>huishoudens!J8</f>
        <v>6570.5449969341153</v>
      </c>
      <c r="K4" s="478">
        <f>huishoudens!K8</f>
        <v>0</v>
      </c>
      <c r="L4" s="478">
        <f>huishoudens!L8</f>
        <v>0</v>
      </c>
      <c r="M4" s="478">
        <f>huishoudens!M8</f>
        <v>0</v>
      </c>
      <c r="N4" s="478">
        <f>huishoudens!N8</f>
        <v>27422.716135446386</v>
      </c>
      <c r="O4" s="478">
        <f>huishoudens!O8</f>
        <v>1005.2233333333334</v>
      </c>
      <c r="P4" s="479">
        <f>huishoudens!P8</f>
        <v>1182.1333333333332</v>
      </c>
      <c r="Q4" s="480">
        <f>SUM(B4:P4)</f>
        <v>319777.15626912151</v>
      </c>
    </row>
    <row r="5" spans="1:17">
      <c r="A5" s="477" t="s">
        <v>156</v>
      </c>
      <c r="B5" s="478">
        <f ca="1">tertiair!B16</f>
        <v>132939.94709999999</v>
      </c>
      <c r="C5" s="478">
        <f ca="1">tertiair!C16</f>
        <v>4902.8571428571431</v>
      </c>
      <c r="D5" s="478">
        <f ca="1">tertiair!D16</f>
        <v>62210.395418364205</v>
      </c>
      <c r="E5" s="478">
        <f>tertiair!E16</f>
        <v>790.03942203555653</v>
      </c>
      <c r="F5" s="478">
        <f ca="1">tertiair!F16</f>
        <v>16929.727185938442</v>
      </c>
      <c r="G5" s="478">
        <f>tertiair!G16</f>
        <v>0</v>
      </c>
      <c r="H5" s="478">
        <f>tertiair!H16</f>
        <v>0</v>
      </c>
      <c r="I5" s="478">
        <f>tertiair!I16</f>
        <v>0</v>
      </c>
      <c r="J5" s="478">
        <f>tertiair!J16</f>
        <v>0</v>
      </c>
      <c r="K5" s="478">
        <f>tertiair!K16</f>
        <v>0</v>
      </c>
      <c r="L5" s="478">
        <f ca="1">tertiair!L16</f>
        <v>0</v>
      </c>
      <c r="M5" s="478">
        <f>tertiair!M16</f>
        <v>0</v>
      </c>
      <c r="N5" s="478">
        <f ca="1">tertiair!N16</f>
        <v>1306.6893853674319</v>
      </c>
      <c r="O5" s="478">
        <f>tertiair!O16</f>
        <v>9.3800000000000008</v>
      </c>
      <c r="P5" s="479">
        <f>tertiair!P16</f>
        <v>38.133333333333333</v>
      </c>
      <c r="Q5" s="477">
        <f t="shared" ref="Q5:Q14" ca="1" si="0">SUM(B5:P5)</f>
        <v>219127.16898789612</v>
      </c>
    </row>
    <row r="6" spans="1:17">
      <c r="A6" s="477" t="s">
        <v>194</v>
      </c>
      <c r="B6" s="478">
        <f>'openbare verlichting'!B8</f>
        <v>3140.61</v>
      </c>
      <c r="C6" s="478"/>
      <c r="D6" s="478"/>
      <c r="E6" s="478"/>
      <c r="F6" s="478"/>
      <c r="G6" s="478"/>
      <c r="H6" s="478"/>
      <c r="I6" s="478"/>
      <c r="J6" s="478"/>
      <c r="K6" s="478"/>
      <c r="L6" s="478"/>
      <c r="M6" s="478"/>
      <c r="N6" s="478"/>
      <c r="O6" s="478"/>
      <c r="P6" s="479"/>
      <c r="Q6" s="477">
        <f t="shared" si="0"/>
        <v>3140.61</v>
      </c>
    </row>
    <row r="7" spans="1:17">
      <c r="A7" s="477" t="s">
        <v>112</v>
      </c>
      <c r="B7" s="478">
        <f>landbouw!B8</f>
        <v>9580.6016999999993</v>
      </c>
      <c r="C7" s="478">
        <f>landbouw!C8</f>
        <v>107856.64285714288</v>
      </c>
      <c r="D7" s="478">
        <f>landbouw!D8</f>
        <v>0</v>
      </c>
      <c r="E7" s="478">
        <f>landbouw!E8</f>
        <v>88.739545670249342</v>
      </c>
      <c r="F7" s="478">
        <f>landbouw!F8</f>
        <v>24307.811615650891</v>
      </c>
      <c r="G7" s="478">
        <f>landbouw!G8</f>
        <v>0</v>
      </c>
      <c r="H7" s="478">
        <f>landbouw!H8</f>
        <v>0</v>
      </c>
      <c r="I7" s="478">
        <f>landbouw!I8</f>
        <v>0</v>
      </c>
      <c r="J7" s="478">
        <f>landbouw!J8</f>
        <v>1468.8131604370276</v>
      </c>
      <c r="K7" s="478">
        <f>landbouw!K8</f>
        <v>0</v>
      </c>
      <c r="L7" s="478">
        <f>landbouw!L8</f>
        <v>0</v>
      </c>
      <c r="M7" s="478">
        <f>landbouw!M8</f>
        <v>0</v>
      </c>
      <c r="N7" s="478">
        <f>landbouw!N8</f>
        <v>0</v>
      </c>
      <c r="O7" s="478">
        <f>landbouw!O8</f>
        <v>0</v>
      </c>
      <c r="P7" s="479">
        <f>landbouw!P8</f>
        <v>0</v>
      </c>
      <c r="Q7" s="477">
        <f t="shared" si="0"/>
        <v>143302.60887890102</v>
      </c>
    </row>
    <row r="8" spans="1:17">
      <c r="A8" s="477" t="s">
        <v>650</v>
      </c>
      <c r="B8" s="478">
        <f>industrie!B18</f>
        <v>93292.397629999992</v>
      </c>
      <c r="C8" s="478">
        <f>industrie!C18</f>
        <v>3821.7857142857142</v>
      </c>
      <c r="D8" s="478">
        <f>industrie!D18</f>
        <v>38505.736628041086</v>
      </c>
      <c r="E8" s="478">
        <f>industrie!E18</f>
        <v>5426.9648125347458</v>
      </c>
      <c r="F8" s="478">
        <f>industrie!F18</f>
        <v>25163.871742459633</v>
      </c>
      <c r="G8" s="478">
        <f>industrie!G18</f>
        <v>0</v>
      </c>
      <c r="H8" s="478">
        <f>industrie!H18</f>
        <v>0</v>
      </c>
      <c r="I8" s="478">
        <f>industrie!I18</f>
        <v>0</v>
      </c>
      <c r="J8" s="478">
        <f>industrie!J18</f>
        <v>314.11667716535123</v>
      </c>
      <c r="K8" s="478">
        <f>industrie!K18</f>
        <v>0</v>
      </c>
      <c r="L8" s="478">
        <f>industrie!L18</f>
        <v>0</v>
      </c>
      <c r="M8" s="478">
        <f>industrie!M18</f>
        <v>0</v>
      </c>
      <c r="N8" s="478">
        <f>industrie!N18</f>
        <v>8152.6862719050059</v>
      </c>
      <c r="O8" s="478">
        <f>industrie!O18</f>
        <v>0</v>
      </c>
      <c r="P8" s="479">
        <f>industrie!P18</f>
        <v>0</v>
      </c>
      <c r="Q8" s="477">
        <f t="shared" si="0"/>
        <v>174677.5594763915</v>
      </c>
    </row>
    <row r="9" spans="1:17" s="483" customFormat="1">
      <c r="A9" s="481" t="s">
        <v>571</v>
      </c>
      <c r="B9" s="482">
        <f>transport!B14</f>
        <v>65.454938178063799</v>
      </c>
      <c r="C9" s="482">
        <f>transport!C14</f>
        <v>0</v>
      </c>
      <c r="D9" s="482">
        <f>transport!D14</f>
        <v>173.41217878159583</v>
      </c>
      <c r="E9" s="482">
        <f>transport!E14</f>
        <v>1268.5058579500387</v>
      </c>
      <c r="F9" s="482">
        <f>transport!F14</f>
        <v>0</v>
      </c>
      <c r="G9" s="482">
        <f>transport!G14</f>
        <v>542346.0964587644</v>
      </c>
      <c r="H9" s="482">
        <f>transport!H14</f>
        <v>67308.162455827289</v>
      </c>
      <c r="I9" s="482">
        <f>transport!I14</f>
        <v>0</v>
      </c>
      <c r="J9" s="482">
        <f>transport!J14</f>
        <v>0</v>
      </c>
      <c r="K9" s="482">
        <f>transport!K14</f>
        <v>0</v>
      </c>
      <c r="L9" s="482">
        <f>transport!L14</f>
        <v>0</v>
      </c>
      <c r="M9" s="482">
        <f>transport!M14</f>
        <v>33444.190883763207</v>
      </c>
      <c r="N9" s="482">
        <f>transport!N14</f>
        <v>0</v>
      </c>
      <c r="O9" s="482">
        <f>transport!O14</f>
        <v>0</v>
      </c>
      <c r="P9" s="482">
        <f>transport!P14</f>
        <v>0</v>
      </c>
      <c r="Q9" s="481">
        <f>SUM(B9:P9)</f>
        <v>644605.8227732646</v>
      </c>
    </row>
    <row r="10" spans="1:17">
      <c r="A10" s="477" t="s">
        <v>561</v>
      </c>
      <c r="B10" s="478">
        <f>transport!B54</f>
        <v>0</v>
      </c>
      <c r="C10" s="478">
        <f>transport!C54</f>
        <v>0</v>
      </c>
      <c r="D10" s="478">
        <f>transport!D54</f>
        <v>0</v>
      </c>
      <c r="E10" s="478">
        <f>transport!E54</f>
        <v>0</v>
      </c>
      <c r="F10" s="478">
        <f>transport!F54</f>
        <v>0</v>
      </c>
      <c r="G10" s="478">
        <f>transport!G54</f>
        <v>3719.6087616060918</v>
      </c>
      <c r="H10" s="478">
        <f>transport!H54</f>
        <v>0</v>
      </c>
      <c r="I10" s="478">
        <f>transport!I54</f>
        <v>0</v>
      </c>
      <c r="J10" s="478">
        <f>transport!J54</f>
        <v>0</v>
      </c>
      <c r="K10" s="478">
        <f>transport!K54</f>
        <v>0</v>
      </c>
      <c r="L10" s="478">
        <f>transport!L54</f>
        <v>0</v>
      </c>
      <c r="M10" s="478">
        <f>transport!M54</f>
        <v>212.11844442910595</v>
      </c>
      <c r="N10" s="478">
        <f>transport!N54</f>
        <v>0</v>
      </c>
      <c r="O10" s="478">
        <f>transport!O54</f>
        <v>0</v>
      </c>
      <c r="P10" s="479">
        <f>transport!P54</f>
        <v>0</v>
      </c>
      <c r="Q10" s="477">
        <f t="shared" si="0"/>
        <v>3931.7272060351979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8552.8439999999991</v>
      </c>
      <c r="C14" s="485"/>
      <c r="D14" s="485">
        <f>'SEAP template'!E25</f>
        <v>6566.7759957017397</v>
      </c>
      <c r="E14" s="485"/>
      <c r="F14" s="485"/>
      <c r="G14" s="485"/>
      <c r="H14" s="485"/>
      <c r="I14" s="485"/>
      <c r="J14" s="485"/>
      <c r="K14" s="485"/>
      <c r="L14" s="485"/>
      <c r="M14" s="485"/>
      <c r="N14" s="485"/>
      <c r="O14" s="485"/>
      <c r="P14" s="486"/>
      <c r="Q14" s="477">
        <f t="shared" si="0"/>
        <v>15119.619995701738</v>
      </c>
    </row>
    <row r="15" spans="1:17" s="487" customFormat="1">
      <c r="A15" s="1051" t="s">
        <v>565</v>
      </c>
      <c r="B15" s="991">
        <f ca="1">SUM(B4:B14)</f>
        <v>348662.95368281292</v>
      </c>
      <c r="C15" s="991">
        <f t="shared" ref="C15:Q15" ca="1" si="1">SUM(C4:C14)</f>
        <v>116581.28571428574</v>
      </c>
      <c r="D15" s="991">
        <f t="shared" ca="1" si="1"/>
        <v>286918.23561164242</v>
      </c>
      <c r="E15" s="991">
        <f t="shared" si="1"/>
        <v>10617.774402876132</v>
      </c>
      <c r="F15" s="991">
        <f t="shared" ca="1" si="1"/>
        <v>66401.410544048966</v>
      </c>
      <c r="G15" s="991">
        <f t="shared" si="1"/>
        <v>546065.70522037044</v>
      </c>
      <c r="H15" s="991">
        <f t="shared" si="1"/>
        <v>67308.162455827289</v>
      </c>
      <c r="I15" s="991">
        <f t="shared" si="1"/>
        <v>0</v>
      </c>
      <c r="J15" s="991">
        <f t="shared" si="1"/>
        <v>8353.4748345364933</v>
      </c>
      <c r="K15" s="991">
        <f t="shared" si="1"/>
        <v>0</v>
      </c>
      <c r="L15" s="991">
        <f t="shared" ca="1" si="1"/>
        <v>0</v>
      </c>
      <c r="M15" s="991">
        <f t="shared" si="1"/>
        <v>33656.309328192314</v>
      </c>
      <c r="N15" s="991">
        <f t="shared" ca="1" si="1"/>
        <v>36882.09179271882</v>
      </c>
      <c r="O15" s="991">
        <f t="shared" si="1"/>
        <v>1014.6033333333334</v>
      </c>
      <c r="P15" s="991">
        <f t="shared" si="1"/>
        <v>1220.2666666666667</v>
      </c>
      <c r="Q15" s="991">
        <f t="shared" ca="1" si="1"/>
        <v>1523682.2735873119</v>
      </c>
    </row>
    <row r="17" spans="1:17">
      <c r="A17" s="488" t="s">
        <v>566</v>
      </c>
      <c r="B17" s="787">
        <f ca="1">huishoudens!B10</f>
        <v>0.16030012126913004</v>
      </c>
      <c r="C17" s="787">
        <f ca="1">huishoudens!C10</f>
        <v>0.1549467594760045</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16204.915319065522</v>
      </c>
      <c r="C22" s="478">
        <f t="shared" ref="C22:C32" ca="1" si="3">C4*$C$17</f>
        <v>0</v>
      </c>
      <c r="D22" s="478">
        <f t="shared" ref="D22:D32" si="4">D4*$D$17</f>
        <v>36251.306908932274</v>
      </c>
      <c r="E22" s="478">
        <f t="shared" ref="E22:E32" si="5">E4*$E$17</f>
        <v>690.88012158361778</v>
      </c>
      <c r="F22" s="478">
        <f t="shared" ref="F22:F32" si="6">F4*$F$17</f>
        <v>0</v>
      </c>
      <c r="G22" s="478">
        <f t="shared" ref="G22:G32" si="7">G4*$G$17</f>
        <v>0</v>
      </c>
      <c r="H22" s="478">
        <f t="shared" ref="H22:H32" si="8">H4*$H$17</f>
        <v>0</v>
      </c>
      <c r="I22" s="478">
        <f t="shared" ref="I22:I32" si="9">I4*$I$17</f>
        <v>0</v>
      </c>
      <c r="J22" s="478">
        <f t="shared" ref="J22:J32" si="10">J4*$J$17</f>
        <v>2325.9729289146767</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55473.075278496093</v>
      </c>
    </row>
    <row r="23" spans="1:17">
      <c r="A23" s="477" t="s">
        <v>156</v>
      </c>
      <c r="B23" s="478">
        <f t="shared" ca="1" si="2"/>
        <v>21310.289641641732</v>
      </c>
      <c r="C23" s="478">
        <f t="shared" ca="1" si="3"/>
        <v>759.68182645949639</v>
      </c>
      <c r="D23" s="478">
        <f t="shared" ca="1" si="4"/>
        <v>12566.499874509571</v>
      </c>
      <c r="E23" s="478">
        <f t="shared" si="5"/>
        <v>179.33894880207134</v>
      </c>
      <c r="F23" s="478">
        <f t="shared" ca="1" si="6"/>
        <v>4520.2371586455638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39336.047450058431</v>
      </c>
    </row>
    <row r="24" spans="1:17">
      <c r="A24" s="477" t="s">
        <v>194</v>
      </c>
      <c r="B24" s="478">
        <f t="shared" ca="1" si="2"/>
        <v>503.44016385904251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503.44016385904251</v>
      </c>
    </row>
    <row r="25" spans="1:17">
      <c r="A25" s="477" t="s">
        <v>112</v>
      </c>
      <c r="B25" s="478">
        <f t="shared" ca="1" si="2"/>
        <v>1535.7716143412333</v>
      </c>
      <c r="C25" s="478">
        <f t="shared" ca="1" si="3"/>
        <v>16712.037298675037</v>
      </c>
      <c r="D25" s="478">
        <f t="shared" si="4"/>
        <v>0</v>
      </c>
      <c r="E25" s="478">
        <f t="shared" si="5"/>
        <v>20.143876867146602</v>
      </c>
      <c r="F25" s="478">
        <f t="shared" si="6"/>
        <v>6490.1857013787885</v>
      </c>
      <c r="G25" s="478">
        <f t="shared" si="7"/>
        <v>0</v>
      </c>
      <c r="H25" s="478">
        <f t="shared" si="8"/>
        <v>0</v>
      </c>
      <c r="I25" s="478">
        <f t="shared" si="9"/>
        <v>0</v>
      </c>
      <c r="J25" s="478">
        <f t="shared" si="10"/>
        <v>519.95985879470777</v>
      </c>
      <c r="K25" s="478">
        <f t="shared" si="11"/>
        <v>0</v>
      </c>
      <c r="L25" s="478">
        <f t="shared" si="12"/>
        <v>0</v>
      </c>
      <c r="M25" s="478">
        <f t="shared" si="13"/>
        <v>0</v>
      </c>
      <c r="N25" s="478">
        <f t="shared" si="14"/>
        <v>0</v>
      </c>
      <c r="O25" s="478">
        <f t="shared" si="15"/>
        <v>0</v>
      </c>
      <c r="P25" s="479">
        <f t="shared" si="16"/>
        <v>0</v>
      </c>
      <c r="Q25" s="477">
        <f t="shared" ca="1" si="17"/>
        <v>25278.098350056913</v>
      </c>
    </row>
    <row r="26" spans="1:17">
      <c r="A26" s="477" t="s">
        <v>650</v>
      </c>
      <c r="B26" s="478">
        <f t="shared" ca="1" si="2"/>
        <v>14954.782653576898</v>
      </c>
      <c r="C26" s="478">
        <f t="shared" ca="1" si="3"/>
        <v>592.17331184025863</v>
      </c>
      <c r="D26" s="478">
        <f t="shared" si="4"/>
        <v>7778.1587988642996</v>
      </c>
      <c r="E26" s="478">
        <f t="shared" si="5"/>
        <v>1231.9210124453873</v>
      </c>
      <c r="F26" s="478">
        <f t="shared" si="6"/>
        <v>6718.7537552367221</v>
      </c>
      <c r="G26" s="478">
        <f t="shared" si="7"/>
        <v>0</v>
      </c>
      <c r="H26" s="478">
        <f t="shared" si="8"/>
        <v>0</v>
      </c>
      <c r="I26" s="478">
        <f t="shared" si="9"/>
        <v>0</v>
      </c>
      <c r="J26" s="478">
        <f t="shared" si="10"/>
        <v>111.19730371653434</v>
      </c>
      <c r="K26" s="478">
        <f t="shared" si="11"/>
        <v>0</v>
      </c>
      <c r="L26" s="478">
        <f t="shared" si="12"/>
        <v>0</v>
      </c>
      <c r="M26" s="478">
        <f t="shared" si="13"/>
        <v>0</v>
      </c>
      <c r="N26" s="478">
        <f t="shared" si="14"/>
        <v>0</v>
      </c>
      <c r="O26" s="478">
        <f t="shared" si="15"/>
        <v>0</v>
      </c>
      <c r="P26" s="479">
        <f t="shared" si="16"/>
        <v>0</v>
      </c>
      <c r="Q26" s="477">
        <f t="shared" ca="1" si="17"/>
        <v>31386.986835680098</v>
      </c>
    </row>
    <row r="27" spans="1:17" s="483" customFormat="1">
      <c r="A27" s="481" t="s">
        <v>571</v>
      </c>
      <c r="B27" s="781">
        <f t="shared" ca="1" si="2"/>
        <v>10.492434527607037</v>
      </c>
      <c r="C27" s="482">
        <f t="shared" ca="1" si="3"/>
        <v>0</v>
      </c>
      <c r="D27" s="482">
        <f t="shared" si="4"/>
        <v>35.029260113882358</v>
      </c>
      <c r="E27" s="482">
        <f t="shared" si="5"/>
        <v>287.9508297546588</v>
      </c>
      <c r="F27" s="482">
        <f t="shared" si="6"/>
        <v>0</v>
      </c>
      <c r="G27" s="482">
        <f t="shared" si="7"/>
        <v>144806.40775449009</v>
      </c>
      <c r="H27" s="482">
        <f t="shared" si="8"/>
        <v>16759.732451500993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161899.61273038722</v>
      </c>
    </row>
    <row r="28" spans="1:17">
      <c r="A28" s="477" t="s">
        <v>561</v>
      </c>
      <c r="B28" s="478">
        <f t="shared" ca="1" si="2"/>
        <v>0</v>
      </c>
      <c r="C28" s="478">
        <f t="shared" ca="1" si="3"/>
        <v>0</v>
      </c>
      <c r="D28" s="478">
        <f t="shared" si="4"/>
        <v>0</v>
      </c>
      <c r="E28" s="478">
        <f t="shared" si="5"/>
        <v>0</v>
      </c>
      <c r="F28" s="478">
        <f t="shared" si="6"/>
        <v>0</v>
      </c>
      <c r="G28" s="478">
        <f t="shared" si="7"/>
        <v>993.13553934882657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993.13553934882657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1371.0219303959511</v>
      </c>
      <c r="C32" s="478">
        <f t="shared" ca="1" si="3"/>
        <v>0</v>
      </c>
      <c r="D32" s="478">
        <f t="shared" si="4"/>
        <v>1326.4887511317515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2697.5106815277027</v>
      </c>
    </row>
    <row r="33" spans="1:17" s="487" customFormat="1">
      <c r="A33" s="1051" t="s">
        <v>565</v>
      </c>
      <c r="B33" s="991">
        <f ca="1">SUM(B22:B32)</f>
        <v>55890.71375740799</v>
      </c>
      <c r="C33" s="991">
        <f t="shared" ref="C33:Q33" ca="1" si="18">SUM(C22:C32)</f>
        <v>18063.892436974791</v>
      </c>
      <c r="D33" s="991">
        <f t="shared" ca="1" si="18"/>
        <v>57957.483593551777</v>
      </c>
      <c r="E33" s="991">
        <f t="shared" si="18"/>
        <v>2410.2347894528821</v>
      </c>
      <c r="F33" s="991">
        <f t="shared" ca="1" si="18"/>
        <v>17729.176615261073</v>
      </c>
      <c r="G33" s="991">
        <f t="shared" si="18"/>
        <v>145799.54329383891</v>
      </c>
      <c r="H33" s="991">
        <f t="shared" si="18"/>
        <v>16759.732451500993</v>
      </c>
      <c r="I33" s="991">
        <f t="shared" si="18"/>
        <v>0</v>
      </c>
      <c r="J33" s="991">
        <f t="shared" si="18"/>
        <v>2957.1300914259191</v>
      </c>
      <c r="K33" s="991">
        <f t="shared" si="18"/>
        <v>0</v>
      </c>
      <c r="L33" s="991">
        <f t="shared" ca="1" si="18"/>
        <v>0</v>
      </c>
      <c r="M33" s="991">
        <f t="shared" si="18"/>
        <v>0</v>
      </c>
      <c r="N33" s="991">
        <f t="shared" ca="1" si="18"/>
        <v>0</v>
      </c>
      <c r="O33" s="991">
        <f t="shared" si="18"/>
        <v>0</v>
      </c>
      <c r="P33" s="991">
        <f t="shared" si="18"/>
        <v>0</v>
      </c>
      <c r="Q33" s="991">
        <f t="shared" ca="1" si="18"/>
        <v>317567.90702941437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25841.124262531808</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45531.7210423371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28398.900000000005</v>
      </c>
      <c r="C8" s="1068">
        <f>'SEAP template'!C76</f>
        <v>53208</v>
      </c>
      <c r="D8" s="1068">
        <f>'SEAP template'!D76</f>
        <v>62597.647058823532</v>
      </c>
      <c r="E8" s="1068">
        <f>'SEAP template'!E76</f>
        <v>0</v>
      </c>
      <c r="F8" s="1068">
        <f>'SEAP template'!F76</f>
        <v>0</v>
      </c>
      <c r="G8" s="1068">
        <f>'SEAP template'!G76</f>
        <v>0</v>
      </c>
      <c r="H8" s="1068">
        <f>'SEAP template'!H76</f>
        <v>0</v>
      </c>
      <c r="I8" s="1068">
        <f>'SEAP template'!I76</f>
        <v>0</v>
      </c>
      <c r="J8" s="1068">
        <f>'SEAP template'!J76</f>
        <v>33410.470588235301</v>
      </c>
      <c r="K8" s="1068">
        <f>'SEAP template'!K76</f>
        <v>0</v>
      </c>
      <c r="L8" s="1068">
        <f>'SEAP template'!L76</f>
        <v>0</v>
      </c>
      <c r="M8" s="1068">
        <f>'SEAP template'!M76</f>
        <v>0</v>
      </c>
      <c r="N8" s="1068">
        <f>'SEAP template'!N76</f>
        <v>0</v>
      </c>
      <c r="O8" s="1068">
        <f>'SEAP template'!O76</f>
        <v>0</v>
      </c>
      <c r="P8" s="1069">
        <f>'SEAP template'!Q76</f>
        <v>12644.724705882354</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99771.74530486892</v>
      </c>
      <c r="C10" s="1072">
        <f>SUM(C4:C9)</f>
        <v>53208</v>
      </c>
      <c r="D10" s="1072">
        <f t="shared" ref="D10:H10" si="0">SUM(D8:D9)</f>
        <v>62597.647058823532</v>
      </c>
      <c r="E10" s="1072">
        <f t="shared" si="0"/>
        <v>0</v>
      </c>
      <c r="F10" s="1072">
        <f t="shared" si="0"/>
        <v>0</v>
      </c>
      <c r="G10" s="1072">
        <f t="shared" si="0"/>
        <v>0</v>
      </c>
      <c r="H10" s="1072">
        <f t="shared" si="0"/>
        <v>0</v>
      </c>
      <c r="I10" s="1072">
        <f>SUM(I8:I9)</f>
        <v>0</v>
      </c>
      <c r="J10" s="1072">
        <f>SUM(J8:J9)</f>
        <v>33410.470588235301</v>
      </c>
      <c r="K10" s="1072">
        <f t="shared" ref="K10:L10" si="1">SUM(K8:K9)</f>
        <v>0</v>
      </c>
      <c r="L10" s="1072">
        <f t="shared" si="1"/>
        <v>0</v>
      </c>
      <c r="M10" s="1072">
        <f>SUM(M8:M9)</f>
        <v>0</v>
      </c>
      <c r="N10" s="1072">
        <f>SUM(N8:N9)</f>
        <v>0</v>
      </c>
      <c r="O10" s="1072">
        <f>SUM(O8:O9)</f>
        <v>0</v>
      </c>
      <c r="P10" s="1072">
        <f>SUM(P8:P9)</f>
        <v>12644.724705882354</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0.16030012126913004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40569.857142857152</v>
      </c>
      <c r="C17" s="1074">
        <f>'SEAP template'!C87</f>
        <v>76011.428571428565</v>
      </c>
      <c r="D17" s="1069">
        <f>'SEAP template'!D87</f>
        <v>89425.210084033621</v>
      </c>
      <c r="E17" s="1069">
        <f>'SEAP template'!E87</f>
        <v>0</v>
      </c>
      <c r="F17" s="1069">
        <f>'SEAP template'!F87</f>
        <v>0</v>
      </c>
      <c r="G17" s="1069">
        <f>'SEAP template'!G87</f>
        <v>0</v>
      </c>
      <c r="H17" s="1069">
        <f>'SEAP template'!H87</f>
        <v>0</v>
      </c>
      <c r="I17" s="1069">
        <f>'SEAP template'!I87</f>
        <v>0</v>
      </c>
      <c r="J17" s="1069">
        <f>'SEAP template'!J87</f>
        <v>47729.243697479003</v>
      </c>
      <c r="K17" s="1069">
        <f>'SEAP template'!K87</f>
        <v>0</v>
      </c>
      <c r="L17" s="1069">
        <f>'SEAP template'!L87</f>
        <v>0</v>
      </c>
      <c r="M17" s="1069">
        <f>'SEAP template'!M87</f>
        <v>0</v>
      </c>
      <c r="N17" s="1069">
        <f>'SEAP template'!N87</f>
        <v>0</v>
      </c>
      <c r="O17" s="1069">
        <f>'SEAP template'!O87</f>
        <v>0</v>
      </c>
      <c r="P17" s="1069">
        <f>'SEAP template'!Q87</f>
        <v>18063.892436974791</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40569.857142857152</v>
      </c>
      <c r="C20" s="1072">
        <f>SUM(C17:C19)</f>
        <v>76011.428571428565</v>
      </c>
      <c r="D20" s="1072">
        <f t="shared" ref="D20:H20" si="2">SUM(D17:D19)</f>
        <v>89425.210084033621</v>
      </c>
      <c r="E20" s="1072">
        <f t="shared" si="2"/>
        <v>0</v>
      </c>
      <c r="F20" s="1072">
        <f t="shared" si="2"/>
        <v>0</v>
      </c>
      <c r="G20" s="1072">
        <f t="shared" si="2"/>
        <v>0</v>
      </c>
      <c r="H20" s="1072">
        <f t="shared" si="2"/>
        <v>0</v>
      </c>
      <c r="I20" s="1072">
        <f>SUM(I17:I19)</f>
        <v>0</v>
      </c>
      <c r="J20" s="1072">
        <f>SUM(J17:J19)</f>
        <v>47729.243697479003</v>
      </c>
      <c r="K20" s="1072">
        <f t="shared" ref="K20:L20" si="3">SUM(K17:K19)</f>
        <v>0</v>
      </c>
      <c r="L20" s="1072">
        <f t="shared" si="3"/>
        <v>0</v>
      </c>
      <c r="M20" s="1072">
        <f>SUM(M17:M19)</f>
        <v>0</v>
      </c>
      <c r="N20" s="1072">
        <f>SUM(N17:N19)</f>
        <v>0</v>
      </c>
      <c r="O20" s="1072">
        <f>SUM(O17:O19)</f>
        <v>0</v>
      </c>
      <c r="P20" s="1072">
        <f>SUM(P17:P19)</f>
        <v>18063.892436974791</v>
      </c>
    </row>
    <row r="22" spans="1:16">
      <c r="A22" s="488" t="s">
        <v>888</v>
      </c>
      <c r="B22" s="787" t="s">
        <v>882</v>
      </c>
      <c r="C22" s="787">
        <f ca="1">'EF ele_warmte'!B22</f>
        <v>0.1549467594760045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0.16030012126913004</v>
      </c>
      <c r="C17" s="525">
        <f ca="1">'EF ele_warmte'!B22</f>
        <v>0.1549467594760045</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2019-08-12T08:10:05Z</dcterms:modified>
</cp:coreProperties>
</file>