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N78" i="14"/>
  <c r="N9" i="59"/>
  <c r="H90" i="14"/>
  <c r="H18" i="59"/>
  <c r="H20" s="1"/>
  <c r="O10"/>
  <c r="M22" i="14"/>
  <c r="N10" i="59"/>
  <c r="G88" i="14"/>
  <c r="G18" i="59" s="1"/>
  <c r="K20"/>
  <c r="C98" i="18"/>
  <c r="G101" s="1"/>
  <c r="I8" s="1"/>
  <c r="D13" i="15"/>
  <c r="C16" i="16"/>
  <c r="P22" i="14"/>
  <c r="E20" i="59"/>
  <c r="C13" i="15"/>
  <c r="B16" i="16"/>
  <c r="D14" i="48"/>
  <c r="Q14" s="1"/>
  <c r="K78" i="14"/>
  <c r="H9" i="18"/>
  <c r="M77" i="14" s="1"/>
  <c r="Q22"/>
  <c r="D22"/>
  <c r="L22"/>
  <c r="E10" i="59"/>
  <c r="L20"/>
  <c r="G77" i="14"/>
  <c r="G9" i="59" s="1"/>
  <c r="G10" s="1"/>
  <c r="I77" i="14"/>
  <c r="I9" i="59" s="1"/>
  <c r="B13" i="15"/>
  <c r="B10" i="18"/>
  <c r="N13" i="15"/>
  <c r="L13"/>
  <c r="F77" i="14"/>
  <c r="F9" i="59" s="1"/>
  <c r="E101" i="18"/>
  <c r="E8" s="1"/>
  <c r="F101"/>
  <c r="H101"/>
  <c r="C10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O90" i="14"/>
  <c r="O18" i="59"/>
  <c r="O20" s="1"/>
  <c r="H78" i="14"/>
  <c r="H9" i="59"/>
  <c r="H10" s="1"/>
  <c r="B101" i="18"/>
  <c r="C8" s="1"/>
  <c r="C10" s="1"/>
  <c r="Q89" i="14"/>
  <c r="P19" i="59" s="1"/>
  <c r="O9" i="18"/>
  <c r="I101"/>
  <c r="H8" s="1"/>
  <c r="M76" i="14" s="1"/>
  <c r="N90"/>
  <c r="N18" i="59"/>
  <c r="N20" s="1"/>
  <c r="D101" i="18"/>
  <c r="B89" i="14"/>
  <c r="B19" i="59" s="1"/>
  <c r="J17" i="18"/>
  <c r="J20" s="1"/>
  <c r="C77" i="14"/>
  <c r="C9" i="59" s="1"/>
  <c r="H20" i="18"/>
  <c r="M87" i="14"/>
  <c r="F76"/>
  <c r="E10" i="18"/>
  <c r="C20"/>
  <c r="D87" i="14"/>
  <c r="D17" i="59" s="1"/>
  <c r="D20" s="1"/>
  <c r="B88" i="14"/>
  <c r="B18" i="59" s="1"/>
  <c r="I17" i="18"/>
  <c r="D76" i="14"/>
  <c r="D8" i="59" s="1"/>
  <c r="D10" s="1"/>
  <c r="J8" i="18"/>
  <c r="C88" i="14"/>
  <c r="C18" i="59" s="1"/>
  <c r="I10" i="18"/>
  <c r="I76" i="14"/>
  <c r="I8" i="59" s="1"/>
  <c r="I10" s="1"/>
  <c r="B77" i="14"/>
  <c r="B9" i="59" s="1"/>
  <c r="E20" i="18"/>
  <c r="F87" i="14"/>
  <c r="Q88"/>
  <c r="P18" i="59" s="1"/>
  <c r="H14" i="15"/>
  <c r="H16" s="1"/>
  <c r="G14"/>
  <c r="G16" s="1"/>
  <c r="M78" i="14" l="1"/>
  <c r="M8" i="59"/>
  <c r="M10" s="1"/>
  <c r="F90" i="14"/>
  <c r="F17" i="59"/>
  <c r="F20" s="1"/>
  <c r="O8" i="18"/>
  <c r="O10" s="1"/>
  <c r="O17"/>
  <c r="O20" s="1"/>
  <c r="I10" i="14"/>
  <c r="I16" s="1"/>
  <c r="H5" i="48"/>
  <c r="H10" i="14"/>
  <c r="H16" s="1"/>
  <c r="G5" i="48"/>
  <c r="M90" i="14"/>
  <c r="M17" i="59"/>
  <c r="M20" s="1"/>
  <c r="F78" i="14"/>
  <c r="F8" i="59"/>
  <c r="F10" s="1"/>
  <c r="J87" i="14"/>
  <c r="H10" i="18"/>
  <c r="Q76" i="14"/>
  <c r="D78"/>
  <c r="I78"/>
  <c r="B76"/>
  <c r="J10" i="18"/>
  <c r="J76" i="14"/>
  <c r="I87"/>
  <c r="I17" i="59" s="1"/>
  <c r="I20" s="1"/>
  <c r="I20" i="18"/>
  <c r="Q87" i="14"/>
  <c r="D90"/>
  <c r="C87"/>
  <c r="A31" i="23"/>
  <c r="A32"/>
  <c r="A33"/>
  <c r="B78" i="14" l="1"/>
  <c r="B8" i="59"/>
  <c r="B10" s="1"/>
  <c r="Q90" i="14"/>
  <c r="B17" i="6" s="1"/>
  <c r="P17" i="59"/>
  <c r="P20" s="1"/>
  <c r="Q78" i="14"/>
  <c r="B9" i="6" s="1"/>
  <c r="P8" i="59"/>
  <c r="P10" s="1"/>
  <c r="C90" i="14"/>
  <c r="C17" i="59"/>
  <c r="C2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9"/>
  <c r="H28"/>
  <c r="H26"/>
  <c r="H25"/>
  <c r="H24"/>
  <c r="H22"/>
  <c r="H30"/>
  <c r="H23"/>
  <c r="D11" i="14"/>
  <c r="C4" i="48"/>
  <c r="K28"/>
  <c r="K32"/>
  <c r="K31"/>
  <c r="K24"/>
  <c r="K25"/>
  <c r="K26"/>
  <c r="K22"/>
  <c r="K27"/>
  <c r="K30"/>
  <c r="K29"/>
  <c r="B7"/>
  <c r="C24" i="14"/>
  <c r="C26" s="1"/>
  <c r="J24" i="48"/>
  <c r="J29"/>
  <c r="J30"/>
  <c r="J32"/>
  <c r="J28"/>
  <c r="J31"/>
  <c r="J27"/>
  <c r="Q11" i="14"/>
  <c r="P4" i="48"/>
  <c r="P11" i="14"/>
  <c r="O4" i="48"/>
  <c r="I25"/>
  <c r="I22"/>
  <c r="I26"/>
  <c r="I32"/>
  <c r="I28"/>
  <c r="I24"/>
  <c r="I27"/>
  <c r="I29"/>
  <c r="I30"/>
  <c r="I31"/>
  <c r="J15" i="16"/>
  <c r="G30" i="48"/>
  <c r="G25"/>
  <c r="G26"/>
  <c r="G29"/>
  <c r="G32"/>
  <c r="G22"/>
  <c r="G24"/>
  <c r="G23"/>
  <c r="C11" i="14"/>
  <c r="B4" i="48"/>
  <c r="F24"/>
  <c r="F32"/>
  <c r="F29"/>
  <c r="F30"/>
  <c r="F27"/>
  <c r="F31"/>
  <c r="F28"/>
  <c r="N31"/>
  <c r="N24"/>
  <c r="N32"/>
  <c r="N30"/>
  <c r="N29"/>
  <c r="N27"/>
  <c r="N28"/>
  <c r="C19" i="14"/>
  <c r="B10" i="48"/>
  <c r="E32"/>
  <c r="E28"/>
  <c r="E24"/>
  <c r="E31"/>
  <c r="E29"/>
  <c r="E30"/>
  <c r="M26"/>
  <c r="M25"/>
  <c r="M32"/>
  <c r="M22"/>
  <c r="M24"/>
  <c r="M30"/>
  <c r="M29"/>
  <c r="M23"/>
  <c r="L10" i="14"/>
  <c r="L16" s="1"/>
  <c r="L27" s="1"/>
  <c r="K5" i="48"/>
  <c r="D30"/>
  <c r="D31"/>
  <c r="D24"/>
  <c r="D29"/>
  <c r="D28"/>
  <c r="D32"/>
  <c r="L32"/>
  <c r="L27"/>
  <c r="L29"/>
  <c r="L30"/>
  <c r="L31"/>
  <c r="L28"/>
  <c r="L24"/>
  <c r="L22"/>
  <c r="Q10" i="14"/>
  <c r="P5" i="48"/>
  <c r="P23" s="1"/>
  <c r="N46"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P22" i="48"/>
  <c r="G13"/>
  <c r="H18" i="14"/>
  <c r="R18" s="1"/>
  <c r="H13" i="48"/>
  <c r="H31" s="1"/>
  <c r="I18" i="14"/>
  <c r="P22" i="16"/>
  <c r="Q43" i="14" s="1"/>
  <c r="Q13"/>
  <c r="Q16" s="1"/>
  <c r="Q27" s="1"/>
  <c r="P8" i="48"/>
  <c r="P26" s="1"/>
  <c r="K23"/>
  <c r="K33" s="1"/>
  <c r="K15"/>
  <c r="O22"/>
  <c r="J10" i="14"/>
  <c r="J16" s="1"/>
  <c r="J27" s="1"/>
  <c r="I5" i="48"/>
  <c r="F20" i="14"/>
  <c r="F22" s="1"/>
  <c r="E9" i="48"/>
  <c r="E27" s="1"/>
  <c r="E20" i="14"/>
  <c r="E22" s="1"/>
  <c r="D9" i="48"/>
  <c r="D27" s="1"/>
  <c r="P10" i="14"/>
  <c r="O5" i="48"/>
  <c r="O23" s="1"/>
  <c r="J7"/>
  <c r="J25" s="1"/>
  <c r="K24" i="14"/>
  <c r="K26" s="1"/>
  <c r="C20"/>
  <c r="B9" i="48"/>
  <c r="J46" i="14"/>
  <c r="J61" s="1"/>
  <c r="J63" s="1"/>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Q63" i="14" l="1"/>
  <c r="H19"/>
  <c r="R19" s="1"/>
  <c r="G10" i="48"/>
  <c r="G9"/>
  <c r="H20" i="14"/>
  <c r="M10" i="48"/>
  <c r="M28" s="1"/>
  <c r="N19" i="14"/>
  <c r="O22" i="16"/>
  <c r="P43" i="14" s="1"/>
  <c r="P46" s="1"/>
  <c r="P61" s="1"/>
  <c r="P13"/>
  <c r="O8" i="48"/>
  <c r="E12" i="13"/>
  <c r="F41" i="14" s="1"/>
  <c r="F11"/>
  <c r="E4" i="48"/>
  <c r="O11" i="14"/>
  <c r="N4" i="48"/>
  <c r="N22" s="1"/>
  <c r="K11" i="14"/>
  <c r="J4" i="48"/>
  <c r="E7"/>
  <c r="E25" s="1"/>
  <c r="F24" i="14"/>
  <c r="F26" s="1"/>
  <c r="I23" i="48"/>
  <c r="I33" s="1"/>
  <c r="I15"/>
  <c r="G31"/>
  <c r="Q13"/>
  <c r="P16" i="14"/>
  <c r="P27" s="1"/>
  <c r="Q46"/>
  <c r="Q61" s="1"/>
  <c r="P33" i="48"/>
  <c r="P15"/>
  <c r="M14" i="22"/>
  <c r="M18" s="1"/>
  <c r="N50" i="14" s="1"/>
  <c r="N52" s="1"/>
  <c r="N61"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63" l="1"/>
  <c r="J5" i="48"/>
  <c r="J23" s="1"/>
  <c r="K10" i="14"/>
  <c r="J22" i="48"/>
  <c r="E5"/>
  <c r="E23" s="1"/>
  <c r="F10" i="14"/>
  <c r="O26" i="48"/>
  <c r="O33" s="1"/>
  <c r="O15"/>
  <c r="G28"/>
  <c r="Q10"/>
  <c r="H9"/>
  <c r="I20" i="14"/>
  <c r="M9" i="48"/>
  <c r="N20" i="14"/>
  <c r="N22" s="1"/>
  <c r="N27" s="1"/>
  <c r="G27" i="48"/>
  <c r="G15"/>
  <c r="E22"/>
  <c r="Q4"/>
  <c r="P63" i="14"/>
  <c r="R11"/>
  <c r="H22"/>
  <c r="H27" s="1"/>
  <c r="L25" i="48"/>
  <c r="Q7"/>
  <c r="M26" i="14"/>
  <c r="R24"/>
  <c r="R26" s="1"/>
  <c r="E20" i="15"/>
  <c r="F40" i="14" s="1"/>
  <c r="F46" s="1"/>
  <c r="F61"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J22" i="16"/>
  <c r="K43" i="14" s="1"/>
  <c r="K13"/>
  <c r="K16" s="1"/>
  <c r="K27" s="1"/>
  <c r="J8" i="48"/>
  <c r="J26" s="1"/>
  <c r="M27"/>
  <c r="M33" s="1"/>
  <c r="M15"/>
  <c r="F13" i="14"/>
  <c r="E8" i="48"/>
  <c r="J33"/>
  <c r="H63" i="14"/>
  <c r="F16"/>
  <c r="F27" s="1"/>
  <c r="F63" s="1"/>
  <c r="K46"/>
  <c r="K61" s="1"/>
  <c r="G33" i="48"/>
  <c r="O13" i="14"/>
  <c r="N8" i="48"/>
  <c r="N26" s="1"/>
  <c r="F8"/>
  <c r="G13" i="14"/>
  <c r="R13" s="1"/>
  <c r="E26" i="48" l="1"/>
  <c r="E33" s="1"/>
  <c r="E15"/>
  <c r="K6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<sst xmlns="http://schemas.openxmlformats.org/spreadsheetml/2006/main" count="2428" uniqueCount="914">
  <si>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</si>
  <si>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</si>
  <si>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</si>
  <si>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</si>
  <si>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</si>
  <si>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</si>
  <si>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</si>
  <si>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</si>
  <si>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</si>
  <si>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</si>
  <si>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</si>
  <si>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</si>
  <si>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</si>
  <si>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</si>
  <si>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</si>
  <si>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</si>
  <si>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</si>
  <si>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</si>
  <si>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</si>
  <si>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</si>
  <si>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</si>
  <si>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</si>
  <si>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</si>
  <si>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</si>
  <si>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</si>
  <si>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</si>
  <si>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</si>
  <si>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</si>
  <si>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</si>
  <si>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</si>
  <si>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</si>
  <si>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</si>
  <si>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</si>
  <si>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</si>
  <si>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</si>
  <si>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</si>
  <si>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</si>
  <si>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</si>
  <si>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</si>
  <si>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</si>
  <si>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</si>
  <si>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</si>
  <si>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</si>
  <si>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</si>
  <si>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</si>
  <si>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</si>
  <si>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</si>
  <si>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</si>
  <si>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</si>
  <si>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</si>
  <si>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</si>
  <si>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</si>
  <si>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</si>
  <si>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</si>
  <si>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</si>
  <si>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</si>
  <si>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</si>
  <si>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</si>
  <si>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</si>
  <si>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</si>
  <si>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</si>
  <si>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</si>
  <si>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</si>
  <si>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</si>
  <si>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</si>
  <si>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</si>
  <si>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</si>
  <si>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</si>
  <si>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</si>
  <si>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</si>
  <si>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</si>
  <si>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</si>
  <si>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</si>
  <si>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</si>
  <si>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</si>
  <si>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</si>
  <si>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</si>
  <si>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</si>
  <si>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</si>
  <si>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</si>
  <si>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</si>
  <si>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</si>
  <si>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</si>
  <si>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</si>
  <si>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</si>
  <si>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</si>
  <si>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</si>
  <si>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</si>
  <si>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</si>
  <si>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</si>
  <si>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</si>
  <si>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</si>
  <si>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</si>
  <si>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</si>
  <si>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</si>
  <si>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</si>
  <si>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</si>
  <si>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</si>
  <si>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</si>
  <si>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</si>
  <si>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</si>
  <si>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</si>
  <si>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</si>
  <si>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</si>
  <si>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</si>
  <si>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</si>
  <si>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</si>
  <si>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</si>
  <si>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</si>
  <si>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</si>
  <si>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</si>
  <si>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</si>
  <si>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</si>
  <si>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</si>
  <si>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</si>
  <si>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</si>
  <si>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</si>
  <si>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</si>
  <si>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</si>
  <si>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</si>
  <si>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</si>
  <si>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</si>
  <si>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</si>
  <si>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</si>
  <si>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</si>
  <si>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</si>
  <si>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</si>
  <si>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</si>
  <si>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</si>
  <si>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</si>
  <si>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</si>
  <si>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</si>
  <si>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</si>
  <si>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</si>
  <si>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</si>
  <si>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</si>
  <si>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</si>
  <si>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</si>
  <si>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</si>
  <si>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</si>
  <si>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</si>
  <si>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</si>
  <si>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</si>
  <si>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</si>
  <si>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</si>
  <si>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</si>
  <si>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</si>
  <si>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</si>
  <si>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</si>
  <si>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</si>
  <si>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</si>
  <si>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</si>
  <si>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</si>
  <si>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</si>
  <si>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</si>
  <si>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</si>
  <si>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</si>
  <si>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</si>
  <si>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</si>
  <si>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</si>
  <si>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</si>
  <si>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</si>
  <si>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</si>
  <si>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</si>
  <si>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</si>
  <si>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</si>
  <si>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</si>
  <si>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</si>
  <si>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</si>
  <si>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</si>
  <si>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</si>
  <si>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</si>
  <si>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</si>
  <si>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</si>
  <si>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</si>
  <si>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</si>
  <si>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</si>
  <si>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</si>
  <si>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</si>
  <si>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</si>
  <si>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</si>
  <si>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</si>
  <si>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</si>
  <si>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</si>
  <si>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</si>
  <si>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</si>
  <si>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</si>
  <si>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</si>
  <si>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</si>
  <si>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</si>
  <si>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</si>
  <si>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</si>
  <si>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</si>
  <si>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</si>
  <si>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</si>
  <si>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</si>
  <si>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</si>
  <si>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</si>
  <si>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</si>
  <si>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</si>
  <si>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</si>
  <si>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</si>
  <si>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</si>
  <si>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</si>
  <si>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</si>
  <si>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</si>
  <si>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</si>
  <si>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</si>
  <si>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</si>
  <si>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</si>
  <si>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</si>
  <si>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</si>
  <si>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</si>
  <si>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</si>
  <si>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</si>
  <si>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</si>
  <si>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</si>
  <si>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</si>
  <si>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</si>
  <si>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</si>
  <si>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</si>
  <si>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</si>
  <si>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</si>
  <si>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</si>
  <si>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</si>
  <si>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</si>
  <si>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</si>
  <si>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</si>
  <si>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</si>
  <si>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</si>
  <si>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</si>
  <si>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</si>
  <si>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</si>
  <si>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</si>
  <si>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</si>
  <si>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</si>
  <si>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</si>
  <si>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</si>
  <si>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</si>
  <si>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</si>
  <si>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</si>
  <si>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</si>
  <si>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</si>
  <si>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</si>
  <si>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</si>
  <si>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</si>
  <si>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</si>
  <si>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</si>
  <si>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</si>
  <si>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</si>
  <si>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</si>
  <si>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</si>
  <si>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</si>
  <si>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</si>
  <si>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</si>
  <si>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</si>
  <si>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</si>
  <si>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</si>
  <si>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</si>
  <si>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</si>
  <si>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</si>
  <si>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</si>
  <si>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</si>
  <si>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</si>
  <si>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</si>
  <si>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</si>
  <si>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</si>
  <si>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</si>
  <si>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</si>
  <si>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</si>
  <si>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</si>
  <si>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</si>
  <si>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</si>
  <si>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</si>
  <si>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</si>
  <si>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</si>
  <si>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</si>
  <si>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</si>
  <si>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</si>
  <si>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</si>
  <si>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</si>
  <si>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</si>
  <si>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</si>
  <si>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</si>
  <si>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</si>
  <si>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</si>
  <si>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</si>
  <si>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</si>
  <si>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</si>
  <si>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</si>
  <si>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</si>
  <si>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</si>
  <si>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</si>
  <si>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</si>
  <si>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</si>
  <si>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</si>
  <si>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</si>
  <si>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</si>
  <si>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</si>
  <si>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</si>
  <si>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</si>
  <si>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</si>
  <si>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</si>
  <si>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</si>
  <si>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</si>
  <si>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</si>
  <si>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</si>
  <si>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</si>
  <si>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</si>
  <si>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</si>
  <si>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</si>
  <si>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</si>
  <si>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</si>
  <si>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</si>
  <si>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</si>
  <si>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</si>
  <si>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</si>
  <si>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</si>
  <si>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</si>
  <si>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</si>
  <si>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</si>
  <si>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</si>
  <si>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</si>
  <si>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</si>
  <si>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</si>
  <si>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</si>
  <si>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</si>
  <si>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</si>
  <si>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</si>
  <si>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</si>
  <si>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</si>
  <si>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</si>
  <si>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</si>
  <si>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</si>
  <si>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</si>
  <si>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</si>
  <si>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</si>
  <si>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</si>
  <si>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</si>
  <si>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</si>
  <si>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</si>
  <si>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</si>
  <si>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</si>
  <si>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</si>
  <si>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</si>
  <si>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</si>
  <si>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</si>
  <si>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</si>
  <si>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</si>
  <si>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</si>
  <si>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</si>
  <si>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</si>
  <si>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</si>
  <si>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</si>
  <si>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</si>
  <si>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</si>
  <si>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</si>
  <si>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</si>
  <si>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</si>
  <si>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</si>
  <si>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</si>
  <si>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</si>
  <si>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</si>
  <si>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</si>
  <si>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</si>
  <si>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</si>
  <si>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</si>
  <si>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</si>
  <si>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</si>
  <si>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</si>
  <si>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</si>
  <si>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</si>
  <si>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</si>
  <si>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</si>
  <si>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</si>
  <si>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</si>
  <si>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</si>
  <si>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</si>
  <si>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</si>
  <si>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</si>
  <si>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</si>
  <si>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</si>
  <si>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</si>
  <si>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</si>
  <si>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</si>
  <si>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</si>
  <si>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</si>
  <si>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</si>
  <si>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</si>
  <si>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</si>
  <si>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</si>
  <si>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</si>
  <si>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</si>
  <si>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</si>
  <si>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</si>
  <si>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</si>
  <si>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</si>
  <si>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</si>
  <si>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</si>
  <si>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</si>
  <si>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</si>
  <si>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</si>
  <si>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</si>
  <si>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</si>
  <si>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</si>
  <si>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</si>
  <si>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</si>
  <si>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</si>
  <si>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</si>
  <si>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</si>
  <si>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</si>
  <si>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</si>
  <si>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</si>
  <si>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</si>
  <si>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</si>
  <si>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</si>
  <si>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</si>
  <si>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</si>
  <si>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</si>
  <si>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</si>
  <si>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</si>
  <si>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</si>
  <si>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</si>
  <si>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</si>
  <si>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</si>
  <si>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</si>
  <si>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</si>
  <si>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</si>
  <si>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</si>
  <si>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</si>
  <si>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</si>
  <si>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</si>
  <si>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</si>
  <si>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</si>
  <si>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</si>
  <si>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</si>
  <si>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</si>
  <si>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</si>
  <si>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</si>
  <si>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</si>
  <si>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</si>
  <si>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</si>
  <si>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</si>
  <si>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</si>
  <si>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</si>
  <si>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</si>
  <si>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</si>
  <si>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</si>
  <si>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</si>
  <si>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</si>
  <si>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</si>
  <si>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</si>
  <si>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</si>
  <si>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</si>
  <si>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</si>
  <si>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</si>
  <si>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</si>
  <si>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</si>
  <si>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</si>
  <si>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</si>
  <si>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</si>
  <si>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</si>
  <si>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</si>
  <si>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</si>
  <si>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</si>
  <si>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</si>
  <si>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</si>
  <si>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</si>
  <si>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</si>
  <si>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</si>
  <si>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</si>
  <si>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</si>
  <si>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</si>
  <si>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</si>
  <si>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</si>
  <si>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</si>
  <si>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</si>
  <si>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</si>
  <si>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</si>
  <si>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</si>
  <si>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</si>
  <si>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</si>
  <si>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</si>
  <si>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</si>
  <si>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</si>
  <si>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</si>
  <si>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</si>
  <si>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</si>
  <si>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</si>
  <si>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</si>
  <si>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</si>
  <si>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</si>
  <si>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</si>
  <si>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</si>
  <si>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</si>
  <si>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</si>
  <si>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</si>
  <si>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</si>
  <si>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</si>
  <si>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</si>
  <si>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</si>
  <si>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</si>
  <si>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</si>
  <si>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</si>
  <si>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</si>
  <si>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</si>
  <si>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</si>
  <si>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</si>
  <si>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</si>
  <si>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</si>
  <si>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</si>
  <si>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</si>
  <si>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</si>
  <si>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</si>
  <si>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</si>
  <si>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</si>
  <si>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</si>
  <si>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</si>
  <si>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</si>
  <si>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</si>
  <si>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</si>
  <si>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</si>
  <si>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</si>
  <si>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</si>
  <si>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</si>
  <si>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</si>
  <si>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</si>
  <si>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</si>
  <si>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</si>
  <si>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</si>
  <si>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</si>
  <si>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</si>
  <si>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</si>
  <si>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</si>
  <si>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</si>
  <si>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</si>
  <si>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</si>
  <si>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</si>
  <si>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</si>
  <si>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</si>
  <si>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</si>
  <si>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</si>
  <si>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</si>
  <si>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</si>
  <si>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</si>
  <si>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</si>
  <si>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</si>
  <si>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</si>
  <si>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</si>
  <si>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</si>
  <si>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</si>
  <si>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</si>
  <si>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</si>
  <si>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</si>
  <si>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</si>
  <si>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</si>
  <si>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</si>
  <si>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</si>
  <si>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</si>
  <si>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</si>
  <si>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</si>
  <si>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</si>
  <si>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</si>
  <si>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</si>
  <si>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</si>
  <si>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</si>
  <si>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</si>
  <si>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</si>
  <si>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</si>
  <si>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</si>
  <si>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</si>
  <si>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</si>
  <si>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</si>
  <si>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</si>
  <si>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</si>
  <si>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</si>
  <si>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</si>
  <si>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</si>
  <si>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</si>
  <si>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</si>
  <si>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</si>
  <si>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</si>
  <si>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</si>
  <si>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</si>
  <si>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</si>
  <si>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</si>
  <si>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</si>
  <si>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</si>
  <si>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</si>
  <si>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</si>
  <si>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</si>
  <si>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</si>
  <si>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</si>
  <si>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</si>
  <si>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</si>
  <si>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</si>
  <si>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</si>
  <si>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</si>
  <si>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</si>
  <si>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</si>
  <si>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</si>
  <si>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</si>
  <si>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</si>
  <si>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</si>
  <si>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</si>
  <si>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</si>
  <si>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</si>
  <si>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</si>
  <si>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</si>
  <si>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</si>
  <si>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</si>
  <si>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</si>
  <si>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</si>
  <si>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</si>
  <si>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</si>
  <si>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</si>
  <si>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</si>
  <si>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</si>
  <si>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</si>
  <si>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</si>
  <si>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</si>
  <si>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</si>
  <si>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</si>
  <si>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</si>
  <si>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</si>
  <si>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</si>
  <si>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</si>
  <si>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</si>
  <si>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</si>
  <si>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</si>
  <si>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</si>
  <si>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</si>
  <si>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</si>
  <si>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</si>
  <si>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</si>
  <si>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</si>
  <si>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</si>
  <si>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</si>
  <si>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</si>
  <si>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</si>
  <si>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</si>
  <si>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</si>
  <si>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</si>
  <si>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</si>
  <si>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</si>
  <si>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</si>
  <si>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</si>
  <si>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</si>
  <si>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</si>
  <si>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</si>
  <si>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</si>
  <si>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</si>
  <si>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</si>
  <si>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</si>
  <si>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</si>
  <si>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</si>
  <si>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</si>
  <si>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</si>
  <si>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</si>
  <si>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</si>
  <si>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</si>
  <si>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</si>
  <si>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</si>
  <si>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</si>
  <si>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</si>
  <si>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</si>
  <si>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</si>
  <si>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</si>
  <si>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</si>
  <si>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</si>
  <si>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</si>
  <si>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</si>
  <si>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</si>
  <si>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</si>
  <si>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</si>
  <si>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</si>
  <si>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</si>
  <si>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</si>
  <si>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</si>
  <si>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</si>
  <si>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</si>
  <si>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</si>
  <si>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</si>
  <si>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</si>
  <si>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</si>
  <si>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</si>
  <si>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</si>
  <si>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</si>
  <si>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</si>
  <si>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</si>
  <si>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</si>
  <si>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</si>
  <si>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</si>
  <si>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</si>
  <si>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</si>
  <si>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</si>
  <si>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</si>
  <si>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</si>
  <si>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</si>
  <si>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</si>
  <si>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</si>
  <si>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</si>
  <si>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</si>
  <si>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</si>
  <si>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</si>
  <si>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</si>
  <si>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</si>
  <si>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</si>
  <si>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</si>
  <si>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</si>
  <si>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</si>
  <si>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</si>
  <si>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</si>
  <si>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</si>
  <si>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</si>
  <si>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</si>
  <si>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</si>
  <si>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</si>
  <si>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</si>
  <si>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</si>
  <si>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</si>
  <si>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</si>
  <si>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</si>
  <si>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</si>
  <si>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</si>
  <si>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</si>
  <si>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</si>
  <si>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</si>
  <si>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</si>
  <si>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</si>
  <si>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</si>
  <si>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</si>
  <si>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</si>
  <si>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</si>
  <si>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</si>
  <si>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</si>
  <si>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</si>
  <si>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</si>
  <si>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</si>
  <si>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</si>
  <si>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</si>
  <si>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</si>
  <si>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</si>
  <si>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</si>
  <si>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</si>
  <si>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</si>
  <si>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</si>
  <si>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</si>
  <si>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</si>
  <si>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</si>
  <si>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</si>
  <si>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</si>
  <si>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</si>
  <si>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</si>
  <si>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</si>
  <si>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</si>
  <si>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</si>
  <si>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</si>
  <si>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</si>
  <si>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</si>
  <si>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</si>
  <si>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</si>
  <si>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</si>
  <si>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</si>
  <si>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</si>
  <si>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</si>
  <si>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</si>
  <si>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</si>
  <si>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</si>
  <si>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</si>
  <si>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</si>
  <si>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</si>
  <si>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</si>
  <si>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</si>
  <si>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</si>
  <si>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</si>
  <si>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</si>
  <si>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</si>
  <si>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</si>
  <si>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</si>
  <si>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</si>
  <si>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</si>
  <si>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</si>
  <si>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</si>
  <si>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</si>
  <si>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</si>
  <si>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</si>
  <si>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</si>
  <si>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</si>
  <si>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</si>
  <si>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</si>
  <si>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</si>
  <si>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</si>
  <si>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</si>
  <si>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</si>
  <si>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</si>
  <si>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</si>
  <si>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</si>
  <si>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</si>
  <si>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</si>
  <si>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</si>
  <si>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</si>
  <si>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</si>
  <si>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</si>
  <si>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</si>
  <si>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</si>
  <si>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</si>
  <si>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</si>
  <si>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</si>
  <si>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</si>
  <si>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</si>
  <si>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</si>
  <si>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</si>
  <si>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</si>
  <si>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</si>
  <si>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</si>
  <si>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</si>
  <si>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</si>
  <si>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</si>
  <si>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</si>
  <si>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</si>
  <si>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</si>
  <si>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</si>
  <si>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</si>
  <si>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</si>
  <si>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</si>
  <si>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</si>
  <si>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</si>
  <si>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</si>
  <si>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</si>
  <si>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</si>
  <si>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</si>
  <si>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</si>
  <si>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</si>
  <si>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</si>
  <si>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</si>
  <si>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</si>
  <si>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</si>
  <si>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</si>
  <si>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</si>
  <si>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</si>
  <si>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</si>
  <si>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</si>
  <si>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</si>
  <si>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</si>
  <si>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</si>
  <si>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</si>
  <si>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</si>
  <si>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</si>
  <si>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</si>
  <si>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</si>
  <si>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</si>
  <si>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</si>
  <si>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</si>
  <si>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</si>
  <si>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</si>
  <si>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</si>
  <si>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</si>
  <si>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</si>
  <si>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</si>
  <si>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</si>
  <si>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</si>
  <si>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</si>
  <si>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</si>
  <si>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</si>
  <si>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</si>
  <si>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</si>
  <si>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</si>
  <si>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</si>
  <si>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</si>
  <si>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</si>
  <si>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</si>
  <si>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</si>
  <si>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</si>
  <si>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</si>
  <si>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</si>
  <si>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</si>
  <si>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</si>
  <si>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</si>
  <si>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</si>
  <si>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</si>
  <si>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</si>
  <si>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</si>
  <si>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</si>
  <si>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</si>
  <si>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</si>
  <si>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</si>
  <si>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</si>
  <si>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</si>
  <si>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</si>
  <si>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</si>
  <si>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</si>
  <si>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</si>
  <si>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</si>
  <si>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</si>
  <si>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</si>
  <si>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</si>
  <si>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</si>
  <si>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</si>
  <si>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45065</t>
  </si>
  <si>
    <t>ZWALM</t>
  </si>
  <si>
    <t>Paarden&amp;pony's 200 - 600 kg</t>
  </si>
  <si>
    <t>Paarden&amp;pony's &lt; 200 kg</t>
  </si>
  <si>
    <t>referentietaak LNE (2017); Jaarverslag De Lijn (2014)</t>
  </si>
  <si>
    <t>op basis van VEA (maart 2018) en Inventaris Hernieuwbare Energiebronnen (juni 2018)</t>
  </si>
  <si>
    <t>VEA (maart 2016)</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</si>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</sst>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73463.024801524472</c:v>
                </c:pt>
                <c:pt idx="1">
                  <c:v>11358.722215647133</c:v>
                </c:pt>
                <c:pt idx="2">
                  <c:v>708.98699999999997</c:v>
                </c:pt>
                <c:pt idx="3">
                  <c:v>3935.8051066660687</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73463.024801524472</c:v>
                </c:pt>
                <c:pt idx="1">
                  <c:v>11358.722215647133</c:v>
                </c:pt>
                <c:pt idx="2">
                  <c:v>708.98699999999997</c:v>
                </c:pt>
                <c:pt idx="3">
                  <c:v>3935.8051066660687</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15907.215113843991</c:v>
                </c:pt>
                <c:pt idx="2">
                  <c:v>2287.5831759551547</c:v>
                </c:pt>
                <c:pt idx="3">
                  <c:v>142.63122571914823</c:v>
                </c:pt>
                <c:pt idx="4">
                  <c:v>985.0106582093689</c:v>
                </c:pt>
                <c:pt idx="5">
                  <c:v>540.53310121365269</c:v>
                </c:pt>
                <c:pt idx="6">
                  <c:v>14016.729489140815</c:v>
                </c:pt>
                <c:pt idx="7">
                  <c:v>195.01866416885966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15907.215113843991</c:v>
                </c:pt>
                <c:pt idx="2">
                  <c:v>2287.5831759551547</c:v>
                </c:pt>
                <c:pt idx="3">
                  <c:v>142.63122571914823</c:v>
                </c:pt>
                <c:pt idx="4">
                  <c:v>985.0106582093689</c:v>
                </c:pt>
                <c:pt idx="5">
                  <c:v>540.53310121365269</c:v>
                </c:pt>
                <c:pt idx="6">
                  <c:v>14016.729489140815</c:v>
                </c:pt>
                <c:pt idx="7">
                  <c:v>195.01866416885966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45065</v>
      </c>
      <c r="B6" s="416"/>
      <c r="C6" s="417"/>
    </row>
    <row r="7" spans="1:7" s="414" customFormat="1" ht="15.75" customHeight="1">
      <c r="A7" s="418" t="str">
        <f>txtMunicipality</f>
        <v>ZWALM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0.20117608040647889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0.20117608040647889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3197</v>
      </c>
      <c r="C9" s="342">
        <v>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2063</v>
      </c>
    </row>
    <row r="15" spans="1:6">
      <c r="A15" s="348" t="s">
        <v>184</v>
      </c>
      <c r="B15" s="334">
        <v>14</v>
      </c>
    </row>
    <row r="16" spans="1:6">
      <c r="A16" s="348" t="s">
        <v>6</v>
      </c>
      <c r="B16" s="334">
        <v>529</v>
      </c>
    </row>
    <row r="17" spans="1:6">
      <c r="A17" s="348" t="s">
        <v>7</v>
      </c>
      <c r="B17" s="334">
        <v>366</v>
      </c>
    </row>
    <row r="18" spans="1:6">
      <c r="A18" s="348" t="s">
        <v>8</v>
      </c>
      <c r="B18" s="334">
        <v>577</v>
      </c>
    </row>
    <row r="19" spans="1:6">
      <c r="A19" s="348" t="s">
        <v>9</v>
      </c>
      <c r="B19" s="334">
        <v>506</v>
      </c>
    </row>
    <row r="20" spans="1:6">
      <c r="A20" s="348" t="s">
        <v>10</v>
      </c>
      <c r="B20" s="334">
        <v>445</v>
      </c>
    </row>
    <row r="21" spans="1:6">
      <c r="A21" s="348" t="s">
        <v>11</v>
      </c>
      <c r="B21" s="334">
        <v>850</v>
      </c>
    </row>
    <row r="22" spans="1:6">
      <c r="A22" s="348" t="s">
        <v>12</v>
      </c>
      <c r="B22" s="334">
        <v>2678</v>
      </c>
    </row>
    <row r="23" spans="1:6">
      <c r="A23" s="348" t="s">
        <v>13</v>
      </c>
      <c r="B23" s="334">
        <v>59</v>
      </c>
    </row>
    <row r="24" spans="1:6">
      <c r="A24" s="348" t="s">
        <v>14</v>
      </c>
      <c r="B24" s="334">
        <v>4</v>
      </c>
    </row>
    <row r="25" spans="1:6">
      <c r="A25" s="348" t="s">
        <v>15</v>
      </c>
      <c r="B25" s="334">
        <v>322</v>
      </c>
    </row>
    <row r="26" spans="1:6">
      <c r="A26" s="348" t="s">
        <v>16</v>
      </c>
      <c r="B26" s="334">
        <v>214</v>
      </c>
    </row>
    <row r="27" spans="1:6">
      <c r="A27" s="348" t="s">
        <v>17</v>
      </c>
      <c r="B27" s="334">
        <v>0</v>
      </c>
    </row>
    <row r="28" spans="1:6" s="356" customFormat="1">
      <c r="A28" s="355" t="s">
        <v>18</v>
      </c>
      <c r="B28" s="355">
        <v>101662</v>
      </c>
    </row>
    <row r="29" spans="1:6">
      <c r="A29" s="355" t="s">
        <v>901</v>
      </c>
      <c r="B29" s="355">
        <v>35</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1433.6440734293999</v>
      </c>
      <c r="E38" s="334">
        <v>1</v>
      </c>
      <c r="F38" s="334">
        <v>1848.7650000000001</v>
      </c>
    </row>
    <row r="39" spans="1:6">
      <c r="A39" s="348" t="s">
        <v>30</v>
      </c>
      <c r="B39" s="348" t="s">
        <v>31</v>
      </c>
      <c r="C39" s="334">
        <v>1038</v>
      </c>
      <c r="D39" s="334">
        <v>14842509.454606401</v>
      </c>
      <c r="E39" s="334">
        <v>3095</v>
      </c>
      <c r="F39" s="334">
        <v>14529670.18</v>
      </c>
    </row>
    <row r="40" spans="1:6">
      <c r="A40" s="348" t="s">
        <v>30</v>
      </c>
      <c r="B40" s="348" t="s">
        <v>29</v>
      </c>
      <c r="C40" s="334">
        <v>0</v>
      </c>
      <c r="D40" s="334">
        <v>0</v>
      </c>
      <c r="E40" s="334">
        <v>0</v>
      </c>
      <c r="F40" s="334">
        <v>0</v>
      </c>
    </row>
    <row r="41" spans="1:6">
      <c r="A41" s="348" t="s">
        <v>32</v>
      </c>
      <c r="B41" s="348" t="s">
        <v>33</v>
      </c>
      <c r="C41" s="334">
        <v>11</v>
      </c>
      <c r="D41" s="334">
        <v>157105.45015735101</v>
      </c>
      <c r="E41" s="334">
        <v>69</v>
      </c>
      <c r="F41" s="334">
        <v>425352.1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21663.119999999999</v>
      </c>
    </row>
    <row r="48" spans="1:6">
      <c r="A48" s="348" t="s">
        <v>32</v>
      </c>
      <c r="B48" s="348" t="s">
        <v>29</v>
      </c>
      <c r="C48" s="334">
        <v>7</v>
      </c>
      <c r="D48" s="334">
        <v>203290.40939135899</v>
      </c>
      <c r="E48" s="334">
        <v>30</v>
      </c>
      <c r="F48" s="334">
        <v>759789.1</v>
      </c>
    </row>
    <row r="49" spans="1:6">
      <c r="A49" s="348" t="s">
        <v>32</v>
      </c>
      <c r="B49" s="348" t="s">
        <v>40</v>
      </c>
      <c r="C49" s="334">
        <v>0</v>
      </c>
      <c r="D49" s="334">
        <v>0</v>
      </c>
      <c r="E49" s="334">
        <v>0</v>
      </c>
      <c r="F49" s="334">
        <v>0</v>
      </c>
    </row>
    <row r="50" spans="1:6">
      <c r="A50" s="348" t="s">
        <v>32</v>
      </c>
      <c r="B50" s="348" t="s">
        <v>41</v>
      </c>
      <c r="C50" s="334">
        <v>0</v>
      </c>
      <c r="D50" s="334">
        <v>0</v>
      </c>
      <c r="E50" s="334">
        <v>4</v>
      </c>
      <c r="F50" s="334">
        <v>83424.31</v>
      </c>
    </row>
    <row r="51" spans="1:6">
      <c r="A51" s="348" t="s">
        <v>42</v>
      </c>
      <c r="B51" s="348" t="s">
        <v>43</v>
      </c>
      <c r="C51" s="334">
        <v>4</v>
      </c>
      <c r="D51" s="334">
        <v>110857.102235553</v>
      </c>
      <c r="E51" s="334">
        <v>59</v>
      </c>
      <c r="F51" s="334">
        <v>872695.3</v>
      </c>
    </row>
    <row r="52" spans="1:6">
      <c r="A52" s="348" t="s">
        <v>42</v>
      </c>
      <c r="B52" s="348" t="s">
        <v>29</v>
      </c>
      <c r="C52" s="334">
        <v>5</v>
      </c>
      <c r="D52" s="334">
        <v>99462.346190634198</v>
      </c>
      <c r="E52" s="334">
        <v>8</v>
      </c>
      <c r="F52" s="334">
        <v>139827.9</v>
      </c>
    </row>
    <row r="53" spans="1:6">
      <c r="A53" s="348" t="s">
        <v>44</v>
      </c>
      <c r="B53" s="348" t="s">
        <v>45</v>
      </c>
      <c r="C53" s="334">
        <v>16</v>
      </c>
      <c r="D53" s="334">
        <v>330133.28207261802</v>
      </c>
      <c r="E53" s="334">
        <v>122</v>
      </c>
      <c r="F53" s="334">
        <v>486875.9</v>
      </c>
    </row>
    <row r="54" spans="1:6">
      <c r="A54" s="348" t="s">
        <v>46</v>
      </c>
      <c r="B54" s="348" t="s">
        <v>47</v>
      </c>
      <c r="C54" s="334">
        <v>0</v>
      </c>
      <c r="D54" s="334">
        <v>0</v>
      </c>
      <c r="E54" s="334">
        <v>1</v>
      </c>
      <c r="F54" s="334">
        <v>708987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100465.89415338299</v>
      </c>
      <c r="E57" s="334">
        <v>23</v>
      </c>
      <c r="F57" s="334">
        <v>1272773</v>
      </c>
    </row>
    <row r="58" spans="1:6">
      <c r="A58" s="348" t="s">
        <v>49</v>
      </c>
      <c r="B58" s="348" t="s">
        <v>51</v>
      </c>
      <c r="C58" s="334">
        <v>3</v>
      </c>
      <c r="D58" s="334">
        <v>92078.176001226704</v>
      </c>
      <c r="E58" s="334">
        <v>11</v>
      </c>
      <c r="F58" s="334">
        <v>76767.19</v>
      </c>
    </row>
    <row r="59" spans="1:6">
      <c r="A59" s="348" t="s">
        <v>49</v>
      </c>
      <c r="B59" s="348" t="s">
        <v>52</v>
      </c>
      <c r="C59" s="334">
        <v>3</v>
      </c>
      <c r="D59" s="334">
        <v>29985.440715552701</v>
      </c>
      <c r="E59" s="334">
        <v>36</v>
      </c>
      <c r="F59" s="334">
        <v>827940.2</v>
      </c>
    </row>
    <row r="60" spans="1:6">
      <c r="A60" s="348" t="s">
        <v>49</v>
      </c>
      <c r="B60" s="348" t="s">
        <v>53</v>
      </c>
      <c r="C60" s="334">
        <v>11</v>
      </c>
      <c r="D60" s="334">
        <v>305239.03665601602</v>
      </c>
      <c r="E60" s="334">
        <v>42</v>
      </c>
      <c r="F60" s="334">
        <v>821995.3</v>
      </c>
    </row>
    <row r="61" spans="1:6">
      <c r="A61" s="348" t="s">
        <v>49</v>
      </c>
      <c r="B61" s="348" t="s">
        <v>54</v>
      </c>
      <c r="C61" s="334">
        <v>18</v>
      </c>
      <c r="D61" s="334">
        <v>654341.813796776</v>
      </c>
      <c r="E61" s="334">
        <v>70</v>
      </c>
      <c r="F61" s="334">
        <v>773251.2</v>
      </c>
    </row>
    <row r="62" spans="1:6">
      <c r="A62" s="348" t="s">
        <v>49</v>
      </c>
      <c r="B62" s="348" t="s">
        <v>55</v>
      </c>
      <c r="C62" s="334">
        <v>0</v>
      </c>
      <c r="D62" s="334">
        <v>0</v>
      </c>
      <c r="E62" s="334">
        <v>8</v>
      </c>
      <c r="F62" s="334">
        <v>69652.86</v>
      </c>
    </row>
    <row r="63" spans="1:6">
      <c r="A63" s="348" t="s">
        <v>49</v>
      </c>
      <c r="B63" s="348" t="s">
        <v>29</v>
      </c>
      <c r="C63" s="334">
        <v>59</v>
      </c>
      <c r="D63" s="334">
        <v>2720100.5323152398</v>
      </c>
      <c r="E63" s="334">
        <v>123</v>
      </c>
      <c r="F63" s="334">
        <v>2289867</v>
      </c>
    </row>
    <row r="64" spans="1:6">
      <c r="A64" s="348" t="s">
        <v>56</v>
      </c>
      <c r="B64" s="348" t="s">
        <v>57</v>
      </c>
      <c r="C64" s="334">
        <v>0</v>
      </c>
      <c r="D64" s="334">
        <v>0</v>
      </c>
      <c r="E64" s="334">
        <v>0</v>
      </c>
      <c r="F64" s="334">
        <v>0</v>
      </c>
    </row>
    <row r="65" spans="1:6">
      <c r="A65" s="348" t="s">
        <v>56</v>
      </c>
      <c r="B65" s="348" t="s">
        <v>29</v>
      </c>
      <c r="C65" s="334">
        <v>1</v>
      </c>
      <c r="D65" s="334">
        <v>1695.9529126856</v>
      </c>
      <c r="E65" s="334">
        <v>6</v>
      </c>
      <c r="F65" s="334">
        <v>24695.66</v>
      </c>
    </row>
    <row r="66" spans="1:6">
      <c r="A66" s="348" t="s">
        <v>56</v>
      </c>
      <c r="B66" s="348" t="s">
        <v>58</v>
      </c>
      <c r="C66" s="334">
        <v>0</v>
      </c>
      <c r="D66" s="334">
        <v>0</v>
      </c>
      <c r="E66" s="334">
        <v>8</v>
      </c>
      <c r="F66" s="334">
        <v>12295.57</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51950102</v>
      </c>
      <c r="E73" s="476">
        <v>58537137.940411724</v>
      </c>
    </row>
    <row r="74" spans="1:6">
      <c r="A74" s="348" t="s">
        <v>64</v>
      </c>
      <c r="B74" s="348" t="s">
        <v>714</v>
      </c>
      <c r="C74" s="1311" t="s">
        <v>716</v>
      </c>
      <c r="D74" s="476">
        <v>4280748.5726744328</v>
      </c>
      <c r="E74" s="476">
        <v>4715134.6339807324</v>
      </c>
    </row>
    <row r="75" spans="1:6">
      <c r="A75" s="348" t="s">
        <v>65</v>
      </c>
      <c r="B75" s="348" t="s">
        <v>713</v>
      </c>
      <c r="C75" s="1311" t="s">
        <v>717</v>
      </c>
      <c r="D75" s="476">
        <v>14425317</v>
      </c>
      <c r="E75" s="476">
        <v>16281889.622923765</v>
      </c>
    </row>
    <row r="76" spans="1:6">
      <c r="A76" s="348" t="s">
        <v>65</v>
      </c>
      <c r="B76" s="348" t="s">
        <v>714</v>
      </c>
      <c r="C76" s="1311" t="s">
        <v>718</v>
      </c>
      <c r="D76" s="476">
        <v>268598.57267443254</v>
      </c>
      <c r="E76" s="476">
        <v>300562.62767466909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206312.8546511349</v>
      </c>
      <c r="C83" s="476">
        <v>209328.27552971288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19.723766816143499</v>
      </c>
    </row>
    <row r="90" spans="1:6">
      <c r="A90" s="348" t="s">
        <v>559</v>
      </c>
      <c r="B90" s="1308">
        <v>0</v>
      </c>
    </row>
    <row r="91" spans="1:6">
      <c r="A91" s="348" t="s">
        <v>68</v>
      </c>
      <c r="B91" s="334">
        <v>1890.8576409536545</v>
      </c>
    </row>
    <row r="92" spans="1:6">
      <c r="A92" s="341" t="s">
        <v>69</v>
      </c>
      <c r="B92" s="342">
        <v>181.28937498512329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5</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6</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26330.486285841787</v>
      </c>
      <c r="C3" s="43" t="s">
        <v>170</v>
      </c>
      <c r="D3" s="43"/>
      <c r="E3" s="154"/>
      <c r="F3" s="43"/>
      <c r="G3" s="43"/>
      <c r="H3" s="43"/>
      <c r="I3" s="43"/>
      <c r="J3" s="43"/>
      <c r="K3" s="96"/>
    </row>
    <row r="4" spans="1:11">
      <c r="A4" s="384" t="s">
        <v>171</v>
      </c>
      <c r="B4" s="49">
        <f>IF(ISERROR('SEAP template'!B78+'SEAP template'!C78),0,'SEAP template'!B78+'SEAP template'!C78)</f>
        <v>2361.870782754921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0.20117608040647889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708.98699999999997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708.98699999999997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0.20117608040647889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142.63122571914823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14529.670179999999</v>
      </c>
      <c r="C5" s="17">
        <f>IF(ISERROR('Eigen informatie GS &amp; warmtenet'!B57),0,'Eigen informatie GS &amp; warmtenet'!B57)</f>
        <v>0</v>
      </c>
      <c r="D5" s="30">
        <f>(SUM(HH_hh_gas_kWh,HH_rest_gas_kWh)/1000)*0.902</f>
        <v>13387.943528054973</v>
      </c>
      <c r="E5" s="17">
        <f>B46*B57</f>
        <v>2557.37292143373</v>
      </c>
      <c r="F5" s="17">
        <f>B51*B62</f>
        <v>27142.137408694904</v>
      </c>
      <c r="G5" s="18"/>
      <c r="H5" s="17"/>
      <c r="I5" s="17"/>
      <c r="J5" s="17">
        <f>B50*B61+C50*C61</f>
        <v>5852.9908323867076</v>
      </c>
      <c r="K5" s="17"/>
      <c r="L5" s="17"/>
      <c r="M5" s="17"/>
      <c r="N5" s="17">
        <f>B48*B59+C48*C59</f>
        <v>7321.2089566671866</v>
      </c>
      <c r="O5" s="17">
        <f>B69*B70*B71</f>
        <v>151.64333333333335</v>
      </c>
      <c r="P5" s="17">
        <f>B77*B78*B79/1000-B77*B78*B79/1000/B80</f>
        <v>629.20000000000005</v>
      </c>
    </row>
    <row r="6" spans="1:16">
      <c r="A6" s="16" t="s">
        <v>631</v>
      </c>
      <c r="B6" s="789">
        <f>kWh_PV_kleiner_dan_10kW</f>
        <v>1890.8576409536545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16420.527820953655</v>
      </c>
      <c r="C8" s="21">
        <f>C5</f>
        <v>0</v>
      </c>
      <c r="D8" s="21">
        <f>D5</f>
        <v>13387.943528054973</v>
      </c>
      <c r="E8" s="21">
        <f>E5</f>
        <v>2557.37292143373</v>
      </c>
      <c r="F8" s="21">
        <f>F5</f>
        <v>27142.137408694904</v>
      </c>
      <c r="G8" s="21"/>
      <c r="H8" s="21"/>
      <c r="I8" s="21"/>
      <c r="J8" s="21">
        <f>J5</f>
        <v>5852.9908323867076</v>
      </c>
      <c r="K8" s="21"/>
      <c r="L8" s="21">
        <f>L5</f>
        <v>0</v>
      </c>
      <c r="M8" s="21">
        <f>M5</f>
        <v>0</v>
      </c>
      <c r="N8" s="21">
        <f>N5</f>
        <v>7321.2089566671866</v>
      </c>
      <c r="O8" s="21">
        <f>O5</f>
        <v>151.64333333333335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0.20117608040647889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3303.4174252249959</v>
      </c>
      <c r="C12" s="23">
        <f ca="1">C10*C8</f>
        <v>0</v>
      </c>
      <c r="D12" s="23">
        <f>D8*D10</f>
        <v>2704.3645926671047</v>
      </c>
      <c r="E12" s="23">
        <f>E10*E8</f>
        <v>580.52365316545672</v>
      </c>
      <c r="F12" s="23">
        <f>F10*F8</f>
        <v>7246.9506881215393</v>
      </c>
      <c r="G12" s="23"/>
      <c r="H12" s="23"/>
      <c r="I12" s="23"/>
      <c r="J12" s="23">
        <f>J10*J8</f>
        <v>2071.9587546648945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3197</v>
      </c>
      <c r="C28" s="36"/>
      <c r="D28" s="228"/>
    </row>
    <row r="29" spans="1:7" s="15" customFormat="1">
      <c r="A29" s="230" t="s">
        <v>741</v>
      </c>
      <c r="B29" s="37">
        <f>SUM(HH_hh_gas_aantal,HH_rest_gas_aantal)</f>
        <v>1038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1038</v>
      </c>
      <c r="C32" s="167">
        <f>IF(ISERROR(B32/SUM($B$32,$B$34,$B$35,$B$36,$B$38,$B$39)*100),0,B32/SUM($B$32,$B$34,$B$35,$B$36,$B$38,$B$39)*100)</f>
        <v>32.806573957016433</v>
      </c>
      <c r="D32" s="233"/>
      <c r="G32" s="15"/>
    </row>
    <row r="33" spans="1:7">
      <c r="A33" s="171" t="s">
        <v>72</v>
      </c>
      <c r="B33" s="34" t="s">
        <v>111</v>
      </c>
      <c r="C33" s="167"/>
      <c r="D33" s="233"/>
      <c r="G33" s="15"/>
    </row>
    <row r="34" spans="1:7">
      <c r="A34" s="171" t="s">
        <v>73</v>
      </c>
      <c r="B34" s="33">
        <f>IF((($B$28-$B$32-$B$39-$B$77-$B$38)*C20/100)&lt;0,0,($B$28-$B$32-$B$39-$B$77-$B$38)*C20/100)</f>
        <v>171.40000000000003</v>
      </c>
      <c r="C34" s="167">
        <f>IF(ISERROR(B34/SUM($B$32,$B$34,$B$35,$B$36,$B$38,$B$39)*100),0,B34/SUM($B$32,$B$34,$B$35,$B$36,$B$38,$B$39)*100)</f>
        <v>5.4171934260429833</v>
      </c>
      <c r="D34" s="233"/>
      <c r="G34" s="15"/>
    </row>
    <row r="35" spans="1:7">
      <c r="A35" s="171" t="s">
        <v>74</v>
      </c>
      <c r="B35" s="33">
        <f>IF((($B$28-$B$32-$B$39-$B$77-$B$38)*C21/100)&lt;0,0,($B$28-$B$32-$B$39-$B$77-$B$38)*C21/100)</f>
        <v>556.20980392156878</v>
      </c>
      <c r="C35" s="167">
        <f>IF(ISERROR(B35/SUM($B$32,$B$34,$B$35,$B$36,$B$38,$B$39)*100),0,B35/SUM($B$32,$B$34,$B$35,$B$36,$B$38,$B$39)*100)</f>
        <v>17.579323764904196</v>
      </c>
      <c r="D35" s="233"/>
      <c r="G35" s="15"/>
    </row>
    <row r="36" spans="1:7">
      <c r="A36" s="171" t="s">
        <v>75</v>
      </c>
      <c r="B36" s="33">
        <f>IF((($B$28-$B$32-$B$39-$B$77-$B$38)*C22/100)&lt;0,0,($B$28-$B$32-$B$39-$B$77-$B$38)*C22/100)</f>
        <v>129.39019607843139</v>
      </c>
      <c r="C36" s="167">
        <f>IF(ISERROR(B36/SUM($B$32,$B$34,$B$35,$B$36,$B$38,$B$39)*100),0,B36/SUM($B$32,$B$34,$B$35,$B$36,$B$38,$B$39)*100)</f>
        <v>4.0894499392677428</v>
      </c>
      <c r="D36" s="233"/>
      <c r="G36" s="15"/>
    </row>
    <row r="37" spans="1:7">
      <c r="A37" s="171" t="s">
        <v>76</v>
      </c>
      <c r="B37" s="34" t="s">
        <v>111</v>
      </c>
      <c r="C37" s="167"/>
      <c r="D37" s="173"/>
      <c r="G37" s="15"/>
    </row>
    <row r="38" spans="1:7">
      <c r="A38" s="171" t="s">
        <v>77</v>
      </c>
      <c r="B38" s="33">
        <f>IF((B24-(B29-B18)*0.1)&lt;0,0,B24-(B29-B18)*0.1)</f>
        <v>166.39999999999998</v>
      </c>
      <c r="C38" s="167">
        <f>IF(ISERROR(B38/SUM($B$32,$B$34,$B$35,$B$36,$B$38,$B$39)*100),0,B38/SUM($B$32,$B$34,$B$35,$B$36,$B$38,$B$39)*100)</f>
        <v>5.2591656131479123</v>
      </c>
      <c r="D38" s="234"/>
      <c r="G38" s="15"/>
    </row>
    <row r="39" spans="1:7">
      <c r="A39" s="171" t="s">
        <v>78</v>
      </c>
      <c r="B39" s="33">
        <f>IF((B25-(B29-B18))&lt;0,0,B25-(B29-B18)*0.9)</f>
        <v>1102.5999999999999</v>
      </c>
      <c r="C39" s="167">
        <f>IF(ISERROR(B39/SUM($B$32,$B$34,$B$35,$B$36,$B$38,$B$39)*100),0,B39/SUM($B$32,$B$34,$B$35,$B$36,$B$38,$B$39)*100)</f>
        <v>34.848293299620728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1038</v>
      </c>
      <c r="C44" s="34" t="s">
        <v>111</v>
      </c>
      <c r="D44" s="174"/>
    </row>
    <row r="45" spans="1:7">
      <c r="A45" s="171" t="s">
        <v>72</v>
      </c>
      <c r="B45" s="33" t="str">
        <f t="shared" si="0"/>
        <v>-</v>
      </c>
      <c r="C45" s="34" t="s">
        <v>111</v>
      </c>
      <c r="D45" s="174"/>
    </row>
    <row r="46" spans="1:7">
      <c r="A46" s="171" t="s">
        <v>73</v>
      </c>
      <c r="B46" s="33">
        <f t="shared" si="0"/>
        <v>171.40000000000003</v>
      </c>
      <c r="C46" s="34" t="s">
        <v>111</v>
      </c>
      <c r="D46" s="174"/>
    </row>
    <row r="47" spans="1:7">
      <c r="A47" s="171" t="s">
        <v>74</v>
      </c>
      <c r="B47" s="33">
        <f t="shared" si="0"/>
        <v>556.20980392156878</v>
      </c>
      <c r="C47" s="34" t="s">
        <v>111</v>
      </c>
      <c r="D47" s="174"/>
    </row>
    <row r="48" spans="1:7">
      <c r="A48" s="171" t="s">
        <v>75</v>
      </c>
      <c r="B48" s="33">
        <f t="shared" si="0"/>
        <v>129.39019607843139</v>
      </c>
      <c r="C48" s="33">
        <f>B48*10</f>
        <v>1293.9019607843138</v>
      </c>
      <c r="D48" s="234"/>
    </row>
    <row r="49" spans="1:6">
      <c r="A49" s="171" t="s">
        <v>76</v>
      </c>
      <c r="B49" s="33" t="str">
        <f t="shared" si="0"/>
        <v>-</v>
      </c>
      <c r="C49" s="34" t="s">
        <v>111</v>
      </c>
      <c r="D49" s="234"/>
    </row>
    <row r="50" spans="1:6">
      <c r="A50" s="171" t="s">
        <v>77</v>
      </c>
      <c r="B50" s="33">
        <f t="shared" si="0"/>
        <v>166.39999999999998</v>
      </c>
      <c r="C50" s="33">
        <f>B50*2</f>
        <v>332.79999999999995</v>
      </c>
      <c r="D50" s="234"/>
    </row>
    <row r="51" spans="1:6">
      <c r="A51" s="171" t="s">
        <v>78</v>
      </c>
      <c r="B51" s="33">
        <f t="shared" si="0"/>
        <v>1102.5999999999999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6132.2467500000002</v>
      </c>
      <c r="C5" s="17">
        <f>IF(ISERROR('Eigen informatie GS &amp; warmtenet'!B58),0,'Eigen informatie GS &amp; warmtenet'!B58)</f>
        <v>0</v>
      </c>
      <c r="D5" s="30">
        <f>SUM(D6:D12)</f>
        <v>3519.7942260616514</v>
      </c>
      <c r="E5" s="17">
        <f>SUM(E6:E12)</f>
        <v>70.812207349541296</v>
      </c>
      <c r="F5" s="17">
        <f>SUM(F6:F12)</f>
        <v>1020.71709461512</v>
      </c>
      <c r="G5" s="18"/>
      <c r="H5" s="17"/>
      <c r="I5" s="17"/>
      <c r="J5" s="17">
        <f>SUM(J6:J12)</f>
        <v>0</v>
      </c>
      <c r="K5" s="17"/>
      <c r="L5" s="17"/>
      <c r="M5" s="17"/>
      <c r="N5" s="17">
        <f>SUM(N6:N12)</f>
        <v>1107.2005090493913</v>
      </c>
      <c r="O5" s="17">
        <f>B38*B39*B40</f>
        <v>9.3800000000000008</v>
      </c>
      <c r="P5" s="17">
        <f>B46*B47*B48/1000-B46*B47*B48/1000/B49</f>
        <v>0</v>
      </c>
      <c r="R5" s="32"/>
    </row>
    <row r="6" spans="1:18">
      <c r="A6" s="32" t="s">
        <v>54</v>
      </c>
      <c r="B6" s="37">
        <f>B26</f>
        <v>773.25119999999993</v>
      </c>
      <c r="C6" s="33"/>
      <c r="D6" s="37">
        <f>IF(ISERROR(TER_kantoor_gas_kWh/1000),0,TER_kantoor_gas_kWh/1000)*0.902</f>
        <v>590.21631604469201</v>
      </c>
      <c r="E6" s="33">
        <f>$C$26*'E Balans VL '!I12/100/3.6*1000000</f>
        <v>2.2402221784376986</v>
      </c>
      <c r="F6" s="33">
        <f>$C$26*('E Balans VL '!L12+'E Balans VL '!N12)/100/3.6*1000000</f>
        <v>87.514999795219495</v>
      </c>
      <c r="G6" s="34"/>
      <c r="H6" s="33"/>
      <c r="I6" s="33"/>
      <c r="J6" s="33">
        <f>$C$26*('E Balans VL '!D12+'E Balans VL '!E12)/100/3.6*1000000</f>
        <v>0</v>
      </c>
      <c r="K6" s="33"/>
      <c r="L6" s="33"/>
      <c r="M6" s="33"/>
      <c r="N6" s="33">
        <f>$C$26*'E Balans VL '!Y12/100/3.6*1000000</f>
        <v>7.7396747550768943</v>
      </c>
      <c r="O6" s="33"/>
      <c r="P6" s="33"/>
      <c r="R6" s="32"/>
    </row>
    <row r="7" spans="1:18">
      <c r="A7" s="32" t="s">
        <v>53</v>
      </c>
      <c r="B7" s="37">
        <f t="shared" ref="B7:B12" si="0">B27</f>
        <v>821.99530000000004</v>
      </c>
      <c r="C7" s="33"/>
      <c r="D7" s="37">
        <f>IF(ISERROR(TER_horeca_gas_kWh/1000),0,TER_horeca_gas_kWh/1000)*0.902</f>
        <v>275.32561106372646</v>
      </c>
      <c r="E7" s="33">
        <f>$C$27*'E Balans VL '!I9/100/3.6*1000000</f>
        <v>34.505066084521609</v>
      </c>
      <c r="F7" s="33">
        <f>$C$27*('E Balans VL '!L9+'E Balans VL '!N9)/100/3.6*1000000</f>
        <v>176.6225468062309</v>
      </c>
      <c r="G7" s="34"/>
      <c r="H7" s="33"/>
      <c r="I7" s="33"/>
      <c r="J7" s="33">
        <f>$C$27*('E Balans VL '!D9+'E Balans VL '!E9)/100/3.6*1000000</f>
        <v>0</v>
      </c>
      <c r="K7" s="33"/>
      <c r="L7" s="33"/>
      <c r="M7" s="33"/>
      <c r="N7" s="33">
        <f>$C$27*'E Balans VL '!Y9/100/3.6*1000000</f>
        <v>0.21182100020031808</v>
      </c>
      <c r="O7" s="33"/>
      <c r="P7" s="33"/>
      <c r="R7" s="32"/>
    </row>
    <row r="8" spans="1:18">
      <c r="A8" s="6" t="s">
        <v>52</v>
      </c>
      <c r="B8" s="37">
        <f t="shared" si="0"/>
        <v>827.9402</v>
      </c>
      <c r="C8" s="33"/>
      <c r="D8" s="37">
        <f>IF(ISERROR(TER_handel_gas_kWh/1000),0,TER_handel_gas_kWh/1000)*0.902</f>
        <v>27.046867525428539</v>
      </c>
      <c r="E8" s="33">
        <f>$C$28*'E Balans VL '!I13/100/3.6*1000000</f>
        <v>8.8927668230404073</v>
      </c>
      <c r="F8" s="33">
        <f>$C$28*('E Balans VL '!L13+'E Balans VL '!N13)/100/3.6*1000000</f>
        <v>107.18369587922849</v>
      </c>
      <c r="G8" s="34"/>
      <c r="H8" s="33"/>
      <c r="I8" s="33"/>
      <c r="J8" s="33">
        <f>$C$28*('E Balans VL '!D13+'E Balans VL '!E13)/100/3.6*1000000</f>
        <v>0</v>
      </c>
      <c r="K8" s="33"/>
      <c r="L8" s="33"/>
      <c r="M8" s="33"/>
      <c r="N8" s="33">
        <f>$C$28*'E Balans VL '!Y13/100/3.6*1000000</f>
        <v>6.7162961099005214</v>
      </c>
      <c r="O8" s="33"/>
      <c r="P8" s="33"/>
      <c r="R8" s="32"/>
    </row>
    <row r="9" spans="1:18">
      <c r="A9" s="32" t="s">
        <v>51</v>
      </c>
      <c r="B9" s="37">
        <f t="shared" si="0"/>
        <v>76.767189999999999</v>
      </c>
      <c r="C9" s="33"/>
      <c r="D9" s="37">
        <f>IF(ISERROR(TER_gezond_gas_kWh/1000),0,TER_gezond_gas_kWh/1000)*0.902</f>
        <v>83.054514753106488</v>
      </c>
      <c r="E9" s="33">
        <f>$C$29*'E Balans VL '!I10/100/3.6*1000000</f>
        <v>6.1111648408828399E-2</v>
      </c>
      <c r="F9" s="33">
        <f>$C$29*('E Balans VL '!L10+'E Balans VL '!N10)/100/3.6*1000000</f>
        <v>9.3321613303183337</v>
      </c>
      <c r="G9" s="34"/>
      <c r="H9" s="33"/>
      <c r="I9" s="33"/>
      <c r="J9" s="33">
        <f>$C$29*('E Balans VL '!D10+'E Balans VL '!E10)/100/3.6*1000000</f>
        <v>0</v>
      </c>
      <c r="K9" s="33"/>
      <c r="L9" s="33"/>
      <c r="M9" s="33"/>
      <c r="N9" s="33">
        <f>$C$29*'E Balans VL '!Y10/100/3.6*1000000</f>
        <v>0.62010502268930012</v>
      </c>
      <c r="O9" s="33"/>
      <c r="P9" s="33"/>
      <c r="R9" s="32"/>
    </row>
    <row r="10" spans="1:18">
      <c r="A10" s="32" t="s">
        <v>50</v>
      </c>
      <c r="B10" s="37">
        <f t="shared" si="0"/>
        <v>1272.7729999999999</v>
      </c>
      <c r="C10" s="33"/>
      <c r="D10" s="37">
        <f>IF(ISERROR(TER_ander_gas_kWh/1000),0,TER_ander_gas_kWh/1000)*0.902</f>
        <v>90.620236526351462</v>
      </c>
      <c r="E10" s="33">
        <f>$C$30*'E Balans VL '!I14/100/3.6*1000000</f>
        <v>4.3618599339225312</v>
      </c>
      <c r="F10" s="33">
        <f>$C$30*('E Balans VL '!L14+'E Balans VL '!N14)/100/3.6*1000000</f>
        <v>284.28576879764461</v>
      </c>
      <c r="G10" s="34"/>
      <c r="H10" s="33"/>
      <c r="I10" s="33"/>
      <c r="J10" s="33">
        <f>$C$30*('E Balans VL '!D14+'E Balans VL '!E14)/100/3.6*1000000</f>
        <v>0</v>
      </c>
      <c r="K10" s="33"/>
      <c r="L10" s="33"/>
      <c r="M10" s="33"/>
      <c r="N10" s="33">
        <f>$C$30*'E Balans VL '!Y14/100/3.6*1000000</f>
        <v>896.54825422298597</v>
      </c>
      <c r="O10" s="33"/>
      <c r="P10" s="33"/>
      <c r="R10" s="32"/>
    </row>
    <row r="11" spans="1:18">
      <c r="A11" s="32" t="s">
        <v>55</v>
      </c>
      <c r="B11" s="37">
        <f t="shared" si="0"/>
        <v>69.652860000000004</v>
      </c>
      <c r="C11" s="33"/>
      <c r="D11" s="37">
        <f>IF(ISERROR(TER_onderwijs_gas_kWh/1000),0,TER_onderwijs_gas_kWh/1000)*0.902</f>
        <v>0</v>
      </c>
      <c r="E11" s="33">
        <f>$C$31*'E Balans VL '!I11/100/3.6*1000000</f>
        <v>4.8148876978737126E-2</v>
      </c>
      <c r="F11" s="33">
        <f>$C$31*('E Balans VL '!L11+'E Balans VL '!N11)/100/3.6*1000000</f>
        <v>18.23309546969973</v>
      </c>
      <c r="G11" s="34"/>
      <c r="H11" s="33"/>
      <c r="I11" s="33"/>
      <c r="J11" s="33">
        <f>$C$31*('E Balans VL '!D11+'E Balans VL '!E11)/100/3.6*1000000</f>
        <v>0</v>
      </c>
      <c r="K11" s="33"/>
      <c r="L11" s="33"/>
      <c r="M11" s="33"/>
      <c r="N11" s="33">
        <f>$C$31*'E Balans VL '!Y11/100/3.6*1000000</f>
        <v>6.93334895621745E-2</v>
      </c>
      <c r="O11" s="33"/>
      <c r="P11" s="33"/>
      <c r="R11" s="32"/>
    </row>
    <row r="12" spans="1:18">
      <c r="A12" s="32" t="s">
        <v>260</v>
      </c>
      <c r="B12" s="37">
        <f t="shared" si="0"/>
        <v>2289.8670000000002</v>
      </c>
      <c r="C12" s="33"/>
      <c r="D12" s="37">
        <f>IF(ISERROR(TER_rest_gas_kWh/1000),0,TER_rest_gas_kWh/1000)*0.902</f>
        <v>2453.5306801483466</v>
      </c>
      <c r="E12" s="33">
        <f>$C$32*'E Balans VL '!I8/100/3.6*1000000</f>
        <v>20.703031804231486</v>
      </c>
      <c r="F12" s="33">
        <f>$C$32*('E Balans VL '!L8+'E Balans VL '!N8)/100/3.6*1000000</f>
        <v>337.54482653677854</v>
      </c>
      <c r="G12" s="34"/>
      <c r="H12" s="33"/>
      <c r="I12" s="33"/>
      <c r="J12" s="33">
        <f>$C$32*('E Balans VL '!D8+'E Balans VL '!E8)/100/3.6*1000000</f>
        <v>0</v>
      </c>
      <c r="K12" s="33"/>
      <c r="L12" s="33"/>
      <c r="M12" s="33"/>
      <c r="N12" s="33">
        <f>$C$32*'E Balans VL '!Y8/100/3.6*1000000</f>
        <v>195.29502444897614</v>
      </c>
      <c r="O12" s="33"/>
      <c r="P12" s="33"/>
      <c r="R12" s="32"/>
    </row>
    <row r="13" spans="1:18">
      <c r="A13" s="16" t="s">
        <v>494</v>
      </c>
      <c r="B13" s="247">
        <f ca="1">'lokale energieproductie'!N91+'lokale energieproductie'!N60</f>
        <v>270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6402.2467500000002</v>
      </c>
      <c r="C16" s="21">
        <f t="shared" ca="1" si="1"/>
        <v>0</v>
      </c>
      <c r="D16" s="21">
        <f t="shared" ca="1" si="1"/>
        <v>3519.7942260616514</v>
      </c>
      <c r="E16" s="21">
        <f t="shared" si="1"/>
        <v>70.812207349541296</v>
      </c>
      <c r="F16" s="21">
        <f t="shared" ca="1" si="1"/>
        <v>1020.71709461512</v>
      </c>
      <c r="G16" s="21">
        <f t="shared" si="1"/>
        <v>0</v>
      </c>
      <c r="H16" s="21">
        <f t="shared" si="1"/>
        <v>0</v>
      </c>
      <c r="I16" s="21">
        <f t="shared" si="1"/>
        <v>0</v>
      </c>
      <c r="J16" s="21">
        <f t="shared" si="1"/>
        <v>0</v>
      </c>
      <c r="K16" s="21">
        <f t="shared" si="1"/>
        <v>0</v>
      </c>
      <c r="L16" s="21">
        <f t="shared" ca="1" si="1"/>
        <v>0</v>
      </c>
      <c r="M16" s="21">
        <f t="shared" si="1"/>
        <v>0</v>
      </c>
      <c r="N16" s="21">
        <f t="shared" ca="1" si="1"/>
        <v>335.77193762081981</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0.20117608040647889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1287.9789069601181</v>
      </c>
      <c r="C20" s="23">
        <f t="shared" ref="C20:P20" ca="1" si="2">C16*C18</f>
        <v>0</v>
      </c>
      <c r="D20" s="23">
        <f t="shared" ca="1" si="2"/>
        <v>710.99843366445361</v>
      </c>
      <c r="E20" s="23">
        <f t="shared" si="2"/>
        <v>16.074371068345876</v>
      </c>
      <c r="F20" s="23">
        <f t="shared" ca="1" si="2"/>
        <v>272.53146426223708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773.25119999999993</v>
      </c>
      <c r="C26" s="39">
        <f>IF(ISERROR(B26*3.6/1000000/'E Balans VL '!Z12*100),0,B26*3.6/1000000/'E Balans VL '!Z12*100)</f>
        <v>1.698535657590668E-2</v>
      </c>
      <c r="D26" s="237" t="s">
        <v>692</v>
      </c>
      <c r="F26" s="6"/>
    </row>
    <row r="27" spans="1:18">
      <c r="A27" s="231" t="s">
        <v>53</v>
      </c>
      <c r="B27" s="33">
        <f>IF(ISERROR(TER_horeca_ele_kWh/1000),0,TER_horeca_ele_kWh/1000)</f>
        <v>821.99530000000004</v>
      </c>
      <c r="C27" s="39">
        <f>IF(ISERROR(B27*3.6/1000000/'E Balans VL '!Z9*100),0,B27*3.6/1000000/'E Balans VL '!Z9*100)</f>
        <v>6.6055516100927386E-2</v>
      </c>
      <c r="D27" s="237" t="s">
        <v>692</v>
      </c>
      <c r="F27" s="6"/>
    </row>
    <row r="28" spans="1:18">
      <c r="A28" s="171" t="s">
        <v>52</v>
      </c>
      <c r="B28" s="33">
        <f>IF(ISERROR(TER_handel_ele_kWh/1000),0,TER_handel_ele_kWh/1000)</f>
        <v>827.9402</v>
      </c>
      <c r="C28" s="39">
        <f>IF(ISERROR(B28*3.6/1000000/'E Balans VL '!Z13*100),0,B28*3.6/1000000/'E Balans VL '!Z13*100)</f>
        <v>2.4481613302831631E-2</v>
      </c>
      <c r="D28" s="237" t="s">
        <v>692</v>
      </c>
      <c r="F28" s="6"/>
    </row>
    <row r="29" spans="1:18">
      <c r="A29" s="231" t="s">
        <v>51</v>
      </c>
      <c r="B29" s="33">
        <f>IF(ISERROR(TER_gezond_ele_kWh/1000),0,TER_gezond_ele_kWh/1000)</f>
        <v>76.767189999999999</v>
      </c>
      <c r="C29" s="39">
        <f>IF(ISERROR(B29*3.6/1000000/'E Balans VL '!Z10*100),0,B29*3.6/1000000/'E Balans VL '!Z10*100)</f>
        <v>8.6496803588639003E-3</v>
      </c>
      <c r="D29" s="237" t="s">
        <v>692</v>
      </c>
      <c r="F29" s="6"/>
    </row>
    <row r="30" spans="1:18">
      <c r="A30" s="231" t="s">
        <v>50</v>
      </c>
      <c r="B30" s="33">
        <f>IF(ISERROR(TER_ander_ele_kWh/1000),0,TER_ander_ele_kWh/1000)</f>
        <v>1272.7729999999999</v>
      </c>
      <c r="C30" s="39">
        <f>IF(ISERROR(B30*3.6/1000000/'E Balans VL '!Z14*100),0,B30*3.6/1000000/'E Balans VL '!Z14*100)</f>
        <v>9.6257646282833315E-2</v>
      </c>
      <c r="D30" s="237" t="s">
        <v>692</v>
      </c>
      <c r="F30" s="6"/>
    </row>
    <row r="31" spans="1:18">
      <c r="A31" s="231" t="s">
        <v>55</v>
      </c>
      <c r="B31" s="33">
        <f>IF(ISERROR(TER_onderwijs_ele_kWh/1000),0,TER_onderwijs_ele_kWh/1000)</f>
        <v>69.652860000000004</v>
      </c>
      <c r="C31" s="39">
        <f>IF(ISERROR(B31*3.6/1000000/'E Balans VL '!Z11*100),0,B31*3.6/1000000/'E Balans VL '!Z11*100)</f>
        <v>1.4458316814270237E-2</v>
      </c>
      <c r="D31" s="237" t="s">
        <v>692</v>
      </c>
    </row>
    <row r="32" spans="1:18">
      <c r="A32" s="231" t="s">
        <v>260</v>
      </c>
      <c r="B32" s="33">
        <f>IF(ISERROR(TER_rest_ele_kWh/1000),0,TER_rest_ele_kWh/1000)</f>
        <v>2289.8670000000002</v>
      </c>
      <c r="C32" s="39">
        <f>IF(ISERROR(B32*3.6/1000000/'E Balans VL '!Z8*100),0,B32*3.6/1000000/'E Balans VL '!Z8*100)</f>
        <v>1.9290782391862393E-2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1290.2286300000001</v>
      </c>
      <c r="C5" s="17">
        <f>IF(ISERROR('Eigen informatie GS &amp; warmtenet'!B59),0,'Eigen informatie GS &amp; warmtenet'!B59)</f>
        <v>0</v>
      </c>
      <c r="D5" s="30">
        <f>SUM(D6:D15)</f>
        <v>325.07706531293644</v>
      </c>
      <c r="E5" s="17">
        <f>SUM(E6:E15)</f>
        <v>156.50254705139625</v>
      </c>
      <c r="F5" s="17">
        <f>SUM(F6:F15)</f>
        <v>666.45361967110171</v>
      </c>
      <c r="G5" s="18"/>
      <c r="H5" s="17"/>
      <c r="I5" s="17"/>
      <c r="J5" s="17">
        <f>SUM(J6:J15)</f>
        <v>5.1841829829582071</v>
      </c>
      <c r="K5" s="17"/>
      <c r="L5" s="17"/>
      <c r="M5" s="17"/>
      <c r="N5" s="17">
        <f>SUM(N6:N15)</f>
        <v>333.57125337805928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425.35209999999995</v>
      </c>
      <c r="C9" s="33"/>
      <c r="D9" s="37">
        <f>IF( ISERROR(IND_andere_gas_kWh/1000),0,IND_andere_gas_kWh/1000)*0.902</f>
        <v>141.70911604193063</v>
      </c>
      <c r="E9" s="33">
        <f>C31*'E Balans VL '!I19/100/3.6*1000000</f>
        <v>116.95438165997138</v>
      </c>
      <c r="F9" s="33">
        <f>C31*'E Balans VL '!L19/100/3.6*1000000+C31*'E Balans VL '!N19/100/3.6*1000000</f>
        <v>335.25147137963938</v>
      </c>
      <c r="G9" s="34"/>
      <c r="H9" s="33"/>
      <c r="I9" s="33"/>
      <c r="J9" s="40">
        <f>C31*'E Balans VL '!D19/100/3.6*1000000+C31*'E Balans VL '!E19/100/3.6*1000000</f>
        <v>0</v>
      </c>
      <c r="K9" s="33"/>
      <c r="L9" s="33"/>
      <c r="M9" s="33"/>
      <c r="N9" s="33">
        <f>C31*'E Balans VL '!Y19/100/3.6*1000000</f>
        <v>137.69770218665366</v>
      </c>
      <c r="O9" s="33"/>
      <c r="P9" s="33"/>
      <c r="R9" s="32"/>
    </row>
    <row r="10" spans="1:18">
      <c r="A10" s="6" t="s">
        <v>41</v>
      </c>
      <c r="B10" s="37">
        <f t="shared" si="0"/>
        <v>83.424309999999991</v>
      </c>
      <c r="C10" s="33"/>
      <c r="D10" s="37">
        <f>IF( ISERROR(IND_voed_gas_kWh/1000),0,IND_voed_gas_kWh/1000)*0.902</f>
        <v>0</v>
      </c>
      <c r="E10" s="33">
        <f>C32*'E Balans VL '!I20/100/3.6*1000000</f>
        <v>0.85046488173537937</v>
      </c>
      <c r="F10" s="33">
        <f>C32*'E Balans VL '!L20/100/3.6*1000000+C32*'E Balans VL '!N20/100/3.6*1000000</f>
        <v>157.58799982130779</v>
      </c>
      <c r="G10" s="34"/>
      <c r="H10" s="33"/>
      <c r="I10" s="33"/>
      <c r="J10" s="40">
        <f>C32*'E Balans VL '!D20/100/3.6*1000000+C32*'E Balans VL '!E20/100/3.6*1000000</f>
        <v>1.9966167038781439</v>
      </c>
      <c r="K10" s="33"/>
      <c r="L10" s="33"/>
      <c r="M10" s="33"/>
      <c r="N10" s="33">
        <f>C32*'E Balans VL '!Y20/100/3.6*1000000</f>
        <v>43.974220672185098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21.663119999999999</v>
      </c>
      <c r="C13" s="33"/>
      <c r="D13" s="37">
        <f>IF( ISERROR(IND_papier_gas_kWh/1000),0,IND_papier_gas_kWh/1000)*0.902</f>
        <v>0</v>
      </c>
      <c r="E13" s="33">
        <f>C35*'E Balans VL '!I23/100/3.6*1000000</f>
        <v>4.4865783745390228E-2</v>
      </c>
      <c r="F13" s="33">
        <f>C35*'E Balans VL '!L23/100/3.6*1000000+C35*'E Balans VL '!N23/100/3.6*1000000</f>
        <v>0.42962611163803055</v>
      </c>
      <c r="G13" s="34"/>
      <c r="H13" s="33"/>
      <c r="I13" s="33"/>
      <c r="J13" s="40">
        <f>C35*'E Balans VL '!D23/100/3.6*1000000+C35*'E Balans VL '!E23/100/3.6*1000000</f>
        <v>0</v>
      </c>
      <c r="K13" s="33"/>
      <c r="L13" s="33"/>
      <c r="M13" s="33"/>
      <c r="N13" s="33">
        <f>C35*'E Balans VL '!Y23/100/3.6*1000000</f>
        <v>9.1472062511309034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759.78909999999996</v>
      </c>
      <c r="C15" s="33"/>
      <c r="D15" s="37">
        <f>IF( ISERROR(IND_rest_gas_kWh/1000),0,IND_rest_gas_kWh/1000)*0.902</f>
        <v>183.36794927100581</v>
      </c>
      <c r="E15" s="33">
        <f>C37*'E Balans VL '!I15/100/3.6*1000000</f>
        <v>38.652834725944111</v>
      </c>
      <c r="F15" s="33">
        <f>C37*'E Balans VL '!L15/100/3.6*1000000+C37*'E Balans VL '!N15/100/3.6*1000000</f>
        <v>173.18452235851649</v>
      </c>
      <c r="G15" s="34"/>
      <c r="H15" s="33"/>
      <c r="I15" s="33"/>
      <c r="J15" s="40">
        <f>C37*'E Balans VL '!D15/100/3.6*1000000+C37*'E Balans VL '!E15/100/3.6*1000000</f>
        <v>3.1875662790800634</v>
      </c>
      <c r="K15" s="33"/>
      <c r="L15" s="33"/>
      <c r="M15" s="33"/>
      <c r="N15" s="33">
        <f>C37*'E Balans VL '!Y15/100/3.6*1000000</f>
        <v>142.75212426808966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1290.2286300000001</v>
      </c>
      <c r="C18" s="21">
        <f>C5+C16</f>
        <v>0</v>
      </c>
      <c r="D18" s="21">
        <f>MAX((D5+D16),0)</f>
        <v>325.07706531293644</v>
      </c>
      <c r="E18" s="21">
        <f>MAX((E5+E16),0)</f>
        <v>156.50254705139625</v>
      </c>
      <c r="F18" s="21">
        <f>MAX((F5+F16),0)</f>
        <v>666.45361967110171</v>
      </c>
      <c r="G18" s="21"/>
      <c r="H18" s="21"/>
      <c r="I18" s="21"/>
      <c r="J18" s="21">
        <f>MAX((J5+J16),0)</f>
        <v>5.1841829829582071</v>
      </c>
      <c r="K18" s="21"/>
      <c r="L18" s="21">
        <f>MAX((L5+L16),0)</f>
        <v>0</v>
      </c>
      <c r="M18" s="21"/>
      <c r="N18" s="21">
        <f>MAX((N5+N16),0)</f>
        <v>333.57125337805928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0.20117608040647889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259.56313861162113</v>
      </c>
      <c r="C22" s="23">
        <f ca="1">C18*C20</f>
        <v>0</v>
      </c>
      <c r="D22" s="23">
        <f>D18*D20</f>
        <v>65.665567193213164</v>
      </c>
      <c r="E22" s="23">
        <f>E18*E20</f>
        <v>35.52607818066695</v>
      </c>
      <c r="F22" s="23">
        <f>F18*F20</f>
        <v>177.94311645218417</v>
      </c>
      <c r="G22" s="23"/>
      <c r="H22" s="23"/>
      <c r="I22" s="23"/>
      <c r="J22" s="23">
        <f>J18*J20</f>
        <v>1.8352007759672053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425.35209999999995</v>
      </c>
      <c r="C31" s="39">
        <f>IF(ISERROR(B31*3.6/1000000/'E Balans VL '!Z19*100),0,B31*3.6/1000000/'E Balans VL '!Z19*100)</f>
        <v>1.8617592415085975E-2</v>
      </c>
      <c r="D31" s="237" t="s">
        <v>692</v>
      </c>
    </row>
    <row r="32" spans="1:18">
      <c r="A32" s="171" t="s">
        <v>41</v>
      </c>
      <c r="B32" s="37">
        <f>IF( ISERROR(IND_voed_ele_kWh/1000),0,IND_voed_ele_kWh/1000)</f>
        <v>83.424309999999991</v>
      </c>
      <c r="C32" s="39">
        <f>IF(ISERROR(B32*3.6/1000000/'E Balans VL '!Z20*100),0,B32*3.6/1000000/'E Balans VL '!Z20*100)</f>
        <v>2.0653088771315456E-2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21.663119999999999</v>
      </c>
      <c r="C35" s="39">
        <f>IF(ISERROR(B35*3.6/1000000/'E Balans VL '!Z22*100),0,B35*3.6/1000000/'E Balans VL '!Z22*100)</f>
        <v>6.1471096482037689E-4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759.78909999999996</v>
      </c>
      <c r="C37" s="39">
        <f>IF(ISERROR(B37*3.6/1000000/'E Balans VL '!Z15*100),0,B37*3.6/1000000/'E Balans VL '!Z15*100)</f>
        <v>5.6337060951014983E-3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1012.5232000000001</v>
      </c>
      <c r="C5" s="17">
        <f>'Eigen informatie GS &amp; warmtenet'!B60</f>
        <v>0</v>
      </c>
      <c r="D5" s="30">
        <f>IF(ISERROR(SUM(LB_lb_gas_kWh,LB_rest_gas_kWh)/1000),0,SUM(LB_lb_gas_kWh,LB_rest_gas_kWh)/1000)*0.902</f>
        <v>189.70814248042089</v>
      </c>
      <c r="E5" s="17">
        <f>B17*'E Balans VL '!I25/3.6*1000000/100</f>
        <v>9.3784139620987492</v>
      </c>
      <c r="F5" s="17">
        <f>B17*('E Balans VL '!L25/3.6*1000000+'E Balans VL '!N25/3.6*1000000)/100</f>
        <v>2568.9642438716573</v>
      </c>
      <c r="G5" s="18"/>
      <c r="H5" s="17"/>
      <c r="I5" s="17"/>
      <c r="J5" s="17">
        <f>('E Balans VL '!D25+'E Balans VL '!E25)/3.6*1000000*landbouw!B17/100</f>
        <v>155.23110635189153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1012.5232000000001</v>
      </c>
      <c r="C8" s="21">
        <f>C5+C6</f>
        <v>0</v>
      </c>
      <c r="D8" s="21">
        <f>MAX((D5+D6),0)</f>
        <v>189.70814248042089</v>
      </c>
      <c r="E8" s="21">
        <f>MAX((E5+E6),0)</f>
        <v>9.3784139620987492</v>
      </c>
      <c r="F8" s="21">
        <f>MAX((F5+F6),0)</f>
        <v>2568.9642438716573</v>
      </c>
      <c r="G8" s="21"/>
      <c r="H8" s="21"/>
      <c r="I8" s="21"/>
      <c r="J8" s="21">
        <f>MAX((J5+J6),0)</f>
        <v>155.23110635189153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0.20117608040647889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203.69544869662531</v>
      </c>
      <c r="C12" s="23">
        <f ca="1">C8*C10</f>
        <v>0</v>
      </c>
      <c r="D12" s="23">
        <f>D8*D10</f>
        <v>38.321044781045025</v>
      </c>
      <c r="E12" s="23">
        <f>E8*E10</f>
        <v>2.1288999693964161</v>
      </c>
      <c r="F12" s="23">
        <f>F8*F10</f>
        <v>685.91345311373254</v>
      </c>
      <c r="G12" s="23"/>
      <c r="H12" s="23"/>
      <c r="I12" s="23"/>
      <c r="J12" s="23">
        <f>J8*J10</f>
        <v>54.951811648569596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0.14395932983722828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181.81748208763264</v>
      </c>
      <c r="C26" s="247">
        <f>B26*'GWP N2O_CH4'!B5</f>
        <v>3818.1671238402855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48.795118139778346</v>
      </c>
      <c r="C27" s="247">
        <f>B27*'GWP N2O_CH4'!B5</f>
        <v>1024.6974809353453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2.4382800463167933</v>
      </c>
      <c r="C28" s="247">
        <f>B28*'GWP N2O_CH4'!B4</f>
        <v>755.86681435820594</v>
      </c>
      <c r="D28" s="50"/>
    </row>
    <row r="29" spans="1:4">
      <c r="A29" s="41" t="s">
        <v>277</v>
      </c>
      <c r="B29" s="247">
        <f>B34*'ha_N2O bodem landbouw'!B4</f>
        <v>13.656620885476887</v>
      </c>
      <c r="C29" s="247">
        <f>B29*'GWP N2O_CH4'!B4</f>
        <v>4233.5524744978347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3.0629394716837704E-3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3.2749145597276519E-5</v>
      </c>
      <c r="C5" s="464" t="s">
        <v>211</v>
      </c>
      <c r="D5" s="449">
        <f>SUM(D6:D11)</f>
        <v>8.8407772149020933E-5</v>
      </c>
      <c r="E5" s="449">
        <f>SUM(E6:E11)</f>
        <v>5.6103888891755678E-4</v>
      </c>
      <c r="F5" s="462" t="s">
        <v>211</v>
      </c>
      <c r="G5" s="449">
        <f>SUM(G6:G11)</f>
        <v>0.15731275877483095</v>
      </c>
      <c r="H5" s="449">
        <f>SUM(H6:H11)</f>
        <v>3.3357096488035184E-2</v>
      </c>
      <c r="I5" s="464" t="s">
        <v>211</v>
      </c>
      <c r="J5" s="464" t="s">
        <v>211</v>
      </c>
      <c r="K5" s="464" t="s">
        <v>211</v>
      </c>
      <c r="L5" s="464" t="s">
        <v>211</v>
      </c>
      <c r="M5" s="449">
        <f>SUM(M6:M11)</f>
        <v>1.0126688254731859E-2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2.5631799841314236E-5</v>
      </c>
      <c r="C6" s="450"/>
      <c r="D6" s="893">
        <f>vkm_2011_GW_PW*SUMIFS(TableVerdeelsleutelVkm[CNG],TableVerdeelsleutelVkm[Voertuigtype],"Lichte voertuigen")*SUMIFS(TableECFTransport[EnergieConsumptieFactor (PJ per km)],TableECFTransport[Index],CONCATENATE($A6,"_CNG_CNG"))</f>
        <v>5.9289174977224192E-5</v>
      </c>
      <c r="E6" s="893">
        <f>vkm_2011_GW_PW*SUMIFS(TableVerdeelsleutelVkm[LPG],TableVerdeelsleutelVkm[Voertuigtype],"Lichte voertuigen")*SUMIFS(TableECFTransport[EnergieConsumptieFactor (PJ per km)],TableECFTransport[Index],CONCATENATE($A6,"_LPG_LPG"))</f>
        <v>3.8605530372180232E-4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8.0200133206866669E-2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2.2606760165744779E-2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5.335144822114374E-3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3.9934437648714044E-2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1.3656852432689015E-5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2.3104335766431592E-3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7.1173457559622799E-6</v>
      </c>
      <c r="C8" s="450"/>
      <c r="D8" s="452">
        <f>vkm_2011_NGW_PW*SUMIFS(TableVerdeelsleutelVkm[CNG],TableVerdeelsleutelVkm[Voertuigtype],"Lichte voertuigen")*SUMIFS(TableECFTransport[EnergieConsumptieFactor (PJ per km)],TableECFTransport[Index],CONCATENATE($A8,"_CNG_CNG"))</f>
        <v>2.9118597171796741E-5</v>
      </c>
      <c r="E8" s="452">
        <f>vkm_2011_NGW_PW*SUMIFS(TableVerdeelsleutelVkm[LPG],TableVerdeelsleutelVkm[Voertuigtype],"Lichte voertuigen")*SUMIFS(TableECFTransport[EnergieConsumptieFactor (PJ per km)],TableECFTransport[Index],CONCATENATE($A8,"_LPG_LPG"))</f>
        <v>1.7498358519575443E-4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3.3981555182838206E-2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1.0735645076740779E-2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2.2961683429290219E-3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3.1966327364120117E-3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1.0343931169360002E-6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1.8494151304530252E-4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9.0969848881323667</v>
      </c>
      <c r="C14" s="21"/>
      <c r="D14" s="21">
        <f t="shared" ref="D14:M14" si="0">((D5)*10^9/3600)+D12</f>
        <v>24.557714485839149</v>
      </c>
      <c r="E14" s="21">
        <f t="shared" si="0"/>
        <v>155.84413581043242</v>
      </c>
      <c r="F14" s="21"/>
      <c r="G14" s="21">
        <f t="shared" si="0"/>
        <v>43697.98854856415</v>
      </c>
      <c r="H14" s="21">
        <f t="shared" si="0"/>
        <v>9265.8601355653282</v>
      </c>
      <c r="I14" s="21"/>
      <c r="J14" s="21"/>
      <c r="K14" s="21"/>
      <c r="L14" s="21"/>
      <c r="M14" s="21">
        <f t="shared" si="0"/>
        <v>2812.9689596477383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0.20117608040647889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1.8300957633114403</v>
      </c>
      <c r="C18" s="23"/>
      <c r="D18" s="23">
        <f t="shared" ref="D18:M18" si="1">D14*D16</f>
        <v>4.9606583261395087</v>
      </c>
      <c r="E18" s="23">
        <f t="shared" si="1"/>
        <v>35.376618828968162</v>
      </c>
      <c r="F18" s="23"/>
      <c r="G18" s="23">
        <f t="shared" si="1"/>
        <v>11667.362942466629</v>
      </c>
      <c r="H18" s="23">
        <f t="shared" si="1"/>
        <v>2307.1991737557669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2.6294651348610287E-3</v>
      </c>
      <c r="H50" s="321">
        <f t="shared" si="2"/>
        <v>0</v>
      </c>
      <c r="I50" s="321">
        <f t="shared" si="2"/>
        <v>0</v>
      </c>
      <c r="J50" s="321">
        <f t="shared" si="2"/>
        <v>0</v>
      </c>
      <c r="K50" s="321">
        <f t="shared" si="2"/>
        <v>0</v>
      </c>
      <c r="L50" s="321">
        <f t="shared" si="2"/>
        <v>0</v>
      </c>
      <c r="M50" s="321">
        <f t="shared" si="2"/>
        <v>1.4995073133617851E-4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2.6294651348610287E-3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1.4995073133617851E-4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730.40698190584135</v>
      </c>
      <c r="H54" s="21">
        <f t="shared" si="3"/>
        <v>0</v>
      </c>
      <c r="I54" s="21">
        <f t="shared" si="3"/>
        <v>0</v>
      </c>
      <c r="J54" s="21">
        <f t="shared" si="3"/>
        <v>0</v>
      </c>
      <c r="K54" s="21">
        <f t="shared" si="3"/>
        <v>0</v>
      </c>
      <c r="L54" s="21">
        <f t="shared" si="3"/>
        <v>0</v>
      </c>
      <c r="M54" s="21">
        <f t="shared" si="3"/>
        <v>41.652980926716253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0.20117608040647889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195.01866416885966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7111.2337500000003</v>
      </c>
      <c r="D10" s="1025">
        <f ca="1">tertiair!C16</f>
        <v>0</v>
      </c>
      <c r="E10" s="1025">
        <f ca="1">tertiair!D16</f>
        <v>3519.7942260616514</v>
      </c>
      <c r="F10" s="1025">
        <f>tertiair!E16</f>
        <v>70.812207349541296</v>
      </c>
      <c r="G10" s="1025">
        <f ca="1">tertiair!F16</f>
        <v>1020.71709461512</v>
      </c>
      <c r="H10" s="1025">
        <f>tertiair!G16</f>
        <v>0</v>
      </c>
      <c r="I10" s="1025">
        <f>tertiair!H16</f>
        <v>0</v>
      </c>
      <c r="J10" s="1025">
        <f>tertiair!I16</f>
        <v>0</v>
      </c>
      <c r="K10" s="1025">
        <f>tertiair!J16</f>
        <v>0</v>
      </c>
      <c r="L10" s="1025">
        <f>tertiair!K16</f>
        <v>0</v>
      </c>
      <c r="M10" s="1025">
        <f ca="1">tertiair!L16</f>
        <v>0</v>
      </c>
      <c r="N10" s="1025">
        <f>tertiair!M16</f>
        <v>0</v>
      </c>
      <c r="O10" s="1025">
        <f ca="1">tertiair!N16</f>
        <v>335.77193762081981</v>
      </c>
      <c r="P10" s="1025">
        <f>tertiair!O16</f>
        <v>9.3800000000000008</v>
      </c>
      <c r="Q10" s="1026">
        <f>tertiair!P16</f>
        <v>0</v>
      </c>
      <c r="R10" s="701">
        <f ca="1">SUM(C10:Q10)</f>
        <v>12067.709215647134</v>
      </c>
      <c r="S10" s="67"/>
    </row>
    <row r="11" spans="1:19" s="474" customFormat="1">
      <c r="A11" s="810" t="s">
        <v>225</v>
      </c>
      <c r="B11" s="815"/>
      <c r="C11" s="1025">
        <f>huishoudens!B8</f>
        <v>16420.527820953655</v>
      </c>
      <c r="D11" s="1025">
        <f>huishoudens!C8</f>
        <v>0</v>
      </c>
      <c r="E11" s="1025">
        <f>huishoudens!D8</f>
        <v>13387.943528054973</v>
      </c>
      <c r="F11" s="1025">
        <f>huishoudens!E8</f>
        <v>2557.37292143373</v>
      </c>
      <c r="G11" s="1025">
        <f>huishoudens!F8</f>
        <v>27142.137408694904</v>
      </c>
      <c r="H11" s="1025">
        <f>huishoudens!G8</f>
        <v>0</v>
      </c>
      <c r="I11" s="1025">
        <f>huishoudens!H8</f>
        <v>0</v>
      </c>
      <c r="J11" s="1025">
        <f>huishoudens!I8</f>
        <v>0</v>
      </c>
      <c r="K11" s="1025">
        <f>huishoudens!J8</f>
        <v>5852.9908323867076</v>
      </c>
      <c r="L11" s="1025">
        <f>huishoudens!K8</f>
        <v>0</v>
      </c>
      <c r="M11" s="1025">
        <f>huishoudens!L8</f>
        <v>0</v>
      </c>
      <c r="N11" s="1025">
        <f>huishoudens!M8</f>
        <v>0</v>
      </c>
      <c r="O11" s="1025">
        <f>huishoudens!N8</f>
        <v>7321.2089566671866</v>
      </c>
      <c r="P11" s="1025">
        <f>huishoudens!O8</f>
        <v>151.64333333333335</v>
      </c>
      <c r="Q11" s="1026">
        <f>huishoudens!P8</f>
        <v>629.20000000000005</v>
      </c>
      <c r="R11" s="701">
        <f>SUM(C11:Q11)</f>
        <v>73463.024801524472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1290.2286300000001</v>
      </c>
      <c r="D13" s="1025">
        <f>industrie!C18</f>
        <v>0</v>
      </c>
      <c r="E13" s="1025">
        <f>industrie!D18</f>
        <v>325.07706531293644</v>
      </c>
      <c r="F13" s="1025">
        <f>industrie!E18</f>
        <v>156.50254705139625</v>
      </c>
      <c r="G13" s="1025">
        <f>industrie!F18</f>
        <v>666.45361967110171</v>
      </c>
      <c r="H13" s="1025">
        <f>industrie!G18</f>
        <v>0</v>
      </c>
      <c r="I13" s="1025">
        <f>industrie!H18</f>
        <v>0</v>
      </c>
      <c r="J13" s="1025">
        <f>industrie!I18</f>
        <v>0</v>
      </c>
      <c r="K13" s="1025">
        <f>industrie!J18</f>
        <v>5.1841829829582071</v>
      </c>
      <c r="L13" s="1025">
        <f>industrie!K18</f>
        <v>0</v>
      </c>
      <c r="M13" s="1025">
        <f>industrie!L18</f>
        <v>0</v>
      </c>
      <c r="N13" s="1025">
        <f>industrie!M18</f>
        <v>0</v>
      </c>
      <c r="O13" s="1025">
        <f>industrie!N18</f>
        <v>333.57125337805928</v>
      </c>
      <c r="P13" s="1025">
        <f>industrie!O18</f>
        <v>0</v>
      </c>
      <c r="Q13" s="1026">
        <f>industrie!P18</f>
        <v>0</v>
      </c>
      <c r="R13" s="701">
        <f>SUM(C13:Q13)</f>
        <v>2777.0172983964517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24821.990200953656</v>
      </c>
      <c r="D16" s="733">
        <f t="shared" ref="D16:R16" ca="1" si="0">SUM(D9:D15)</f>
        <v>0</v>
      </c>
      <c r="E16" s="733">
        <f t="shared" ca="1" si="0"/>
        <v>17232.814819429561</v>
      </c>
      <c r="F16" s="733">
        <f t="shared" si="0"/>
        <v>2784.6876758346675</v>
      </c>
      <c r="G16" s="733">
        <f t="shared" ca="1" si="0"/>
        <v>28829.308122981125</v>
      </c>
      <c r="H16" s="733">
        <f t="shared" si="0"/>
        <v>0</v>
      </c>
      <c r="I16" s="733">
        <f t="shared" si="0"/>
        <v>0</v>
      </c>
      <c r="J16" s="733">
        <f t="shared" si="0"/>
        <v>0</v>
      </c>
      <c r="K16" s="733">
        <f t="shared" si="0"/>
        <v>5858.1750153696657</v>
      </c>
      <c r="L16" s="733">
        <f t="shared" si="0"/>
        <v>0</v>
      </c>
      <c r="M16" s="733">
        <f t="shared" ca="1" si="0"/>
        <v>0</v>
      </c>
      <c r="N16" s="733">
        <f t="shared" si="0"/>
        <v>0</v>
      </c>
      <c r="O16" s="733">
        <f t="shared" ca="1" si="0"/>
        <v>7990.5521476660651</v>
      </c>
      <c r="P16" s="733">
        <f t="shared" si="0"/>
        <v>161.02333333333334</v>
      </c>
      <c r="Q16" s="733">
        <f t="shared" si="0"/>
        <v>629.20000000000005</v>
      </c>
      <c r="R16" s="733">
        <f t="shared" ca="1" si="0"/>
        <v>88307.751315568064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730.40698190584135</v>
      </c>
      <c r="I19" s="1025">
        <f>transport!H54</f>
        <v>0</v>
      </c>
      <c r="J19" s="1025">
        <f>transport!I54</f>
        <v>0</v>
      </c>
      <c r="K19" s="1025">
        <f>transport!J54</f>
        <v>0</v>
      </c>
      <c r="L19" s="1025">
        <f>transport!K54</f>
        <v>0</v>
      </c>
      <c r="M19" s="1025">
        <f>transport!L54</f>
        <v>0</v>
      </c>
      <c r="N19" s="1025">
        <f>transport!M54</f>
        <v>41.652980926716253</v>
      </c>
      <c r="O19" s="1025">
        <f>transport!N54</f>
        <v>0</v>
      </c>
      <c r="P19" s="1025">
        <f>transport!O54</f>
        <v>0</v>
      </c>
      <c r="Q19" s="1026">
        <f>transport!P54</f>
        <v>0</v>
      </c>
      <c r="R19" s="701">
        <f>SUM(C19:Q19)</f>
        <v>772.05996283255763</v>
      </c>
      <c r="S19" s="67"/>
    </row>
    <row r="20" spans="1:19" s="474" customFormat="1">
      <c r="A20" s="810" t="s">
        <v>307</v>
      </c>
      <c r="B20" s="815"/>
      <c r="C20" s="1025">
        <f>transport!B14</f>
        <v>9.0969848881323667</v>
      </c>
      <c r="D20" s="1025">
        <f>transport!C14</f>
        <v>0</v>
      </c>
      <c r="E20" s="1025">
        <f>transport!D14</f>
        <v>24.557714485839149</v>
      </c>
      <c r="F20" s="1025">
        <f>transport!E14</f>
        <v>155.84413581043242</v>
      </c>
      <c r="G20" s="1025">
        <f>transport!F14</f>
        <v>0</v>
      </c>
      <c r="H20" s="1025">
        <f>transport!G14</f>
        <v>43697.98854856415</v>
      </c>
      <c r="I20" s="1025">
        <f>transport!H14</f>
        <v>9265.8601355653282</v>
      </c>
      <c r="J20" s="1025">
        <f>transport!I14</f>
        <v>0</v>
      </c>
      <c r="K20" s="1025">
        <f>transport!J14</f>
        <v>0</v>
      </c>
      <c r="L20" s="1025">
        <f>transport!K14</f>
        <v>0</v>
      </c>
      <c r="M20" s="1025">
        <f>transport!L14</f>
        <v>0</v>
      </c>
      <c r="N20" s="1025">
        <f>transport!M14</f>
        <v>2812.9689596477383</v>
      </c>
      <c r="O20" s="1025">
        <f>transport!N14</f>
        <v>0</v>
      </c>
      <c r="P20" s="1025">
        <f>transport!O14</f>
        <v>0</v>
      </c>
      <c r="Q20" s="1026">
        <f>transport!P14</f>
        <v>0</v>
      </c>
      <c r="R20" s="701">
        <f>SUM(C20:Q20)</f>
        <v>55966.31647896162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9.0969848881323667</v>
      </c>
      <c r="D22" s="813">
        <f t="shared" ref="D22:R22" si="1">SUM(D18:D21)</f>
        <v>0</v>
      </c>
      <c r="E22" s="813">
        <f t="shared" si="1"/>
        <v>24.557714485839149</v>
      </c>
      <c r="F22" s="813">
        <f t="shared" si="1"/>
        <v>155.84413581043242</v>
      </c>
      <c r="G22" s="813">
        <f t="shared" si="1"/>
        <v>0</v>
      </c>
      <c r="H22" s="813">
        <f t="shared" si="1"/>
        <v>44428.395530469992</v>
      </c>
      <c r="I22" s="813">
        <f t="shared" si="1"/>
        <v>9265.8601355653282</v>
      </c>
      <c r="J22" s="813">
        <f t="shared" si="1"/>
        <v>0</v>
      </c>
      <c r="K22" s="813">
        <f t="shared" si="1"/>
        <v>0</v>
      </c>
      <c r="L22" s="813">
        <f t="shared" si="1"/>
        <v>0</v>
      </c>
      <c r="M22" s="813">
        <f t="shared" si="1"/>
        <v>0</v>
      </c>
      <c r="N22" s="813">
        <f t="shared" si="1"/>
        <v>2854.6219405744546</v>
      </c>
      <c r="O22" s="813">
        <f t="shared" si="1"/>
        <v>0</v>
      </c>
      <c r="P22" s="813">
        <f t="shared" si="1"/>
        <v>0</v>
      </c>
      <c r="Q22" s="813">
        <f t="shared" si="1"/>
        <v>0</v>
      </c>
      <c r="R22" s="813">
        <f t="shared" si="1"/>
        <v>56738.376441794178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1012.5232000000001</v>
      </c>
      <c r="D24" s="1025">
        <f>+landbouw!C8</f>
        <v>0</v>
      </c>
      <c r="E24" s="1025">
        <f>+landbouw!D8</f>
        <v>189.70814248042089</v>
      </c>
      <c r="F24" s="1025">
        <f>+landbouw!E8</f>
        <v>9.3784139620987492</v>
      </c>
      <c r="G24" s="1025">
        <f>+landbouw!F8</f>
        <v>2568.9642438716573</v>
      </c>
      <c r="H24" s="1025">
        <f>+landbouw!G8</f>
        <v>0</v>
      </c>
      <c r="I24" s="1025">
        <f>+landbouw!H8</f>
        <v>0</v>
      </c>
      <c r="J24" s="1025">
        <f>+landbouw!I8</f>
        <v>0</v>
      </c>
      <c r="K24" s="1025">
        <f>+landbouw!J8</f>
        <v>155.23110635189153</v>
      </c>
      <c r="L24" s="1025">
        <f>+landbouw!K8</f>
        <v>0</v>
      </c>
      <c r="M24" s="1025">
        <f>+landbouw!L8</f>
        <v>0</v>
      </c>
      <c r="N24" s="1025">
        <f>+landbouw!M8</f>
        <v>0</v>
      </c>
      <c r="O24" s="1025">
        <f>+landbouw!N8</f>
        <v>0</v>
      </c>
      <c r="P24" s="1025">
        <f>+landbouw!O8</f>
        <v>0</v>
      </c>
      <c r="Q24" s="1026">
        <f>+landbouw!P8</f>
        <v>0</v>
      </c>
      <c r="R24" s="701">
        <f>SUM(C24:Q24)</f>
        <v>3935.8051066660687</v>
      </c>
      <c r="S24" s="67"/>
    </row>
    <row r="25" spans="1:19" s="474" customFormat="1" ht="15" thickBot="1">
      <c r="A25" s="832" t="s">
        <v>864</v>
      </c>
      <c r="B25" s="1028"/>
      <c r="C25" s="1029">
        <f>IF(Onbekend_ele_kWh="---",0,Onbekend_ele_kWh)/1000+IF(REST_rest_ele_kWh="---",0,REST_rest_ele_kWh)/1000</f>
        <v>486.8759</v>
      </c>
      <c r="D25" s="1029"/>
      <c r="E25" s="1029">
        <f>IF(onbekend_gas_kWh="---",0,onbekend_gas_kWh)/1000+IF(REST_rest_gas_kWh="---",0,REST_rest_gas_kWh)/1000</f>
        <v>330.13328207261804</v>
      </c>
      <c r="F25" s="1029"/>
      <c r="G25" s="1029"/>
      <c r="H25" s="1029"/>
      <c r="I25" s="1029"/>
      <c r="J25" s="1029"/>
      <c r="K25" s="1029"/>
      <c r="L25" s="1029"/>
      <c r="M25" s="1029"/>
      <c r="N25" s="1029"/>
      <c r="O25" s="1029"/>
      <c r="P25" s="1029"/>
      <c r="Q25" s="1030"/>
      <c r="R25" s="701">
        <f>SUM(C25:Q25)</f>
        <v>817.00918207261805</v>
      </c>
      <c r="S25" s="67"/>
    </row>
    <row r="26" spans="1:19" s="474" customFormat="1" ht="15.75" thickBot="1">
      <c r="A26" s="706" t="s">
        <v>865</v>
      </c>
      <c r="B26" s="818"/>
      <c r="C26" s="813">
        <f>SUM(C24:C25)</f>
        <v>1499.3991000000001</v>
      </c>
      <c r="D26" s="813">
        <f t="shared" ref="D26:R26" si="2">SUM(D24:D25)</f>
        <v>0</v>
      </c>
      <c r="E26" s="813">
        <f t="shared" si="2"/>
        <v>519.84142455303891</v>
      </c>
      <c r="F26" s="813">
        <f t="shared" si="2"/>
        <v>9.3784139620987492</v>
      </c>
      <c r="G26" s="813">
        <f t="shared" si="2"/>
        <v>2568.9642438716573</v>
      </c>
      <c r="H26" s="813">
        <f t="shared" si="2"/>
        <v>0</v>
      </c>
      <c r="I26" s="813">
        <f t="shared" si="2"/>
        <v>0</v>
      </c>
      <c r="J26" s="813">
        <f t="shared" si="2"/>
        <v>0</v>
      </c>
      <c r="K26" s="813">
        <f t="shared" si="2"/>
        <v>155.23110635189153</v>
      </c>
      <c r="L26" s="813">
        <f t="shared" si="2"/>
        <v>0</v>
      </c>
      <c r="M26" s="813">
        <f t="shared" si="2"/>
        <v>0</v>
      </c>
      <c r="N26" s="813">
        <f t="shared" si="2"/>
        <v>0</v>
      </c>
      <c r="O26" s="813">
        <f t="shared" si="2"/>
        <v>0</v>
      </c>
      <c r="P26" s="813">
        <f t="shared" si="2"/>
        <v>0</v>
      </c>
      <c r="Q26" s="813">
        <f t="shared" si="2"/>
        <v>0</v>
      </c>
      <c r="R26" s="813">
        <f t="shared" si="2"/>
        <v>4752.8142887386866</v>
      </c>
      <c r="S26" s="67"/>
    </row>
    <row r="27" spans="1:19" s="474" customFormat="1" ht="17.25" thickTop="1" thickBot="1">
      <c r="A27" s="707" t="s">
        <v>116</v>
      </c>
      <c r="B27" s="806"/>
      <c r="C27" s="708">
        <f ca="1">C22+C16+C26</f>
        <v>26330.486285841787</v>
      </c>
      <c r="D27" s="708">
        <f t="shared" ref="D27:R27" ca="1" si="3">D22+D16+D26</f>
        <v>0</v>
      </c>
      <c r="E27" s="708">
        <f t="shared" ca="1" si="3"/>
        <v>17777.213958468441</v>
      </c>
      <c r="F27" s="708">
        <f t="shared" si="3"/>
        <v>2949.9102256071988</v>
      </c>
      <c r="G27" s="708">
        <f t="shared" ca="1" si="3"/>
        <v>31398.272366852783</v>
      </c>
      <c r="H27" s="708">
        <f t="shared" si="3"/>
        <v>44428.395530469992</v>
      </c>
      <c r="I27" s="708">
        <f t="shared" si="3"/>
        <v>9265.8601355653282</v>
      </c>
      <c r="J27" s="708">
        <f t="shared" si="3"/>
        <v>0</v>
      </c>
      <c r="K27" s="708">
        <f t="shared" si="3"/>
        <v>6013.4061217215576</v>
      </c>
      <c r="L27" s="708">
        <f t="shared" si="3"/>
        <v>0</v>
      </c>
      <c r="M27" s="708">
        <f t="shared" ca="1" si="3"/>
        <v>0</v>
      </c>
      <c r="N27" s="708">
        <f t="shared" si="3"/>
        <v>2854.6219405744546</v>
      </c>
      <c r="O27" s="708">
        <f t="shared" ca="1" si="3"/>
        <v>7990.5521476660651</v>
      </c>
      <c r="P27" s="708">
        <f t="shared" si="3"/>
        <v>161.02333333333334</v>
      </c>
      <c r="Q27" s="708">
        <f t="shared" si="3"/>
        <v>629.20000000000005</v>
      </c>
      <c r="R27" s="708">
        <f t="shared" ca="1" si="3"/>
        <v>149798.94204610091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1430.6101326792664</v>
      </c>
      <c r="D40" s="1025">
        <f ca="1">tertiair!C20</f>
        <v>0</v>
      </c>
      <c r="E40" s="1025">
        <f ca="1">tertiair!D20</f>
        <v>710.99843366445361</v>
      </c>
      <c r="F40" s="1025">
        <f>tertiair!E20</f>
        <v>16.074371068345876</v>
      </c>
      <c r="G40" s="1025">
        <f ca="1">tertiair!F20</f>
        <v>272.53146426223708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2430.2144016743027</v>
      </c>
    </row>
    <row r="41" spans="1:18">
      <c r="A41" s="823" t="s">
        <v>225</v>
      </c>
      <c r="B41" s="830"/>
      <c r="C41" s="1025">
        <f ca="1">huishoudens!B12</f>
        <v>3303.4174252249959</v>
      </c>
      <c r="D41" s="1025">
        <f ca="1">huishoudens!C12</f>
        <v>0</v>
      </c>
      <c r="E41" s="1025">
        <f>huishoudens!D12</f>
        <v>2704.3645926671047</v>
      </c>
      <c r="F41" s="1025">
        <f>huishoudens!E12</f>
        <v>580.52365316545672</v>
      </c>
      <c r="G41" s="1025">
        <f>huishoudens!F12</f>
        <v>7246.9506881215393</v>
      </c>
      <c r="H41" s="1025">
        <f>huishoudens!G12</f>
        <v>0</v>
      </c>
      <c r="I41" s="1025">
        <f>huishoudens!H12</f>
        <v>0</v>
      </c>
      <c r="J41" s="1025">
        <f>huishoudens!I12</f>
        <v>0</v>
      </c>
      <c r="K41" s="1025">
        <f>huishoudens!J12</f>
        <v>2071.9587546648945</v>
      </c>
      <c r="L41" s="1025">
        <f>huishoudens!K12</f>
        <v>0</v>
      </c>
      <c r="M41" s="1025">
        <f>huishoudens!L12</f>
        <v>0</v>
      </c>
      <c r="N41" s="1025">
        <f>huishoudens!M12</f>
        <v>0</v>
      </c>
      <c r="O41" s="1025">
        <f>huishoudens!N12</f>
        <v>0</v>
      </c>
      <c r="P41" s="1025">
        <f>huishoudens!O12</f>
        <v>0</v>
      </c>
      <c r="Q41" s="775">
        <f>huishoudens!P12</f>
        <v>0</v>
      </c>
      <c r="R41" s="851">
        <f t="shared" ca="1" si="4"/>
        <v>15907.215113843991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259.56313861162113</v>
      </c>
      <c r="D43" s="1025">
        <f ca="1">industrie!C22</f>
        <v>0</v>
      </c>
      <c r="E43" s="1025">
        <f>industrie!D22</f>
        <v>65.665567193213164</v>
      </c>
      <c r="F43" s="1025">
        <f>industrie!E22</f>
        <v>35.52607818066695</v>
      </c>
      <c r="G43" s="1025">
        <f>industrie!F22</f>
        <v>177.94311645218417</v>
      </c>
      <c r="H43" s="1025">
        <f>industrie!G22</f>
        <v>0</v>
      </c>
      <c r="I43" s="1025">
        <f>industrie!H22</f>
        <v>0</v>
      </c>
      <c r="J43" s="1025">
        <f>industrie!I22</f>
        <v>0</v>
      </c>
      <c r="K43" s="1025">
        <f>industrie!J22</f>
        <v>1.8352007759672053</v>
      </c>
      <c r="L43" s="1025">
        <f>industrie!K22</f>
        <v>0</v>
      </c>
      <c r="M43" s="1025">
        <f>industrie!L22</f>
        <v>0</v>
      </c>
      <c r="N43" s="1025">
        <f>industrie!M22</f>
        <v>0</v>
      </c>
      <c r="O43" s="1025">
        <f>industrie!N22</f>
        <v>0</v>
      </c>
      <c r="P43" s="1025">
        <f>industrie!O22</f>
        <v>0</v>
      </c>
      <c r="Q43" s="775">
        <f>industrie!P22</f>
        <v>0</v>
      </c>
      <c r="R43" s="850">
        <f t="shared" ca="1" si="4"/>
        <v>540.53310121365269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4993.5906965158838</v>
      </c>
      <c r="D46" s="733">
        <f t="shared" ref="D46:Q46" ca="1" si="5">SUM(D39:D45)</f>
        <v>0</v>
      </c>
      <c r="E46" s="733">
        <f t="shared" ca="1" si="5"/>
        <v>3481.0285935247712</v>
      </c>
      <c r="F46" s="733">
        <f t="shared" si="5"/>
        <v>632.12410241446946</v>
      </c>
      <c r="G46" s="733">
        <f t="shared" ca="1" si="5"/>
        <v>7697.4252688359602</v>
      </c>
      <c r="H46" s="733">
        <f t="shared" si="5"/>
        <v>0</v>
      </c>
      <c r="I46" s="733">
        <f t="shared" si="5"/>
        <v>0</v>
      </c>
      <c r="J46" s="733">
        <f t="shared" si="5"/>
        <v>0</v>
      </c>
      <c r="K46" s="733">
        <f t="shared" si="5"/>
        <v>2073.7939554408617</v>
      </c>
      <c r="L46" s="733">
        <f t="shared" si="5"/>
        <v>0</v>
      </c>
      <c r="M46" s="733">
        <f t="shared" ca="1" si="5"/>
        <v>0</v>
      </c>
      <c r="N46" s="733">
        <f t="shared" si="5"/>
        <v>0</v>
      </c>
      <c r="O46" s="733">
        <f t="shared" ca="1" si="5"/>
        <v>0</v>
      </c>
      <c r="P46" s="733">
        <f t="shared" si="5"/>
        <v>0</v>
      </c>
      <c r="Q46" s="733">
        <f t="shared" si="5"/>
        <v>0</v>
      </c>
      <c r="R46" s="733">
        <f ca="1">SUM(R39:R45)</f>
        <v>18877.962616731947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195.01866416885966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195.01866416885966</v>
      </c>
    </row>
    <row r="50" spans="1:18">
      <c r="A50" s="826" t="s">
        <v>307</v>
      </c>
      <c r="B50" s="836"/>
      <c r="C50" s="704">
        <f ca="1">transport!B18</f>
        <v>1.8300957633114403</v>
      </c>
      <c r="D50" s="704">
        <f>transport!C18</f>
        <v>0</v>
      </c>
      <c r="E50" s="704">
        <f>transport!D18</f>
        <v>4.9606583261395087</v>
      </c>
      <c r="F50" s="704">
        <f>transport!E18</f>
        <v>35.376618828968162</v>
      </c>
      <c r="G50" s="704">
        <f>transport!F18</f>
        <v>0</v>
      </c>
      <c r="H50" s="704">
        <f>transport!G18</f>
        <v>11667.362942466629</v>
      </c>
      <c r="I50" s="704">
        <f>transport!H18</f>
        <v>2307.1991737557669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14016.729489140815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1.8300957633114403</v>
      </c>
      <c r="D52" s="733">
        <f t="shared" ref="D52:Q52" ca="1" si="6">SUM(D48:D51)</f>
        <v>0</v>
      </c>
      <c r="E52" s="733">
        <f t="shared" si="6"/>
        <v>4.9606583261395087</v>
      </c>
      <c r="F52" s="733">
        <f t="shared" si="6"/>
        <v>35.376618828968162</v>
      </c>
      <c r="G52" s="733">
        <f t="shared" si="6"/>
        <v>0</v>
      </c>
      <c r="H52" s="733">
        <f t="shared" si="6"/>
        <v>11862.381606635488</v>
      </c>
      <c r="I52" s="733">
        <f t="shared" si="6"/>
        <v>2307.1991737557669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14211.748153309674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203.69544869662531</v>
      </c>
      <c r="D54" s="704">
        <f ca="1">+landbouw!C12</f>
        <v>0</v>
      </c>
      <c r="E54" s="704">
        <f>+landbouw!D12</f>
        <v>38.321044781045025</v>
      </c>
      <c r="F54" s="704">
        <f>+landbouw!E12</f>
        <v>2.1288999693964161</v>
      </c>
      <c r="G54" s="704">
        <f>+landbouw!F12</f>
        <v>685.91345311373254</v>
      </c>
      <c r="H54" s="704">
        <f>+landbouw!G12</f>
        <v>0</v>
      </c>
      <c r="I54" s="704">
        <f>+landbouw!H12</f>
        <v>0</v>
      </c>
      <c r="J54" s="704">
        <f>+landbouw!I12</f>
        <v>0</v>
      </c>
      <c r="K54" s="704">
        <f>+landbouw!J12</f>
        <v>54.951811648569596</v>
      </c>
      <c r="L54" s="704">
        <f>+landbouw!K12</f>
        <v>0</v>
      </c>
      <c r="M54" s="704">
        <f>+landbouw!L12</f>
        <v>0</v>
      </c>
      <c r="N54" s="704">
        <f>+landbouw!M12</f>
        <v>0</v>
      </c>
      <c r="O54" s="704">
        <f>+landbouw!N12</f>
        <v>0</v>
      </c>
      <c r="P54" s="704">
        <f>+landbouw!O12</f>
        <v>0</v>
      </c>
      <c r="Q54" s="705">
        <f>+landbouw!P12</f>
        <v>0</v>
      </c>
      <c r="R54" s="732">
        <f ca="1">SUM(C54:Q54)</f>
        <v>985.0106582093689</v>
      </c>
    </row>
    <row r="55" spans="1:18" ht="15" thickBot="1">
      <c r="A55" s="826" t="s">
        <v>864</v>
      </c>
      <c r="B55" s="836"/>
      <c r="C55" s="704">
        <f ca="1">C25*'EF ele_warmte'!B12</f>
        <v>97.947785206376778</v>
      </c>
      <c r="D55" s="704"/>
      <c r="E55" s="704">
        <f>E25*EF_CO2_aardgas</f>
        <v>66.686922978668846</v>
      </c>
      <c r="F55" s="704"/>
      <c r="G55" s="704"/>
      <c r="H55" s="704"/>
      <c r="I55" s="704"/>
      <c r="J55" s="704"/>
      <c r="K55" s="704"/>
      <c r="L55" s="704"/>
      <c r="M55" s="704"/>
      <c r="N55" s="704"/>
      <c r="O55" s="704"/>
      <c r="P55" s="704"/>
      <c r="Q55" s="705"/>
      <c r="R55" s="732">
        <f ca="1">SUM(C55:Q55)</f>
        <v>164.63470818504561</v>
      </c>
    </row>
    <row r="56" spans="1:18" ht="15.75" thickBot="1">
      <c r="A56" s="824" t="s">
        <v>865</v>
      </c>
      <c r="B56" s="837"/>
      <c r="C56" s="733">
        <f ca="1">SUM(C54:C55)</f>
        <v>301.64323390300206</v>
      </c>
      <c r="D56" s="733">
        <f t="shared" ref="D56:Q56" ca="1" si="7">SUM(D54:D55)</f>
        <v>0</v>
      </c>
      <c r="E56" s="733">
        <f t="shared" si="7"/>
        <v>105.00796775971386</v>
      </c>
      <c r="F56" s="733">
        <f t="shared" si="7"/>
        <v>2.1288999693964161</v>
      </c>
      <c r="G56" s="733">
        <f t="shared" si="7"/>
        <v>685.91345311373254</v>
      </c>
      <c r="H56" s="733">
        <f t="shared" si="7"/>
        <v>0</v>
      </c>
      <c r="I56" s="733">
        <f t="shared" si="7"/>
        <v>0</v>
      </c>
      <c r="J56" s="733">
        <f t="shared" si="7"/>
        <v>0</v>
      </c>
      <c r="K56" s="733">
        <f t="shared" si="7"/>
        <v>54.951811648569596</v>
      </c>
      <c r="L56" s="733">
        <f t="shared" si="7"/>
        <v>0</v>
      </c>
      <c r="M56" s="733">
        <f t="shared" si="7"/>
        <v>0</v>
      </c>
      <c r="N56" s="733">
        <f t="shared" si="7"/>
        <v>0</v>
      </c>
      <c r="O56" s="733">
        <f t="shared" si="7"/>
        <v>0</v>
      </c>
      <c r="P56" s="733">
        <f t="shared" si="7"/>
        <v>0</v>
      </c>
      <c r="Q56" s="734">
        <f t="shared" si="7"/>
        <v>0</v>
      </c>
      <c r="R56" s="735">
        <f ca="1">SUM(R54:R55)</f>
        <v>1149.6453663944144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5297.0640261821973</v>
      </c>
      <c r="D61" s="741">
        <f t="shared" ref="D61:Q61" ca="1" si="8">D46+D52+D56</f>
        <v>0</v>
      </c>
      <c r="E61" s="741">
        <f t="shared" ca="1" si="8"/>
        <v>3590.9972196106241</v>
      </c>
      <c r="F61" s="741">
        <f t="shared" si="8"/>
        <v>669.62962121283408</v>
      </c>
      <c r="G61" s="741">
        <f t="shared" ca="1" si="8"/>
        <v>8383.3387219496926</v>
      </c>
      <c r="H61" s="741">
        <f t="shared" si="8"/>
        <v>11862.381606635488</v>
      </c>
      <c r="I61" s="741">
        <f t="shared" si="8"/>
        <v>2307.1991737557669</v>
      </c>
      <c r="J61" s="741">
        <f t="shared" si="8"/>
        <v>0</v>
      </c>
      <c r="K61" s="741">
        <f t="shared" si="8"/>
        <v>2128.7457670894314</v>
      </c>
      <c r="L61" s="741">
        <f t="shared" si="8"/>
        <v>0</v>
      </c>
      <c r="M61" s="741">
        <f t="shared" ca="1" si="8"/>
        <v>0</v>
      </c>
      <c r="N61" s="741">
        <f t="shared" si="8"/>
        <v>0</v>
      </c>
      <c r="O61" s="741">
        <f t="shared" ca="1" si="8"/>
        <v>0</v>
      </c>
      <c r="P61" s="741">
        <f t="shared" si="8"/>
        <v>0</v>
      </c>
      <c r="Q61" s="741">
        <f t="shared" si="8"/>
        <v>0</v>
      </c>
      <c r="R61" s="741">
        <f ca="1">R46+R52+R56</f>
        <v>34239.356136436036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0.20117608040647889</v>
      </c>
      <c r="D63" s="782">
        <f t="shared" ca="1" si="9"/>
        <v>0</v>
      </c>
      <c r="E63" s="1036">
        <f t="shared" ca="1" si="9"/>
        <v>0.20199999999999996</v>
      </c>
      <c r="F63" s="782">
        <f t="shared" si="9"/>
        <v>0.22699999999999998</v>
      </c>
      <c r="G63" s="782">
        <f t="shared" ca="1" si="9"/>
        <v>0.26699999999999996</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19.723766816143499</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2072.1470159387777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270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771.42857142857144</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2361.870782754921</v>
      </c>
      <c r="C78" s="756">
        <f>SUM(C72:C77)</f>
        <v>0</v>
      </c>
      <c r="D78" s="757">
        <f t="shared" ref="D78:H78" si="10">SUM(D76:D77)</f>
        <v>0</v>
      </c>
      <c r="E78" s="757">
        <f t="shared" si="10"/>
        <v>0</v>
      </c>
      <c r="F78" s="757">
        <f t="shared" si="10"/>
        <v>0</v>
      </c>
      <c r="G78" s="757">
        <f t="shared" si="10"/>
        <v>0</v>
      </c>
      <c r="H78" s="757">
        <f t="shared" si="10"/>
        <v>0</v>
      </c>
      <c r="I78" s="757">
        <f>SUM(I76:I77)</f>
        <v>0</v>
      </c>
      <c r="J78" s="757">
        <f>SUM(J76:J77)</f>
        <v>771.42857142857144</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19.723766816143499</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2072.1470159387777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270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2361.870782754921</v>
      </c>
      <c r="C10" s="584">
        <f t="shared" ref="C10:L10" si="0">SUM(C8:C9)</f>
        <v>0</v>
      </c>
      <c r="D10" s="584">
        <f t="shared" si="0"/>
        <v>0</v>
      </c>
      <c r="E10" s="584">
        <f t="shared" si="0"/>
        <v>0</v>
      </c>
      <c r="F10" s="584">
        <f t="shared" si="0"/>
        <v>0</v>
      </c>
      <c r="G10" s="584">
        <f t="shared" si="0"/>
        <v>0</v>
      </c>
      <c r="H10" s="584">
        <f t="shared" si="0"/>
        <v>0</v>
      </c>
      <c r="I10" s="584">
        <f t="shared" si="0"/>
        <v>0</v>
      </c>
      <c r="J10" s="584">
        <f t="shared" si="0"/>
        <v>771.42857142857144</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45065</v>
      </c>
      <c r="C64" s="797">
        <v>9630</v>
      </c>
      <c r="D64" s="656" t="s">
        <v>907</v>
      </c>
      <c r="E64" s="656" t="s">
        <v>908</v>
      </c>
      <c r="F64" s="656" t="s">
        <v>909</v>
      </c>
      <c r="G64" s="656" t="s">
        <v>910</v>
      </c>
      <c r="H64" s="656" t="s">
        <v>911</v>
      </c>
      <c r="I64" s="656" t="s">
        <v>912</v>
      </c>
      <c r="J64" s="796">
        <v>39937</v>
      </c>
      <c r="K64" s="796">
        <v>39937</v>
      </c>
      <c r="L64" s="656" t="s">
        <v>913</v>
      </c>
      <c r="M64" s="656">
        <v>60</v>
      </c>
      <c r="N64" s="656">
        <v>270</v>
      </c>
      <c r="O64" s="656">
        <v>0</v>
      </c>
      <c r="P64" s="656">
        <v>0</v>
      </c>
      <c r="Q64" s="656">
        <v>771.42857142857144</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60</v>
      </c>
      <c r="N89" s="611">
        <f t="shared" ref="N89:W89" si="5">SUM(N64:N88)</f>
        <v>270</v>
      </c>
      <c r="O89" s="611">
        <f t="shared" si="5"/>
        <v>0</v>
      </c>
      <c r="P89" s="611">
        <f t="shared" si="5"/>
        <v>0</v>
      </c>
      <c r="Q89" s="611">
        <f t="shared" si="5"/>
        <v>771.42857142857144</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60</v>
      </c>
      <c r="N91" s="611">
        <f t="shared" si="7"/>
        <v>270</v>
      </c>
      <c r="O91" s="611">
        <f t="shared" si="7"/>
        <v>0</v>
      </c>
      <c r="P91" s="611">
        <f t="shared" si="7"/>
        <v>0</v>
      </c>
      <c r="Q91" s="611">
        <f t="shared" si="7"/>
        <v>771.42857142857144</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16420.527820953655</v>
      </c>
      <c r="C4" s="478">
        <f>huishoudens!C8</f>
        <v>0</v>
      </c>
      <c r="D4" s="478">
        <f>huishoudens!D8</f>
        <v>13387.943528054973</v>
      </c>
      <c r="E4" s="478">
        <f>huishoudens!E8</f>
        <v>2557.37292143373</v>
      </c>
      <c r="F4" s="478">
        <f>huishoudens!F8</f>
        <v>27142.137408694904</v>
      </c>
      <c r="G4" s="478">
        <f>huishoudens!G8</f>
        <v>0</v>
      </c>
      <c r="H4" s="478">
        <f>huishoudens!H8</f>
        <v>0</v>
      </c>
      <c r="I4" s="478">
        <f>huishoudens!I8</f>
        <v>0</v>
      </c>
      <c r="J4" s="478">
        <f>huishoudens!J8</f>
        <v>5852.9908323867076</v>
      </c>
      <c r="K4" s="478">
        <f>huishoudens!K8</f>
        <v>0</v>
      </c>
      <c r="L4" s="478">
        <f>huishoudens!L8</f>
        <v>0</v>
      </c>
      <c r="M4" s="478">
        <f>huishoudens!M8</f>
        <v>0</v>
      </c>
      <c r="N4" s="478">
        <f>huishoudens!N8</f>
        <v>7321.2089566671866</v>
      </c>
      <c r="O4" s="478">
        <f>huishoudens!O8</f>
        <v>151.64333333333335</v>
      </c>
      <c r="P4" s="479">
        <f>huishoudens!P8</f>
        <v>629.20000000000005</v>
      </c>
      <c r="Q4" s="480">
        <f>SUM(B4:P4)</f>
        <v>73463.024801524472</v>
      </c>
    </row>
    <row r="5" spans="1:17">
      <c r="A5" s="477" t="s">
        <v>156</v>
      </c>
      <c r="B5" s="478">
        <f ca="1">tertiair!B16</f>
        <v>6402.2467500000002</v>
      </c>
      <c r="C5" s="478">
        <f ca="1">tertiair!C16</f>
        <v>0</v>
      </c>
      <c r="D5" s="478">
        <f ca="1">tertiair!D16</f>
        <v>3519.7942260616514</v>
      </c>
      <c r="E5" s="478">
        <f>tertiair!E16</f>
        <v>70.812207349541296</v>
      </c>
      <c r="F5" s="478">
        <f ca="1">tertiair!F16</f>
        <v>1020.71709461512</v>
      </c>
      <c r="G5" s="478">
        <f>tertiair!G16</f>
        <v>0</v>
      </c>
      <c r="H5" s="478">
        <f>tertiair!H16</f>
        <v>0</v>
      </c>
      <c r="I5" s="478">
        <f>tertiair!I16</f>
        <v>0</v>
      </c>
      <c r="J5" s="478">
        <f>tertiair!J16</f>
        <v>0</v>
      </c>
      <c r="K5" s="478">
        <f>tertiair!K16</f>
        <v>0</v>
      </c>
      <c r="L5" s="478">
        <f ca="1">tertiair!L16</f>
        <v>0</v>
      </c>
      <c r="M5" s="478">
        <f>tertiair!M16</f>
        <v>0</v>
      </c>
      <c r="N5" s="478">
        <f ca="1">tertiair!N16</f>
        <v>335.77193762081981</v>
      </c>
      <c r="O5" s="478">
        <f>tertiair!O16</f>
        <v>9.3800000000000008</v>
      </c>
      <c r="P5" s="479">
        <f>tertiair!P16</f>
        <v>0</v>
      </c>
      <c r="Q5" s="477">
        <f t="shared" ref="Q5:Q14" ca="1" si="0">SUM(B5:P5)</f>
        <v>11358.722215647133</v>
      </c>
    </row>
    <row r="6" spans="1:17">
      <c r="A6" s="477" t="s">
        <v>194</v>
      </c>
      <c r="B6" s="478">
        <f>'openbare verlichting'!B8</f>
        <v>708.98699999999997</v>
      </c>
      <c r="C6" s="478"/>
      <c r="D6" s="478"/>
      <c r="E6" s="478"/>
      <c r="F6" s="478"/>
      <c r="G6" s="478"/>
      <c r="H6" s="478"/>
      <c r="I6" s="478"/>
      <c r="J6" s="478"/>
      <c r="K6" s="478"/>
      <c r="L6" s="478"/>
      <c r="M6" s="478"/>
      <c r="N6" s="478"/>
      <c r="O6" s="478"/>
      <c r="P6" s="479"/>
      <c r="Q6" s="477">
        <f t="shared" si="0"/>
        <v>708.98699999999997</v>
      </c>
    </row>
    <row r="7" spans="1:17">
      <c r="A7" s="477" t="s">
        <v>112</v>
      </c>
      <c r="B7" s="478">
        <f>landbouw!B8</f>
        <v>1012.5232000000001</v>
      </c>
      <c r="C7" s="478">
        <f>landbouw!C8</f>
        <v>0</v>
      </c>
      <c r="D7" s="478">
        <f>landbouw!D8</f>
        <v>189.70814248042089</v>
      </c>
      <c r="E7" s="478">
        <f>landbouw!E8</f>
        <v>9.3784139620987492</v>
      </c>
      <c r="F7" s="478">
        <f>landbouw!F8</f>
        <v>2568.9642438716573</v>
      </c>
      <c r="G7" s="478">
        <f>landbouw!G8</f>
        <v>0</v>
      </c>
      <c r="H7" s="478">
        <f>landbouw!H8</f>
        <v>0</v>
      </c>
      <c r="I7" s="478">
        <f>landbouw!I8</f>
        <v>0</v>
      </c>
      <c r="J7" s="478">
        <f>landbouw!J8</f>
        <v>155.23110635189153</v>
      </c>
      <c r="K7" s="478">
        <f>landbouw!K8</f>
        <v>0</v>
      </c>
      <c r="L7" s="478">
        <f>landbouw!L8</f>
        <v>0</v>
      </c>
      <c r="M7" s="478">
        <f>landbouw!M8</f>
        <v>0</v>
      </c>
      <c r="N7" s="478">
        <f>landbouw!N8</f>
        <v>0</v>
      </c>
      <c r="O7" s="478">
        <f>landbouw!O8</f>
        <v>0</v>
      </c>
      <c r="P7" s="479">
        <f>landbouw!P8</f>
        <v>0</v>
      </c>
      <c r="Q7" s="477">
        <f t="shared" si="0"/>
        <v>3935.8051066660687</v>
      </c>
    </row>
    <row r="8" spans="1:17">
      <c r="A8" s="477" t="s">
        <v>650</v>
      </c>
      <c r="B8" s="478">
        <f>industrie!B18</f>
        <v>1290.2286300000001</v>
      </c>
      <c r="C8" s="478">
        <f>industrie!C18</f>
        <v>0</v>
      </c>
      <c r="D8" s="478">
        <f>industrie!D18</f>
        <v>325.07706531293644</v>
      </c>
      <c r="E8" s="478">
        <f>industrie!E18</f>
        <v>156.50254705139625</v>
      </c>
      <c r="F8" s="478">
        <f>industrie!F18</f>
        <v>666.45361967110171</v>
      </c>
      <c r="G8" s="478">
        <f>industrie!G18</f>
        <v>0</v>
      </c>
      <c r="H8" s="478">
        <f>industrie!H18</f>
        <v>0</v>
      </c>
      <c r="I8" s="478">
        <f>industrie!I18</f>
        <v>0</v>
      </c>
      <c r="J8" s="478">
        <f>industrie!J18</f>
        <v>5.1841829829582071</v>
      </c>
      <c r="K8" s="478">
        <f>industrie!K18</f>
        <v>0</v>
      </c>
      <c r="L8" s="478">
        <f>industrie!L18</f>
        <v>0</v>
      </c>
      <c r="M8" s="478">
        <f>industrie!M18</f>
        <v>0</v>
      </c>
      <c r="N8" s="478">
        <f>industrie!N18</f>
        <v>333.57125337805928</v>
      </c>
      <c r="O8" s="478">
        <f>industrie!O18</f>
        <v>0</v>
      </c>
      <c r="P8" s="479">
        <f>industrie!P18</f>
        <v>0</v>
      </c>
      <c r="Q8" s="477">
        <f t="shared" si="0"/>
        <v>2777.0172983964517</v>
      </c>
    </row>
    <row r="9" spans="1:17" s="483" customFormat="1">
      <c r="A9" s="481" t="s">
        <v>571</v>
      </c>
      <c r="B9" s="482">
        <f>transport!B14</f>
        <v>9.0969848881323667</v>
      </c>
      <c r="C9" s="482">
        <f>transport!C14</f>
        <v>0</v>
      </c>
      <c r="D9" s="482">
        <f>transport!D14</f>
        <v>24.557714485839149</v>
      </c>
      <c r="E9" s="482">
        <f>transport!E14</f>
        <v>155.84413581043242</v>
      </c>
      <c r="F9" s="482">
        <f>transport!F14</f>
        <v>0</v>
      </c>
      <c r="G9" s="482">
        <f>transport!G14</f>
        <v>43697.98854856415</v>
      </c>
      <c r="H9" s="482">
        <f>transport!H14</f>
        <v>9265.8601355653282</v>
      </c>
      <c r="I9" s="482">
        <f>transport!I14</f>
        <v>0</v>
      </c>
      <c r="J9" s="482">
        <f>transport!J14</f>
        <v>0</v>
      </c>
      <c r="K9" s="482">
        <f>transport!K14</f>
        <v>0</v>
      </c>
      <c r="L9" s="482">
        <f>transport!L14</f>
        <v>0</v>
      </c>
      <c r="M9" s="482">
        <f>transport!M14</f>
        <v>2812.9689596477383</v>
      </c>
      <c r="N9" s="482">
        <f>transport!N14</f>
        <v>0</v>
      </c>
      <c r="O9" s="482">
        <f>transport!O14</f>
        <v>0</v>
      </c>
      <c r="P9" s="482">
        <f>transport!P14</f>
        <v>0</v>
      </c>
      <c r="Q9" s="481">
        <f>SUM(B9:P9)</f>
        <v>55966.31647896162</v>
      </c>
    </row>
    <row r="10" spans="1:17">
      <c r="A10" s="477" t="s">
        <v>561</v>
      </c>
      <c r="B10" s="478">
        <f>transport!B54</f>
        <v>0</v>
      </c>
      <c r="C10" s="478">
        <f>transport!C54</f>
        <v>0</v>
      </c>
      <c r="D10" s="478">
        <f>transport!D54</f>
        <v>0</v>
      </c>
      <c r="E10" s="478">
        <f>transport!E54</f>
        <v>0</v>
      </c>
      <c r="F10" s="478">
        <f>transport!F54</f>
        <v>0</v>
      </c>
      <c r="G10" s="478">
        <f>transport!G54</f>
        <v>730.40698190584135</v>
      </c>
      <c r="H10" s="478">
        <f>transport!H54</f>
        <v>0</v>
      </c>
      <c r="I10" s="478">
        <f>transport!I54</f>
        <v>0</v>
      </c>
      <c r="J10" s="478">
        <f>transport!J54</f>
        <v>0</v>
      </c>
      <c r="K10" s="478">
        <f>transport!K54</f>
        <v>0</v>
      </c>
      <c r="L10" s="478">
        <f>transport!L54</f>
        <v>0</v>
      </c>
      <c r="M10" s="478">
        <f>transport!M54</f>
        <v>41.652980926716253</v>
      </c>
      <c r="N10" s="478">
        <f>transport!N54</f>
        <v>0</v>
      </c>
      <c r="O10" s="478">
        <f>transport!O54</f>
        <v>0</v>
      </c>
      <c r="P10" s="479">
        <f>transport!P54</f>
        <v>0</v>
      </c>
      <c r="Q10" s="477">
        <f t="shared" si="0"/>
        <v>772.05996283255763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486.8759</v>
      </c>
      <c r="C14" s="485"/>
      <c r="D14" s="485">
        <f>'SEAP template'!E25</f>
        <v>330.13328207261804</v>
      </c>
      <c r="E14" s="485"/>
      <c r="F14" s="485"/>
      <c r="G14" s="485"/>
      <c r="H14" s="485"/>
      <c r="I14" s="485"/>
      <c r="J14" s="485"/>
      <c r="K14" s="485"/>
      <c r="L14" s="485"/>
      <c r="M14" s="485"/>
      <c r="N14" s="485"/>
      <c r="O14" s="485"/>
      <c r="P14" s="486"/>
      <c r="Q14" s="477">
        <f t="shared" si="0"/>
        <v>817.00918207261805</v>
      </c>
    </row>
    <row r="15" spans="1:17" s="487" customFormat="1">
      <c r="A15" s="1051" t="s">
        <v>565</v>
      </c>
      <c r="B15" s="991">
        <f ca="1">SUM(B4:B14)</f>
        <v>26330.486285841787</v>
      </c>
      <c r="C15" s="991">
        <f t="shared" ref="C15:Q15" ca="1" si="1">SUM(C4:C14)</f>
        <v>0</v>
      </c>
      <c r="D15" s="991">
        <f t="shared" ca="1" si="1"/>
        <v>17777.213958468437</v>
      </c>
      <c r="E15" s="991">
        <f t="shared" si="1"/>
        <v>2949.9102256071988</v>
      </c>
      <c r="F15" s="991">
        <f t="shared" ca="1" si="1"/>
        <v>31398.272366852783</v>
      </c>
      <c r="G15" s="991">
        <f t="shared" si="1"/>
        <v>44428.395530469992</v>
      </c>
      <c r="H15" s="991">
        <f t="shared" si="1"/>
        <v>9265.8601355653282</v>
      </c>
      <c r="I15" s="991">
        <f t="shared" si="1"/>
        <v>0</v>
      </c>
      <c r="J15" s="991">
        <f t="shared" si="1"/>
        <v>6013.4061217215576</v>
      </c>
      <c r="K15" s="991">
        <f t="shared" si="1"/>
        <v>0</v>
      </c>
      <c r="L15" s="991">
        <f t="shared" ca="1" si="1"/>
        <v>0</v>
      </c>
      <c r="M15" s="991">
        <f t="shared" si="1"/>
        <v>2854.6219405744546</v>
      </c>
      <c r="N15" s="991">
        <f t="shared" ca="1" si="1"/>
        <v>7990.5521476660651</v>
      </c>
      <c r="O15" s="991">
        <f t="shared" si="1"/>
        <v>161.02333333333334</v>
      </c>
      <c r="P15" s="991">
        <f t="shared" si="1"/>
        <v>629.20000000000005</v>
      </c>
      <c r="Q15" s="991">
        <f t="shared" ca="1" si="1"/>
        <v>149798.94204610091</v>
      </c>
    </row>
    <row r="17" spans="1:17">
      <c r="A17" s="488" t="s">
        <v>566</v>
      </c>
      <c r="B17" s="787">
        <f ca="1">huishoudens!B10</f>
        <v>0.20117608040647889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3303.4174252249959</v>
      </c>
      <c r="C22" s="478">
        <f t="shared" ref="C22:C32" ca="1" si="3">C4*$C$17</f>
        <v>0</v>
      </c>
      <c r="D22" s="478">
        <f t="shared" ref="D22:D32" si="4">D4*$D$17</f>
        <v>2704.3645926671047</v>
      </c>
      <c r="E22" s="478">
        <f t="shared" ref="E22:E32" si="5">E4*$E$17</f>
        <v>580.52365316545672</v>
      </c>
      <c r="F22" s="478">
        <f t="shared" ref="F22:F32" si="6">F4*$F$17</f>
        <v>7246.9506881215393</v>
      </c>
      <c r="G22" s="478">
        <f t="shared" ref="G22:G32" si="7">G4*$G$17</f>
        <v>0</v>
      </c>
      <c r="H22" s="478">
        <f t="shared" ref="H22:H32" si="8">H4*$H$17</f>
        <v>0</v>
      </c>
      <c r="I22" s="478">
        <f t="shared" ref="I22:I32" si="9">I4*$I$17</f>
        <v>0</v>
      </c>
      <c r="J22" s="478">
        <f t="shared" ref="J22:J32" si="10">J4*$J$17</f>
        <v>2071.9587546648945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15907.215113843991</v>
      </c>
    </row>
    <row r="23" spans="1:17">
      <c r="A23" s="477" t="s">
        <v>156</v>
      </c>
      <c r="B23" s="478">
        <f t="shared" ca="1" si="2"/>
        <v>1287.9789069601181</v>
      </c>
      <c r="C23" s="478">
        <f t="shared" ca="1" si="3"/>
        <v>0</v>
      </c>
      <c r="D23" s="478">
        <f t="shared" ca="1" si="4"/>
        <v>710.99843366445361</v>
      </c>
      <c r="E23" s="478">
        <f t="shared" si="5"/>
        <v>16.074371068345876</v>
      </c>
      <c r="F23" s="478">
        <f t="shared" ca="1" si="6"/>
        <v>272.53146426223708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2287.5831759551547</v>
      </c>
    </row>
    <row r="24" spans="1:17">
      <c r="A24" s="477" t="s">
        <v>194</v>
      </c>
      <c r="B24" s="478">
        <f t="shared" ca="1" si="2"/>
        <v>142.63122571914823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142.63122571914823</v>
      </c>
    </row>
    <row r="25" spans="1:17">
      <c r="A25" s="477" t="s">
        <v>112</v>
      </c>
      <c r="B25" s="478">
        <f t="shared" ca="1" si="2"/>
        <v>203.69544869662531</v>
      </c>
      <c r="C25" s="478">
        <f t="shared" ca="1" si="3"/>
        <v>0</v>
      </c>
      <c r="D25" s="478">
        <f t="shared" si="4"/>
        <v>38.321044781045025</v>
      </c>
      <c r="E25" s="478">
        <f t="shared" si="5"/>
        <v>2.1288999693964161</v>
      </c>
      <c r="F25" s="478">
        <f t="shared" si="6"/>
        <v>685.91345311373254</v>
      </c>
      <c r="G25" s="478">
        <f t="shared" si="7"/>
        <v>0</v>
      </c>
      <c r="H25" s="478">
        <f t="shared" si="8"/>
        <v>0</v>
      </c>
      <c r="I25" s="478">
        <f t="shared" si="9"/>
        <v>0</v>
      </c>
      <c r="J25" s="478">
        <f t="shared" si="10"/>
        <v>54.951811648569596</v>
      </c>
      <c r="K25" s="478">
        <f t="shared" si="11"/>
        <v>0</v>
      </c>
      <c r="L25" s="478">
        <f t="shared" si="12"/>
        <v>0</v>
      </c>
      <c r="M25" s="478">
        <f t="shared" si="13"/>
        <v>0</v>
      </c>
      <c r="N25" s="478">
        <f t="shared" si="14"/>
        <v>0</v>
      </c>
      <c r="O25" s="478">
        <f t="shared" si="15"/>
        <v>0</v>
      </c>
      <c r="P25" s="479">
        <f t="shared" si="16"/>
        <v>0</v>
      </c>
      <c r="Q25" s="477">
        <f t="shared" ca="1" si="17"/>
        <v>985.0106582093689</v>
      </c>
    </row>
    <row r="26" spans="1:17">
      <c r="A26" s="477" t="s">
        <v>650</v>
      </c>
      <c r="B26" s="478">
        <f t="shared" ca="1" si="2"/>
        <v>259.56313861162113</v>
      </c>
      <c r="C26" s="478">
        <f t="shared" ca="1" si="3"/>
        <v>0</v>
      </c>
      <c r="D26" s="478">
        <f t="shared" si="4"/>
        <v>65.665567193213164</v>
      </c>
      <c r="E26" s="478">
        <f t="shared" si="5"/>
        <v>35.52607818066695</v>
      </c>
      <c r="F26" s="478">
        <f t="shared" si="6"/>
        <v>177.94311645218417</v>
      </c>
      <c r="G26" s="478">
        <f t="shared" si="7"/>
        <v>0</v>
      </c>
      <c r="H26" s="478">
        <f t="shared" si="8"/>
        <v>0</v>
      </c>
      <c r="I26" s="478">
        <f t="shared" si="9"/>
        <v>0</v>
      </c>
      <c r="J26" s="478">
        <f t="shared" si="10"/>
        <v>1.8352007759672053</v>
      </c>
      <c r="K26" s="478">
        <f t="shared" si="11"/>
        <v>0</v>
      </c>
      <c r="L26" s="478">
        <f t="shared" si="12"/>
        <v>0</v>
      </c>
      <c r="M26" s="478">
        <f t="shared" si="13"/>
        <v>0</v>
      </c>
      <c r="N26" s="478">
        <f t="shared" si="14"/>
        <v>0</v>
      </c>
      <c r="O26" s="478">
        <f t="shared" si="15"/>
        <v>0</v>
      </c>
      <c r="P26" s="479">
        <f t="shared" si="16"/>
        <v>0</v>
      </c>
      <c r="Q26" s="477">
        <f t="shared" ca="1" si="17"/>
        <v>540.53310121365269</v>
      </c>
    </row>
    <row r="27" spans="1:17" s="483" customFormat="1">
      <c r="A27" s="481" t="s">
        <v>571</v>
      </c>
      <c r="B27" s="781">
        <f t="shared" ca="1" si="2"/>
        <v>1.8300957633114403</v>
      </c>
      <c r="C27" s="482">
        <f t="shared" ca="1" si="3"/>
        <v>0</v>
      </c>
      <c r="D27" s="482">
        <f t="shared" si="4"/>
        <v>4.9606583261395087</v>
      </c>
      <c r="E27" s="482">
        <f t="shared" si="5"/>
        <v>35.376618828968162</v>
      </c>
      <c r="F27" s="482">
        <f t="shared" si="6"/>
        <v>0</v>
      </c>
      <c r="G27" s="482">
        <f t="shared" si="7"/>
        <v>11667.362942466629</v>
      </c>
      <c r="H27" s="482">
        <f t="shared" si="8"/>
        <v>2307.1991737557669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14016.729489140815</v>
      </c>
    </row>
    <row r="28" spans="1:17">
      <c r="A28" s="477" t="s">
        <v>561</v>
      </c>
      <c r="B28" s="478">
        <f t="shared" ca="1" si="2"/>
        <v>0</v>
      </c>
      <c r="C28" s="478">
        <f t="shared" ca="1" si="3"/>
        <v>0</v>
      </c>
      <c r="D28" s="478">
        <f t="shared" si="4"/>
        <v>0</v>
      </c>
      <c r="E28" s="478">
        <f t="shared" si="5"/>
        <v>0</v>
      </c>
      <c r="F28" s="478">
        <f t="shared" si="6"/>
        <v>0</v>
      </c>
      <c r="G28" s="478">
        <f t="shared" si="7"/>
        <v>195.01866416885966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195.01866416885966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97.947785206376778</v>
      </c>
      <c r="C32" s="478">
        <f t="shared" ca="1" si="3"/>
        <v>0</v>
      </c>
      <c r="D32" s="478">
        <f t="shared" si="4"/>
        <v>66.686922978668846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164.63470818504561</v>
      </c>
    </row>
    <row r="33" spans="1:17" s="487" customFormat="1">
      <c r="A33" s="1051" t="s">
        <v>565</v>
      </c>
      <c r="B33" s="991">
        <f ca="1">SUM(B22:B32)</f>
        <v>5297.0640261821973</v>
      </c>
      <c r="C33" s="991">
        <f t="shared" ref="C33:Q33" ca="1" si="18">SUM(C22:C32)</f>
        <v>0</v>
      </c>
      <c r="D33" s="991">
        <f t="shared" ca="1" si="18"/>
        <v>3590.9972196106246</v>
      </c>
      <c r="E33" s="991">
        <f t="shared" si="18"/>
        <v>669.62962121283408</v>
      </c>
      <c r="F33" s="991">
        <f t="shared" ca="1" si="18"/>
        <v>8383.3387219496944</v>
      </c>
      <c r="G33" s="991">
        <f t="shared" si="18"/>
        <v>11862.381606635488</v>
      </c>
      <c r="H33" s="991">
        <f t="shared" si="18"/>
        <v>2307.1991737557669</v>
      </c>
      <c r="I33" s="991">
        <f t="shared" si="18"/>
        <v>0</v>
      </c>
      <c r="J33" s="991">
        <f t="shared" si="18"/>
        <v>2128.7457670894314</v>
      </c>
      <c r="K33" s="991">
        <f t="shared" si="18"/>
        <v>0</v>
      </c>
      <c r="L33" s="991">
        <f t="shared" ca="1" si="18"/>
        <v>0</v>
      </c>
      <c r="M33" s="991">
        <f t="shared" si="18"/>
        <v>0</v>
      </c>
      <c r="N33" s="991">
        <f t="shared" ca="1" si="18"/>
        <v>0</v>
      </c>
      <c r="O33" s="991">
        <f t="shared" si="18"/>
        <v>0</v>
      </c>
      <c r="P33" s="991">
        <f t="shared" si="18"/>
        <v>0</v>
      </c>
      <c r="Q33" s="991">
        <f t="shared" ca="1" si="18"/>
        <v>34239.356136436036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19.723766816143499</v>
      </c>
      <c r="C5" s="1068"/>
      <c r="D5" s="1068"/>
      <c r="E5" s="1068"/>
      <c r="F5" s="1068"/>
      <c r="G5" s="1068"/>
      <c r="H5" s="1068"/>
      <c r="I5" s="1068"/>
      <c r="J5" s="1068"/>
      <c r="K5" s="1068"/>
      <c r="L5" s="1068"/>
      <c r="M5" s="1068"/>
      <c r="N5" s="1068"/>
      <c r="O5" s="1068"/>
      <c r="P5" s="1069">
        <f>'SEAP template'!Q73</f>
        <v>0</v>
      </c>
    </row>
    <row r="6" spans="1:16">
      <c r="A6" s="1070" t="s">
        <v>251</v>
      </c>
      <c r="B6" s="1068">
        <f>'SEAP template'!B74</f>
        <v>2072.1470159387777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270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771.42857142857144</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2361.870782754921</v>
      </c>
      <c r="C10" s="1072">
        <f>SUM(C4:C9)</f>
        <v>0</v>
      </c>
      <c r="D10" s="1072">
        <f t="shared" ref="D10:H10" si="0">SUM(D8:D9)</f>
        <v>0</v>
      </c>
      <c r="E10" s="1072">
        <f t="shared" si="0"/>
        <v>0</v>
      </c>
      <c r="F10" s="1072">
        <f t="shared" si="0"/>
        <v>0</v>
      </c>
      <c r="G10" s="1072">
        <f t="shared" si="0"/>
        <v>0</v>
      </c>
      <c r="H10" s="1072">
        <f t="shared" si="0"/>
        <v>0</v>
      </c>
      <c r="I10" s="1072">
        <f>SUM(I8:I9)</f>
        <v>0</v>
      </c>
      <c r="J10" s="1072">
        <f>SUM(J8:J9)</f>
        <v>771.42857142857144</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0.20117608040647889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0.20117608040647889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2019-08-12T08:10:04Z</dcterms:modified>
</cp:coreProperties>
</file>