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G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H102" s="1"/>
  <c r="B13" i="15"/>
  <c r="N13"/>
  <c r="L13"/>
  <c r="F77" i="14"/>
  <c r="F9" i="59" s="1"/>
  <c r="C101" i="18"/>
  <c r="B101"/>
  <c r="C8" s="1"/>
  <c r="I102"/>
  <c r="H17" s="1"/>
  <c r="E102"/>
  <c r="E17" s="1"/>
  <c r="D102"/>
  <c r="G102"/>
  <c r="B102"/>
  <c r="C17" s="1"/>
  <c r="C89" i="14"/>
  <c r="C19" i="59" s="1"/>
  <c r="O19" i="18"/>
  <c r="O78" i="14"/>
  <c r="N88"/>
  <c r="D10" i="18"/>
  <c r="E78" i="14"/>
  <c r="D77"/>
  <c r="D9" i="59" s="1"/>
  <c r="H77" i="14"/>
  <c r="G90"/>
  <c r="O88"/>
  <c r="G89"/>
  <c r="G19" i="59" s="1"/>
  <c r="G20" i="18"/>
  <c r="O18"/>
  <c r="G78" i="14"/>
  <c r="Q89"/>
  <c r="P19" i="59" s="1"/>
  <c r="O25" i="48"/>
  <c r="O27"/>
  <c r="Q11"/>
  <c r="O29"/>
  <c r="P31"/>
  <c r="O28"/>
  <c r="Q12"/>
  <c r="O24"/>
  <c r="O30"/>
  <c r="P24"/>
  <c r="P30"/>
  <c r="E90" i="14"/>
  <c r="R9"/>
  <c r="R25"/>
  <c r="K90"/>
  <c r="J17" i="18" l="1"/>
  <c r="J87" i="14" s="1"/>
  <c r="H78"/>
  <c r="H9" i="59"/>
  <c r="H10" s="1"/>
  <c r="Q14" i="48"/>
  <c r="N78" i="14"/>
  <c r="N9" i="59"/>
  <c r="N10" s="1"/>
  <c r="O90" i="14"/>
  <c r="O18" i="59"/>
  <c r="O20" s="1"/>
  <c r="N90" i="14"/>
  <c r="N18" i="59"/>
  <c r="N20" s="1"/>
  <c r="I101" i="18"/>
  <c r="H8" s="1"/>
  <c r="E101"/>
  <c r="E8" s="1"/>
  <c r="Q77" i="14"/>
  <c r="P9" i="59" s="1"/>
  <c r="F101" i="18"/>
  <c r="I8" s="1"/>
  <c r="C102"/>
  <c r="H101"/>
  <c r="J8" s="1"/>
  <c r="F102"/>
  <c r="D101"/>
  <c r="B89" i="14"/>
  <c r="B19" i="59" s="1"/>
  <c r="C77" i="14"/>
  <c r="C9" i="59" s="1"/>
  <c r="J20" i="18"/>
  <c r="H20"/>
  <c r="M87" i="14"/>
  <c r="F76"/>
  <c r="E10" i="18"/>
  <c r="C20"/>
  <c r="D87" i="14"/>
  <c r="D17" i="59" s="1"/>
  <c r="D20" s="1"/>
  <c r="H10" i="18"/>
  <c r="M76" i="14"/>
  <c r="B88"/>
  <c r="B18" i="59" s="1"/>
  <c r="I17" i="18"/>
  <c r="O17" s="1"/>
  <c r="O20" s="1"/>
  <c r="D76" i="14"/>
  <c r="D8" i="59" s="1"/>
  <c r="D10" s="1"/>
  <c r="C10" i="18"/>
  <c r="C88" i="14"/>
  <c r="C18" i="59" s="1"/>
  <c r="B77" i="14"/>
  <c r="B9" i="59" s="1"/>
  <c r="E20" i="18"/>
  <c r="F87" i="14"/>
  <c r="Q88"/>
  <c r="P18" i="59" s="1"/>
  <c r="H14" i="15"/>
  <c r="H16" s="1"/>
  <c r="G14"/>
  <c r="G16" s="1"/>
  <c r="J90" i="14" l="1"/>
  <c r="J17" i="59"/>
  <c r="J20" s="1"/>
  <c r="I76" i="14"/>
  <c r="I8" i="59" s="1"/>
  <c r="I10" s="1"/>
  <c r="I10" i="18"/>
  <c r="O8"/>
  <c r="O10" s="1"/>
  <c r="M78" i="14"/>
  <c r="M8" i="59"/>
  <c r="M10" s="1"/>
  <c r="M90" i="14"/>
  <c r="M17" i="59"/>
  <c r="M20" s="1"/>
  <c r="F78" i="14"/>
  <c r="F8" i="59"/>
  <c r="F10" s="1"/>
  <c r="H5" i="48"/>
  <c r="I10" i="14"/>
  <c r="I16" s="1"/>
  <c r="F90"/>
  <c r="F17" i="59"/>
  <c r="F20" s="1"/>
  <c r="H10" i="14"/>
  <c r="H16" s="1"/>
  <c r="G5" i="48"/>
  <c r="Q76" i="14"/>
  <c r="D78"/>
  <c r="J10" i="18"/>
  <c r="J76" i="14"/>
  <c r="I87"/>
  <c r="I17" i="59" s="1"/>
  <c r="I20" s="1"/>
  <c r="I20" i="18"/>
  <c r="Q87" i="14"/>
  <c r="D90"/>
  <c r="C87"/>
  <c r="A31" i="23"/>
  <c r="A32"/>
  <c r="A33"/>
  <c r="Q90" i="14" l="1"/>
  <c r="B17" i="6" s="1"/>
  <c r="P17" i="59"/>
  <c r="P20" s="1"/>
  <c r="Q78" i="14"/>
  <c r="B9" i="6" s="1"/>
  <c r="P8" i="59"/>
  <c r="P10" s="1"/>
  <c r="C90" i="14"/>
  <c r="C17" i="59"/>
  <c r="C20" s="1"/>
  <c r="J78" i="14"/>
  <c r="J8" i="59"/>
  <c r="J10" s="1"/>
  <c r="I78" i="14"/>
  <c r="B76"/>
  <c r="B87"/>
  <c r="I90"/>
  <c r="C76"/>
  <c r="B11" i="44"/>
  <c r="B25"/>
  <c r="B24"/>
  <c r="B78" i="14" l="1"/>
  <c r="B8" i="59"/>
  <c r="B10" s="1"/>
  <c r="B90" i="14"/>
  <c r="B17" i="59"/>
  <c r="B20" s="1"/>
  <c r="C78" i="14"/>
  <c r="C8" i="59"/>
  <c r="C1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31"/>
  <c r="K26"/>
  <c r="K24"/>
  <c r="K29"/>
  <c r="K25"/>
  <c r="K22"/>
  <c r="K27"/>
  <c r="K30"/>
  <c r="B7"/>
  <c r="C24" i="14"/>
  <c r="C26" s="1"/>
  <c r="J24" i="48"/>
  <c r="J32"/>
  <c r="J30"/>
  <c r="J27"/>
  <c r="J31"/>
  <c r="J29"/>
  <c r="J28"/>
  <c r="Q11" i="14"/>
  <c r="P4" i="48"/>
  <c r="P11" i="14"/>
  <c r="O4" i="48"/>
  <c r="I32"/>
  <c r="I28"/>
  <c r="I22"/>
  <c r="I27"/>
  <c r="I25"/>
  <c r="I24"/>
  <c r="I31"/>
  <c r="I26"/>
  <c r="I29"/>
  <c r="I30"/>
  <c r="E11" i="14"/>
  <c r="D4" i="48"/>
  <c r="D22" s="1"/>
  <c r="H32"/>
  <c r="H29"/>
  <c r="H28"/>
  <c r="H26"/>
  <c r="H24"/>
  <c r="H25"/>
  <c r="H22"/>
  <c r="H30"/>
  <c r="H23"/>
  <c r="C4"/>
  <c r="D11" i="14"/>
  <c r="G30" i="48"/>
  <c r="G25"/>
  <c r="G24"/>
  <c r="G29"/>
  <c r="G26"/>
  <c r="G32"/>
  <c r="G22"/>
  <c r="G23"/>
  <c r="C11" i="14"/>
  <c r="B4" i="48"/>
  <c r="F24"/>
  <c r="F32"/>
  <c r="F29"/>
  <c r="F30"/>
  <c r="F27"/>
  <c r="F28"/>
  <c r="F31"/>
  <c r="N27"/>
  <c r="N31"/>
  <c r="N24"/>
  <c r="N32"/>
  <c r="N30"/>
  <c r="N29"/>
  <c r="N28"/>
  <c r="C19" i="14"/>
  <c r="B10" i="48"/>
  <c r="E32"/>
  <c r="E31"/>
  <c r="E28"/>
  <c r="E24"/>
  <c r="E29"/>
  <c r="E30"/>
  <c r="M26"/>
  <c r="M25"/>
  <c r="M32"/>
  <c r="M24"/>
  <c r="M29"/>
  <c r="M22"/>
  <c r="M30"/>
  <c r="M23"/>
  <c r="L10" i="14"/>
  <c r="L16" s="1"/>
  <c r="L27" s="1"/>
  <c r="K5" i="48"/>
  <c r="D30"/>
  <c r="D29"/>
  <c r="D31"/>
  <c r="D24"/>
  <c r="D28"/>
  <c r="D32"/>
  <c r="L32"/>
  <c r="L29"/>
  <c r="L28"/>
  <c r="L27"/>
  <c r="L22"/>
  <c r="L30"/>
  <c r="L31"/>
  <c r="L24"/>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I5"/>
  <c r="J10" i="14"/>
  <c r="J16" s="1"/>
  <c r="J27" s="1"/>
  <c r="F20"/>
  <c r="F22" s="1"/>
  <c r="E9" i="48"/>
  <c r="E27" s="1"/>
  <c r="P15"/>
  <c r="P22"/>
  <c r="P33" s="1"/>
  <c r="E20" i="14"/>
  <c r="E22" s="1"/>
  <c r="D9" i="48"/>
  <c r="D27" s="1"/>
  <c r="P10" i="14"/>
  <c r="O5" i="48"/>
  <c r="O23" s="1"/>
  <c r="K24" i="14"/>
  <c r="K26" s="1"/>
  <c r="J7" i="48"/>
  <c r="J25" s="1"/>
  <c r="C20" i="14"/>
  <c r="B9" i="48"/>
  <c r="O22"/>
  <c r="G11" i="14"/>
  <c r="F4" i="48"/>
  <c r="F22" s="1"/>
  <c r="J63" i="14"/>
  <c r="D10"/>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G10"/>
  <c r="H19" i="14"/>
  <c r="R19" s="1"/>
  <c r="E12" i="13"/>
  <c r="F41" i="14" s="1"/>
  <c r="F11"/>
  <c r="E4" i="48"/>
  <c r="I23"/>
  <c r="I33" s="1"/>
  <c r="I15"/>
  <c r="Q13"/>
  <c r="G31"/>
  <c r="J4"/>
  <c r="K11" i="14"/>
  <c r="E7" i="48"/>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K10"/>
  <c r="J5" i="48"/>
  <c r="J23" s="1"/>
  <c r="F10" i="14"/>
  <c r="E5" i="48"/>
  <c r="E23" s="1"/>
  <c r="H9"/>
  <c r="I20" i="14"/>
  <c r="O26" i="48"/>
  <c r="O33" s="1"/>
  <c r="O15"/>
  <c r="G28"/>
  <c r="Q10"/>
  <c r="M27"/>
  <c r="M33" s="1"/>
  <c r="M15"/>
  <c r="J22"/>
  <c r="G27"/>
  <c r="G33" s="1"/>
  <c r="G15"/>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J26" s="1"/>
  <c r="K13" i="14"/>
  <c r="I22"/>
  <c r="I27" s="1"/>
  <c r="I63" s="1"/>
  <c r="R20"/>
  <c r="R22" s="1"/>
  <c r="K46"/>
  <c r="K61" s="1"/>
  <c r="K63" s="1"/>
  <c r="K16"/>
  <c r="K27" s="1"/>
  <c r="E22" i="16"/>
  <c r="F43" i="14" s="1"/>
  <c r="F46" s="1"/>
  <c r="F61" s="1"/>
  <c r="F63" s="1"/>
  <c r="J15" i="48"/>
  <c r="H63" i="14"/>
  <c r="J33" i="48"/>
  <c r="O13" i="14"/>
  <c r="N8" i="48"/>
  <c r="N26" s="1"/>
  <c r="F8"/>
  <c r="G13" i="14"/>
  <c r="E26" i="48" l="1"/>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<sst xmlns="http://schemas.openxmlformats.org/spreadsheetml/2006/main" count="2419" uniqueCount="907">
  <si>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</si>
  <si>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</si>
  <si>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</si>
  <si>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</si>
  <si>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</si>
  <si>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</si>
  <si>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</si>
  <si>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</si>
  <si>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</si>
  <si>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</si>
  <si>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</si>
  <si>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</si>
  <si>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</si>
  <si>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</si>
  <si>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</si>
  <si>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</si>
  <si>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</si>
  <si>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</si>
  <si>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</si>
  <si>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</si>
  <si>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</si>
  <si>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</si>
  <si>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</si>
  <si>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</si>
  <si>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</si>
  <si>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</si>
  <si>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</si>
  <si>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</si>
  <si>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</si>
  <si>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</si>
  <si>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</si>
  <si>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</si>
  <si>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</si>
  <si>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</si>
  <si>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</si>
  <si>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</si>
  <si>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</si>
  <si>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</si>
  <si>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</si>
  <si>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</si>
  <si>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</si>
  <si>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</si>
  <si>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</si>
  <si>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</si>
  <si>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</si>
  <si>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</si>
  <si>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</si>
  <si>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</si>
  <si>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</si>
  <si>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</si>
  <si>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</si>
  <si>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</si>
  <si>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</si>
  <si>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</si>
  <si>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</si>
  <si>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</si>
  <si>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</si>
  <si>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</si>
  <si>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</si>
  <si>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</si>
  <si>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</si>
  <si>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</si>
  <si>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</si>
  <si>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</si>
  <si>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</si>
  <si>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</si>
  <si>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</si>
  <si>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</si>
  <si>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</si>
  <si>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</si>
  <si>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</si>
  <si>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</si>
  <si>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</si>
  <si>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</si>
  <si>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</si>
  <si>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</si>
  <si>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</si>
  <si>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</si>
  <si>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</si>
  <si>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</si>
  <si>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</si>
  <si>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</si>
  <si>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</si>
  <si>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</si>
  <si>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</si>
  <si>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</si>
  <si>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</si>
  <si>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</si>
  <si>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</si>
  <si>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</si>
  <si>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</si>
  <si>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</si>
  <si>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</si>
  <si>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</si>
  <si>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</si>
  <si>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</si>
  <si>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</si>
  <si>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</si>
  <si>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</si>
  <si>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</si>
  <si>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</si>
  <si>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</si>
  <si>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</si>
  <si>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</si>
  <si>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</si>
  <si>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</si>
  <si>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</si>
  <si>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</si>
  <si>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</si>
  <si>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</si>
  <si>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</si>
  <si>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</si>
  <si>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</si>
  <si>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</si>
  <si>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</si>
  <si>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</si>
  <si>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</si>
  <si>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</si>
  <si>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</si>
  <si>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</si>
  <si>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</si>
  <si>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</si>
  <si>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</si>
  <si>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</si>
  <si>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</si>
  <si>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</si>
  <si>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</si>
  <si>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</si>
  <si>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</si>
  <si>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</si>
  <si>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</si>
  <si>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</si>
  <si>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</si>
  <si>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</si>
  <si>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</si>
  <si>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</si>
  <si>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</si>
  <si>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</si>
  <si>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</si>
  <si>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</si>
  <si>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</si>
  <si>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</si>
  <si>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</si>
  <si>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</si>
  <si>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</si>
  <si>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</si>
  <si>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</si>
  <si>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</si>
  <si>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</si>
  <si>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</si>
  <si>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</si>
  <si>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</si>
  <si>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</si>
  <si>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</si>
  <si>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</si>
  <si>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</si>
  <si>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</si>
  <si>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</si>
  <si>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</si>
  <si>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</si>
  <si>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</si>
  <si>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</si>
  <si>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</si>
  <si>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</si>
  <si>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</si>
  <si>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</si>
  <si>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</si>
  <si>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</si>
  <si>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</si>
  <si>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</si>
  <si>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</si>
  <si>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</si>
  <si>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</si>
  <si>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</si>
  <si>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</si>
  <si>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</si>
  <si>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</si>
  <si>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</si>
  <si>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</si>
  <si>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</si>
  <si>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</si>
  <si>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</si>
  <si>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</si>
  <si>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</si>
  <si>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</si>
  <si>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</si>
  <si>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</si>
  <si>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</si>
  <si>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</si>
  <si>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</si>
  <si>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</si>
  <si>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</si>
  <si>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</si>
  <si>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</si>
  <si>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</si>
  <si>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</si>
  <si>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</si>
  <si>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</si>
  <si>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</si>
  <si>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</si>
  <si>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</si>
  <si>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</si>
  <si>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</si>
  <si>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</si>
  <si>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</si>
  <si>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</si>
  <si>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</si>
  <si>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</si>
  <si>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</si>
  <si>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</si>
  <si>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</si>
  <si>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</si>
  <si>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</si>
  <si>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</si>
  <si>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</si>
  <si>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</si>
  <si>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</si>
  <si>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</si>
  <si>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</si>
  <si>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</si>
  <si>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</si>
  <si>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</si>
  <si>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</si>
  <si>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</si>
  <si>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</si>
  <si>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</si>
  <si>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</si>
  <si>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</si>
  <si>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</si>
  <si>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</si>
  <si>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</si>
  <si>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</si>
  <si>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</si>
  <si>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</si>
  <si>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</si>
  <si>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</si>
  <si>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</si>
  <si>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</si>
  <si>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</si>
  <si>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</si>
  <si>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</si>
  <si>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</si>
  <si>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</si>
  <si>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</si>
  <si>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</si>
  <si>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</si>
  <si>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</si>
  <si>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</si>
  <si>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</si>
  <si>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</si>
  <si>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</si>
  <si>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</si>
  <si>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</si>
  <si>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</si>
  <si>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</si>
  <si>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</si>
  <si>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</si>
  <si>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</si>
  <si>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</si>
  <si>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</si>
  <si>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</si>
  <si>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</si>
  <si>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</si>
  <si>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</si>
  <si>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</si>
  <si>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</si>
  <si>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</si>
  <si>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</si>
  <si>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</si>
  <si>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</si>
  <si>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</si>
  <si>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</si>
  <si>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</si>
  <si>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</si>
  <si>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</si>
  <si>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</si>
  <si>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</si>
  <si>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</si>
  <si>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</si>
  <si>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</si>
  <si>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</si>
  <si>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</si>
  <si>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</si>
  <si>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</si>
  <si>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</si>
  <si>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</si>
  <si>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</si>
  <si>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</si>
  <si>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</si>
  <si>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</si>
  <si>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</si>
  <si>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</si>
  <si>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</si>
  <si>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</si>
  <si>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</si>
  <si>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</si>
  <si>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</si>
  <si>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</si>
  <si>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</si>
  <si>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</si>
  <si>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</si>
  <si>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</si>
  <si>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</si>
  <si>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</si>
  <si>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</si>
  <si>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</si>
  <si>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</si>
  <si>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</si>
  <si>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</si>
  <si>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</si>
  <si>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</si>
  <si>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</si>
  <si>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</si>
  <si>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</si>
  <si>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</si>
  <si>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</si>
  <si>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</si>
  <si>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</si>
  <si>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</si>
  <si>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</si>
  <si>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</si>
  <si>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</si>
  <si>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</si>
  <si>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</si>
  <si>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</si>
  <si>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</si>
  <si>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</si>
  <si>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</si>
  <si>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</si>
  <si>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</si>
  <si>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</si>
  <si>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</si>
  <si>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</si>
  <si>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</si>
  <si>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</si>
  <si>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</si>
  <si>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</si>
  <si>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</si>
  <si>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</si>
  <si>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</si>
  <si>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</si>
  <si>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</si>
  <si>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</si>
  <si>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</si>
  <si>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</si>
  <si>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</si>
  <si>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</si>
  <si>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</si>
  <si>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</si>
  <si>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</si>
  <si>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</si>
  <si>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</si>
  <si>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</si>
  <si>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</si>
  <si>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</si>
  <si>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</si>
  <si>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</si>
  <si>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</si>
  <si>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</si>
  <si>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</si>
  <si>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</si>
  <si>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</si>
  <si>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</si>
  <si>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</si>
  <si>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</si>
  <si>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</si>
  <si>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</si>
  <si>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</si>
  <si>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</si>
  <si>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</si>
  <si>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</si>
  <si>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</si>
  <si>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</si>
  <si>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</si>
  <si>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</si>
  <si>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</si>
  <si>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</si>
  <si>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</si>
  <si>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</si>
  <si>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</si>
  <si>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</si>
  <si>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</si>
  <si>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</si>
  <si>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</si>
  <si>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</si>
  <si>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</si>
  <si>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</si>
  <si>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</si>
  <si>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</si>
  <si>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</si>
  <si>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</si>
  <si>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</si>
  <si>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</si>
  <si>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</si>
  <si>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</si>
  <si>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</si>
  <si>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</si>
  <si>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</si>
  <si>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</si>
  <si>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</si>
  <si>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</si>
  <si>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</si>
  <si>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</si>
  <si>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</si>
  <si>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</si>
  <si>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</si>
  <si>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</si>
  <si>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</si>
  <si>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</si>
  <si>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</si>
  <si>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</si>
  <si>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</si>
  <si>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</si>
  <si>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</si>
  <si>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</si>
  <si>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</si>
  <si>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</si>
  <si>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</si>
  <si>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</si>
  <si>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</si>
  <si>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</si>
  <si>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</si>
  <si>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</si>
  <si>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</si>
  <si>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</si>
  <si>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</si>
  <si>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</si>
  <si>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</si>
  <si>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</si>
  <si>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</si>
  <si>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</si>
  <si>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</si>
  <si>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</si>
  <si>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</si>
  <si>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</si>
  <si>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</si>
  <si>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</si>
  <si>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</si>
  <si>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</si>
  <si>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</si>
  <si>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</si>
  <si>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</si>
  <si>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</si>
  <si>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</si>
  <si>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</si>
  <si>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</si>
  <si>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</si>
  <si>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</si>
  <si>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</si>
  <si>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</si>
  <si>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</si>
  <si>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</si>
  <si>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</si>
  <si>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</si>
  <si>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</si>
  <si>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</si>
  <si>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</si>
  <si>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</si>
  <si>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</si>
  <si>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</si>
  <si>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</si>
  <si>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</si>
  <si>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</si>
  <si>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</si>
  <si>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</si>
  <si>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</si>
  <si>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</si>
  <si>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</si>
  <si>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</si>
  <si>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</si>
  <si>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</si>
  <si>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</si>
  <si>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</si>
  <si>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</si>
  <si>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</si>
  <si>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</si>
  <si>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</si>
  <si>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</si>
  <si>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</si>
  <si>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</si>
  <si>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</si>
  <si>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</si>
  <si>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</si>
  <si>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</si>
  <si>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</si>
  <si>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</si>
  <si>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</si>
  <si>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</si>
  <si>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</si>
  <si>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</si>
  <si>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</si>
  <si>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</si>
  <si>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</si>
  <si>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</si>
  <si>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</si>
  <si>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</si>
  <si>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</si>
  <si>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</si>
  <si>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</si>
  <si>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</si>
  <si>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</si>
  <si>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</si>
  <si>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</si>
  <si>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</si>
  <si>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</si>
  <si>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</si>
  <si>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</si>
  <si>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</si>
  <si>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</si>
  <si>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</si>
  <si>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</si>
  <si>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</si>
  <si>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</si>
  <si>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</si>
  <si>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</si>
  <si>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</si>
  <si>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</si>
  <si>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</si>
  <si>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</si>
  <si>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</si>
  <si>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</si>
  <si>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</si>
  <si>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</si>
  <si>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</si>
  <si>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</si>
  <si>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</si>
  <si>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</si>
  <si>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</si>
  <si>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</si>
  <si>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</si>
  <si>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</si>
  <si>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</si>
  <si>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</si>
  <si>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</si>
  <si>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</si>
  <si>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</si>
  <si>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</si>
  <si>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</si>
  <si>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</si>
  <si>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</si>
  <si>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</si>
  <si>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</si>
  <si>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</si>
  <si>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</si>
  <si>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</si>
  <si>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</si>
  <si>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</si>
  <si>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</si>
  <si>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</si>
  <si>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</si>
  <si>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</si>
  <si>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</si>
  <si>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</si>
  <si>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</si>
  <si>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</si>
  <si>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</si>
  <si>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</si>
  <si>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</si>
  <si>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</si>
  <si>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</si>
  <si>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</si>
  <si>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</si>
  <si>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</si>
  <si>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</si>
  <si>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</si>
  <si>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</si>
  <si>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</si>
  <si>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</si>
  <si>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</si>
  <si>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</si>
  <si>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</si>
  <si>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</si>
  <si>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</si>
  <si>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</si>
  <si>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</si>
  <si>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</si>
  <si>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</si>
  <si>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</si>
  <si>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</si>
  <si>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</si>
  <si>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</si>
  <si>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</si>
  <si>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</si>
  <si>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</si>
  <si>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</si>
  <si>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</si>
  <si>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</si>
  <si>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</si>
  <si>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</si>
  <si>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</si>
  <si>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</si>
  <si>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</si>
  <si>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</si>
  <si>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</si>
  <si>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</si>
  <si>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</si>
  <si>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</si>
  <si>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</si>
  <si>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</si>
  <si>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</si>
  <si>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</si>
  <si>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</si>
  <si>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</si>
  <si>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</si>
  <si>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</si>
  <si>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</si>
  <si>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</si>
  <si>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</si>
  <si>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</si>
  <si>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</si>
  <si>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</si>
  <si>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</si>
  <si>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</si>
  <si>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</si>
  <si>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</si>
  <si>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</si>
  <si>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</si>
  <si>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</si>
  <si>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</si>
  <si>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</si>
  <si>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</si>
  <si>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</si>
  <si>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</si>
  <si>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</si>
  <si>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</si>
  <si>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</si>
  <si>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</si>
  <si>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</si>
  <si>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</si>
  <si>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</si>
  <si>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</si>
  <si>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</si>
  <si>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</si>
  <si>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</si>
  <si>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</si>
  <si>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</si>
  <si>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</si>
  <si>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</si>
  <si>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</si>
  <si>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</si>
  <si>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</si>
  <si>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</si>
  <si>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</si>
  <si>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</si>
  <si>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</si>
  <si>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</si>
  <si>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</si>
  <si>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</si>
  <si>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</si>
  <si>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</si>
  <si>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</si>
  <si>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</si>
  <si>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</si>
  <si>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</si>
  <si>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</si>
  <si>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</si>
  <si>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</si>
  <si>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</si>
  <si>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</si>
  <si>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</si>
  <si>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</si>
  <si>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</si>
  <si>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</si>
  <si>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</si>
  <si>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</si>
  <si>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</si>
  <si>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</si>
  <si>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</si>
  <si>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</si>
  <si>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</si>
  <si>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</si>
  <si>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</si>
  <si>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</si>
  <si>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</si>
  <si>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</si>
  <si>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</si>
  <si>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</si>
  <si>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</si>
  <si>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</si>
  <si>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</si>
  <si>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</si>
  <si>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</si>
  <si>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</si>
  <si>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</si>
  <si>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</si>
  <si>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</si>
  <si>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</si>
  <si>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</si>
  <si>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</si>
  <si>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</si>
  <si>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</si>
  <si>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</si>
  <si>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</si>
  <si>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</si>
  <si>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</si>
  <si>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</si>
  <si>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</si>
  <si>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</si>
  <si>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</si>
  <si>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</si>
  <si>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</si>
  <si>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</si>
  <si>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</si>
  <si>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</si>
  <si>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</si>
  <si>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</si>
  <si>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</si>
  <si>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</si>
  <si>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</si>
  <si>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</si>
  <si>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</si>
  <si>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</si>
  <si>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</si>
  <si>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</si>
  <si>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</si>
  <si>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</si>
  <si>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</si>
  <si>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</si>
  <si>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</si>
  <si>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</si>
  <si>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</si>
  <si>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</si>
  <si>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</si>
  <si>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</si>
  <si>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</si>
  <si>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</si>
  <si>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</si>
  <si>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</si>
  <si>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</si>
  <si>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</si>
  <si>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</si>
  <si>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</si>
  <si>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</si>
  <si>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</si>
  <si>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</si>
  <si>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</si>
  <si>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</si>
  <si>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</si>
  <si>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</si>
  <si>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</si>
  <si>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</si>
  <si>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</si>
  <si>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</si>
  <si>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</si>
  <si>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</si>
  <si>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</si>
  <si>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</si>
  <si>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</si>
  <si>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</si>
  <si>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</si>
  <si>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</si>
  <si>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</si>
  <si>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</si>
  <si>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</si>
  <si>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</si>
  <si>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</si>
  <si>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</si>
  <si>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</si>
  <si>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</si>
  <si>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</si>
  <si>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</si>
  <si>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</si>
  <si>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</si>
  <si>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</si>
  <si>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</si>
  <si>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</si>
  <si>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</si>
  <si>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</si>
  <si>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</si>
  <si>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</si>
  <si>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</si>
  <si>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</si>
  <si>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</si>
  <si>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</si>
  <si>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</si>
  <si>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</si>
  <si>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</si>
  <si>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</si>
  <si>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</si>
  <si>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</si>
  <si>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</si>
  <si>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</si>
  <si>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</si>
  <si>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</si>
  <si>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</si>
  <si>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</si>
  <si>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</si>
  <si>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</si>
  <si>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</si>
  <si>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</si>
  <si>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</si>
  <si>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</si>
  <si>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</si>
  <si>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</si>
  <si>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</si>
  <si>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</si>
  <si>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</si>
  <si>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</si>
  <si>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</si>
  <si>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</si>
  <si>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</si>
  <si>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</si>
  <si>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</si>
  <si>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</si>
  <si>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</si>
  <si>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</si>
  <si>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</si>
  <si>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</si>
  <si>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</si>
  <si>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</si>
  <si>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</si>
  <si>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</si>
  <si>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</si>
  <si>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</si>
  <si>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</si>
  <si>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</si>
  <si>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</si>
  <si>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</si>
  <si>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</si>
  <si>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</si>
  <si>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</si>
  <si>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</si>
  <si>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</si>
  <si>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</si>
  <si>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</si>
  <si>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</si>
  <si>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</si>
  <si>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</si>
  <si>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</si>
  <si>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</si>
  <si>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</si>
  <si>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</si>
  <si>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</si>
  <si>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</si>
  <si>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</si>
  <si>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</si>
  <si>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</si>
  <si>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</si>
  <si>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</si>
  <si>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</si>
  <si>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</si>
  <si>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</si>
  <si>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</si>
  <si>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</si>
  <si>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</si>
  <si>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</si>
  <si>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</si>
  <si>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</si>
  <si>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</si>
  <si>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</si>
  <si>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</si>
  <si>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</si>
  <si>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</si>
  <si>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</si>
  <si>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</si>
  <si>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</si>
  <si>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</si>
  <si>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</si>
  <si>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</si>
  <si>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</si>
  <si>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</si>
  <si>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</si>
  <si>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</si>
  <si>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</si>
  <si>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</si>
  <si>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</si>
  <si>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</si>
  <si>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</si>
  <si>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</si>
  <si>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</si>
  <si>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</si>
  <si>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</si>
  <si>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</si>
  <si>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</si>
  <si>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</si>
  <si>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</si>
  <si>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</si>
  <si>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</si>
  <si>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</si>
  <si>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</si>
  <si>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</si>
  <si>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</si>
  <si>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</si>
  <si>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</si>
  <si>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</si>
  <si>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</si>
  <si>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</si>
  <si>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</si>
  <si>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</si>
  <si>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</si>
  <si>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</si>
  <si>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</si>
  <si>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</si>
  <si>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</si>
  <si>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</si>
  <si>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</si>
  <si>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</si>
  <si>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</si>
  <si>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</si>
  <si>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45060</t>
  </si>
  <si>
    <t>KLUISBERGEN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</si>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</sst>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56677.56400756997</c:v>
                </c:pt>
                <c:pt idx="1">
                  <c:v>12774.195290353528</c:v>
                </c:pt>
                <c:pt idx="2">
                  <c:v>672.06200000000001</c:v>
                </c:pt>
                <c:pt idx="3">
                  <c:v>3833.0333142145241</c:v>
                </c:pt>
                <c:pt idx="4">
                  <c:v>72308.941183029834</c:v>
                </c:pt>
                <c:pt idx="5">
                  <c:v>33325.921237848386</c:v>
                </c:pt>
                <c:pt idx="6">
                  <c:v>443.14949326849523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16320"/>
        <c:axId val="143017856"/>
      </c:barChart>
      <c:catAx>
        <c:axId val="143016320"/>
        <c:scaling>
          <c:orientation val="minMax"/>
        </c:scaling>
        <c:axPos val="b"/>
        <c:numFmt formatCode="General" sourceLinked="0"/>
        <c:tickLblPos val="nextTo"/>
        <c:crossAx val="143017856"/>
        <c:crosses val="autoZero"/>
        <c:auto val="1"/>
        <c:lblAlgn val="ctr"/>
        <c:lblOffset val="100"/>
      </c:catAx>
      <c:valAx>
        <c:axId val="143017856"/>
        <c:scaling>
          <c:orientation val="minMax"/>
        </c:scaling>
        <c:axPos val="l"/>
        <c:majorGridlines/>
        <c:numFmt formatCode="#,##0" sourceLinked="1"/>
        <c:tickLblPos val="nextTo"/>
        <c:crossAx val="143016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56677.56400756997</c:v>
                </c:pt>
                <c:pt idx="1">
                  <c:v>12774.195290353528</c:v>
                </c:pt>
                <c:pt idx="2">
                  <c:v>672.06200000000001</c:v>
                </c:pt>
                <c:pt idx="3">
                  <c:v>3833.0333142145241</c:v>
                </c:pt>
                <c:pt idx="4">
                  <c:v>72308.941183029834</c:v>
                </c:pt>
                <c:pt idx="5">
                  <c:v>33325.921237848386</c:v>
                </c:pt>
                <c:pt idx="6">
                  <c:v>443.14949326849523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11611.467654692733</c:v>
                </c:pt>
                <c:pt idx="2">
                  <c:v>2611.8682191890757</c:v>
                </c:pt>
                <c:pt idx="3">
                  <c:v>145.3223806858031</c:v>
                </c:pt>
                <c:pt idx="4">
                  <c:v>982.33658664369318</c:v>
                </c:pt>
                <c:pt idx="5">
                  <c:v>14406.595531347948</c:v>
                </c:pt>
                <c:pt idx="6">
                  <c:v>8352.8019201019815</c:v>
                </c:pt>
                <c:pt idx="7">
                  <c:v>111.93744833919341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4160"/>
        <c:axId val="147170048"/>
      </c:barChart>
      <c:catAx>
        <c:axId val="147164160"/>
        <c:scaling>
          <c:orientation val="minMax"/>
        </c:scaling>
        <c:axPos val="b"/>
        <c:numFmt formatCode="General" sourceLinked="0"/>
        <c:tickLblPos val="nextTo"/>
        <c:crossAx val="147170048"/>
        <c:crosses val="autoZero"/>
        <c:auto val="1"/>
        <c:lblAlgn val="ctr"/>
        <c:lblOffset val="100"/>
      </c:catAx>
      <c:valAx>
        <c:axId val="147170048"/>
        <c:scaling>
          <c:orientation val="minMax"/>
        </c:scaling>
        <c:axPos val="l"/>
        <c:majorGridlines/>
        <c:numFmt formatCode="#,##0" sourceLinked="1"/>
        <c:tickLblPos val="nextTo"/>
        <c:crossAx val="147164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11611.467654692733</c:v>
                </c:pt>
                <c:pt idx="2">
                  <c:v>2611.8682191890757</c:v>
                </c:pt>
                <c:pt idx="3">
                  <c:v>145.3223806858031</c:v>
                </c:pt>
                <c:pt idx="4">
                  <c:v>982.33658664369318</c:v>
                </c:pt>
                <c:pt idx="5">
                  <c:v>14406.595531347948</c:v>
                </c:pt>
                <c:pt idx="6">
                  <c:v>8352.8019201019815</c:v>
                </c:pt>
                <c:pt idx="7">
                  <c:v>111.93744833919341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45060</v>
      </c>
      <c r="B6" s="416"/>
      <c r="C6" s="417"/>
    </row>
    <row r="7" spans="1:7" s="414" customFormat="1" ht="15.75" customHeight="1">
      <c r="A7" s="418" t="str">
        <f>txtMunicipality</f>
        <v>KLUISBERGEN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0.2162335925640835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0.2162335925640835</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2636</v>
      </c>
      <c r="C9" s="342">
        <v>2822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1805</v>
      </c>
    </row>
    <row r="15" spans="1:6">
      <c r="A15" s="348" t="s">
        <v>184</v>
      </c>
      <c r="B15" s="334">
        <v>14</v>
      </c>
    </row>
    <row r="16" spans="1:6">
      <c r="A16" s="348" t="s">
        <v>6</v>
      </c>
      <c r="B16" s="334">
        <v>529</v>
      </c>
    </row>
    <row r="17" spans="1:6">
      <c r="A17" s="348" t="s">
        <v>7</v>
      </c>
      <c r="B17" s="334">
        <v>437</v>
      </c>
    </row>
    <row r="18" spans="1:6">
      <c r="A18" s="348" t="s">
        <v>8</v>
      </c>
      <c r="B18" s="334">
        <v>600</v>
      </c>
    </row>
    <row r="19" spans="1:6">
      <c r="A19" s="348" t="s">
        <v>9</v>
      </c>
      <c r="B19" s="334">
        <v>634</v>
      </c>
    </row>
    <row r="20" spans="1:6">
      <c r="A20" s="348" t="s">
        <v>10</v>
      </c>
      <c r="B20" s="334">
        <v>465</v>
      </c>
    </row>
    <row r="21" spans="1:6">
      <c r="A21" s="348" t="s">
        <v>11</v>
      </c>
      <c r="B21" s="334">
        <v>3024</v>
      </c>
    </row>
    <row r="22" spans="1:6">
      <c r="A22" s="348" t="s">
        <v>12</v>
      </c>
      <c r="B22" s="334">
        <v>6771</v>
      </c>
    </row>
    <row r="23" spans="1:6">
      <c r="A23" s="348" t="s">
        <v>13</v>
      </c>
      <c r="B23" s="334">
        <v>86</v>
      </c>
    </row>
    <row r="24" spans="1:6">
      <c r="A24" s="348" t="s">
        <v>14</v>
      </c>
      <c r="B24" s="334">
        <v>4</v>
      </c>
    </row>
    <row r="25" spans="1:6">
      <c r="A25" s="348" t="s">
        <v>15</v>
      </c>
      <c r="B25" s="334">
        <v>574</v>
      </c>
    </row>
    <row r="26" spans="1:6">
      <c r="A26" s="348" t="s">
        <v>16</v>
      </c>
      <c r="B26" s="334">
        <v>313</v>
      </c>
    </row>
    <row r="27" spans="1:6">
      <c r="A27" s="348" t="s">
        <v>17</v>
      </c>
      <c r="B27" s="334">
        <v>6</v>
      </c>
    </row>
    <row r="28" spans="1:6" s="356" customFormat="1">
      <c r="A28" s="355" t="s">
        <v>18</v>
      </c>
      <c r="B28" s="355">
        <v>32811</v>
      </c>
    </row>
    <row r="29" spans="1:6">
      <c r="A29" s="355" t="s">
        <v>901</v>
      </c>
      <c r="B29" s="355">
        <v>16</v>
      </c>
      <c r="C29" s="356"/>
      <c r="D29" s="356"/>
      <c r="E29" s="356"/>
      <c r="F29" s="356"/>
    </row>
    <row r="30" spans="1:6">
      <c r="A30" s="341" t="s">
        <v>902</v>
      </c>
      <c r="B30" s="341">
        <v>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3</v>
      </c>
      <c r="F38" s="334">
        <v>17637.849999999999</v>
      </c>
    </row>
    <row r="39" spans="1:6">
      <c r="A39" s="348" t="s">
        <v>30</v>
      </c>
      <c r="B39" s="348" t="s">
        <v>31</v>
      </c>
      <c r="C39" s="334">
        <v>1083</v>
      </c>
      <c r="D39" s="334">
        <v>15386856.7167038</v>
      </c>
      <c r="E39" s="334">
        <v>2560</v>
      </c>
      <c r="F39" s="334">
        <v>11873644</v>
      </c>
    </row>
    <row r="40" spans="1:6">
      <c r="A40" s="348" t="s">
        <v>30</v>
      </c>
      <c r="B40" s="348" t="s">
        <v>29</v>
      </c>
      <c r="C40" s="334">
        <v>0</v>
      </c>
      <c r="D40" s="334">
        <v>0</v>
      </c>
      <c r="E40" s="334">
        <v>2</v>
      </c>
      <c r="F40" s="334">
        <v>3958.9090000000001</v>
      </c>
    </row>
    <row r="41" spans="1:6">
      <c r="A41" s="348" t="s">
        <v>32</v>
      </c>
      <c r="B41" s="348" t="s">
        <v>33</v>
      </c>
      <c r="C41" s="334">
        <v>10</v>
      </c>
      <c r="D41" s="334">
        <v>106995.15859609599</v>
      </c>
      <c r="E41" s="334">
        <v>81</v>
      </c>
      <c r="F41" s="334">
        <v>5286825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32859.339999999997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7</v>
      </c>
      <c r="F47" s="334">
        <v>112820.6</v>
      </c>
    </row>
    <row r="48" spans="1:6">
      <c r="A48" s="348" t="s">
        <v>32</v>
      </c>
      <c r="B48" s="348" t="s">
        <v>29</v>
      </c>
      <c r="C48" s="334">
        <v>17</v>
      </c>
      <c r="D48" s="334">
        <v>11438971.3389343</v>
      </c>
      <c r="E48" s="334">
        <v>25</v>
      </c>
      <c r="F48" s="334">
        <v>33191380</v>
      </c>
    </row>
    <row r="49" spans="1:6">
      <c r="A49" s="348" t="s">
        <v>32</v>
      </c>
      <c r="B49" s="348" t="s">
        <v>40</v>
      </c>
      <c r="C49" s="334">
        <v>0</v>
      </c>
      <c r="D49" s="334">
        <v>0</v>
      </c>
      <c r="E49" s="334">
        <v>0</v>
      </c>
      <c r="F49" s="334">
        <v>0</v>
      </c>
    </row>
    <row r="50" spans="1:6">
      <c r="A50" s="348" t="s">
        <v>32</v>
      </c>
      <c r="B50" s="348" t="s">
        <v>41</v>
      </c>
      <c r="C50" s="334">
        <v>0</v>
      </c>
      <c r="D50" s="334">
        <v>0</v>
      </c>
      <c r="E50" s="334">
        <v>3</v>
      </c>
      <c r="F50" s="334">
        <v>71580.28</v>
      </c>
    </row>
    <row r="51" spans="1:6">
      <c r="A51" s="348" t="s">
        <v>42</v>
      </c>
      <c r="B51" s="348" t="s">
        <v>43</v>
      </c>
      <c r="C51" s="334">
        <v>0</v>
      </c>
      <c r="D51" s="334">
        <v>0</v>
      </c>
      <c r="E51" s="334">
        <v>44</v>
      </c>
      <c r="F51" s="334">
        <v>720378.6</v>
      </c>
    </row>
    <row r="52" spans="1:6">
      <c r="A52" s="348" t="s">
        <v>42</v>
      </c>
      <c r="B52" s="348" t="s">
        <v>29</v>
      </c>
      <c r="C52" s="334">
        <v>3</v>
      </c>
      <c r="D52" s="334">
        <v>38914.008235238703</v>
      </c>
      <c r="E52" s="334">
        <v>5</v>
      </c>
      <c r="F52" s="334">
        <v>306155.2</v>
      </c>
    </row>
    <row r="53" spans="1:6">
      <c r="A53" s="348" t="s">
        <v>44</v>
      </c>
      <c r="B53" s="348" t="s">
        <v>45</v>
      </c>
      <c r="C53" s="334">
        <v>37</v>
      </c>
      <c r="D53" s="334">
        <v>428329.08355115098</v>
      </c>
      <c r="E53" s="334">
        <v>112</v>
      </c>
      <c r="F53" s="334">
        <v>524321.4</v>
      </c>
    </row>
    <row r="54" spans="1:6">
      <c r="A54" s="348" t="s">
        <v>46</v>
      </c>
      <c r="B54" s="348" t="s">
        <v>47</v>
      </c>
      <c r="C54" s="334">
        <v>0</v>
      </c>
      <c r="D54" s="334">
        <v>0</v>
      </c>
      <c r="E54" s="334">
        <v>1</v>
      </c>
      <c r="F54" s="334">
        <v>672062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135138.217705741</v>
      </c>
      <c r="E57" s="334">
        <v>24</v>
      </c>
      <c r="F57" s="334">
        <v>502884.2</v>
      </c>
    </row>
    <row r="58" spans="1:6">
      <c r="A58" s="348" t="s">
        <v>49</v>
      </c>
      <c r="B58" s="348" t="s">
        <v>51</v>
      </c>
      <c r="C58" s="334">
        <v>7</v>
      </c>
      <c r="D58" s="334">
        <v>589265.70957054396</v>
      </c>
      <c r="E58" s="334">
        <v>12</v>
      </c>
      <c r="F58" s="334">
        <v>70960.639999999999</v>
      </c>
    </row>
    <row r="59" spans="1:6">
      <c r="A59" s="348" t="s">
        <v>49</v>
      </c>
      <c r="B59" s="348" t="s">
        <v>52</v>
      </c>
      <c r="C59" s="334">
        <v>10</v>
      </c>
      <c r="D59" s="334">
        <v>179438.664793581</v>
      </c>
      <c r="E59" s="334">
        <v>46</v>
      </c>
      <c r="F59" s="334">
        <v>1201784</v>
      </c>
    </row>
    <row r="60" spans="1:6">
      <c r="A60" s="348" t="s">
        <v>49</v>
      </c>
      <c r="B60" s="348" t="s">
        <v>53</v>
      </c>
      <c r="C60" s="334">
        <v>5</v>
      </c>
      <c r="D60" s="334">
        <v>160450.38278956601</v>
      </c>
      <c r="E60" s="334">
        <v>26</v>
      </c>
      <c r="F60" s="334">
        <v>739190.5</v>
      </c>
    </row>
    <row r="61" spans="1:6">
      <c r="A61" s="348" t="s">
        <v>49</v>
      </c>
      <c r="B61" s="348" t="s">
        <v>54</v>
      </c>
      <c r="C61" s="334">
        <v>16</v>
      </c>
      <c r="D61" s="334">
        <v>1005888.91043442</v>
      </c>
      <c r="E61" s="334">
        <v>101</v>
      </c>
      <c r="F61" s="334">
        <v>1255713</v>
      </c>
    </row>
    <row r="62" spans="1:6">
      <c r="A62" s="348" t="s">
        <v>49</v>
      </c>
      <c r="B62" s="348" t="s">
        <v>55</v>
      </c>
      <c r="C62" s="334">
        <v>0</v>
      </c>
      <c r="D62" s="334">
        <v>0</v>
      </c>
      <c r="E62" s="334">
        <v>3</v>
      </c>
      <c r="F62" s="334">
        <v>36035.279999999999</v>
      </c>
    </row>
    <row r="63" spans="1:6">
      <c r="A63" s="348" t="s">
        <v>49</v>
      </c>
      <c r="B63" s="348" t="s">
        <v>29</v>
      </c>
      <c r="C63" s="334">
        <v>70</v>
      </c>
      <c r="D63" s="334">
        <v>3025883.2518321699</v>
      </c>
      <c r="E63" s="334">
        <v>93</v>
      </c>
      <c r="F63" s="334">
        <v>2687127</v>
      </c>
    </row>
    <row r="64" spans="1:6">
      <c r="A64" s="348" t="s">
        <v>56</v>
      </c>
      <c r="B64" s="348" t="s">
        <v>57</v>
      </c>
      <c r="C64" s="334">
        <v>0</v>
      </c>
      <c r="D64" s="334">
        <v>0</v>
      </c>
      <c r="E64" s="334">
        <v>0</v>
      </c>
      <c r="F64" s="334">
        <v>0</v>
      </c>
    </row>
    <row r="65" spans="1:6">
      <c r="A65" s="348" t="s">
        <v>56</v>
      </c>
      <c r="B65" s="348" t="s">
        <v>29</v>
      </c>
      <c r="C65" s="334">
        <v>0</v>
      </c>
      <c r="D65" s="334">
        <v>0</v>
      </c>
      <c r="E65" s="334">
        <v>4</v>
      </c>
      <c r="F65" s="334">
        <v>67167.59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45807.88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27080072</v>
      </c>
      <c r="E73" s="476">
        <v>26333727.233886968</v>
      </c>
    </row>
    <row r="74" spans="1:6">
      <c r="A74" s="348" t="s">
        <v>64</v>
      </c>
      <c r="B74" s="348" t="s">
        <v>714</v>
      </c>
      <c r="C74" s="1311" t="s">
        <v>716</v>
      </c>
      <c r="D74" s="476">
        <v>3245371.93770251</v>
      </c>
      <c r="E74" s="476">
        <v>3163372.494989506</v>
      </c>
    </row>
    <row r="75" spans="1:6">
      <c r="A75" s="348" t="s">
        <v>65</v>
      </c>
      <c r="B75" s="348" t="s">
        <v>713</v>
      </c>
      <c r="C75" s="1311" t="s">
        <v>717</v>
      </c>
      <c r="D75" s="476">
        <v>8266063</v>
      </c>
      <c r="E75" s="476">
        <v>8100895.0008049719</v>
      </c>
    </row>
    <row r="76" spans="1:6">
      <c r="A76" s="348" t="s">
        <v>65</v>
      </c>
      <c r="B76" s="348" t="s">
        <v>714</v>
      </c>
      <c r="C76" s="1311" t="s">
        <v>718</v>
      </c>
      <c r="D76" s="476">
        <v>338119.93770250998</v>
      </c>
      <c r="E76" s="476">
        <v>324864.16651073215</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118420.12459498005</v>
      </c>
      <c r="C83" s="476">
        <v>120150.92569678888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968.84969788379499</v>
      </c>
    </row>
    <row r="92" spans="1:6">
      <c r="A92" s="341" t="s">
        <v>69</v>
      </c>
      <c r="B92" s="342">
        <v>330.87787565590799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344</v>
      </c>
    </row>
    <row r="98" spans="1:6">
      <c r="A98" s="348" t="s">
        <v>72</v>
      </c>
      <c r="B98" s="334">
        <v>1</v>
      </c>
    </row>
    <row r="99" spans="1:6">
      <c r="A99" s="348" t="s">
        <v>73</v>
      </c>
      <c r="B99" s="334">
        <v>53</v>
      </c>
    </row>
    <row r="100" spans="1:6">
      <c r="A100" s="348" t="s">
        <v>74</v>
      </c>
      <c r="B100" s="334">
        <v>270</v>
      </c>
    </row>
    <row r="101" spans="1:6">
      <c r="A101" s="348" t="s">
        <v>75</v>
      </c>
      <c r="B101" s="334">
        <v>72</v>
      </c>
    </row>
    <row r="102" spans="1:6">
      <c r="A102" s="348" t="s">
        <v>76</v>
      </c>
      <c r="B102" s="334">
        <v>42</v>
      </c>
    </row>
    <row r="103" spans="1:6">
      <c r="A103" s="348" t="s">
        <v>77</v>
      </c>
      <c r="B103" s="334">
        <v>142</v>
      </c>
    </row>
    <row r="104" spans="1:6">
      <c r="A104" s="348" t="s">
        <v>78</v>
      </c>
      <c r="B104" s="334">
        <v>1403</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46</v>
      </c>
    </row>
    <row r="130" spans="1:6">
      <c r="A130" s="348" t="s">
        <v>295</v>
      </c>
      <c r="B130" s="334">
        <v>1</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60263.373959142657</v>
      </c>
      <c r="C3" s="43" t="s">
        <v>170</v>
      </c>
      <c r="D3" s="43"/>
      <c r="E3" s="154"/>
      <c r="F3" s="43"/>
      <c r="G3" s="43"/>
      <c r="H3" s="43"/>
      <c r="I3" s="43"/>
      <c r="J3" s="43"/>
      <c r="K3" s="96"/>
    </row>
    <row r="4" spans="1:11">
      <c r="A4" s="384" t="s">
        <v>171</v>
      </c>
      <c r="B4" s="49">
        <f>IF(ISERROR('SEAP template'!B78+'SEAP template'!C78),0,'SEAP template'!B78+'SEAP template'!C78)</f>
        <v>1299.7275735397029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0.2162335925640835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672.06200000000001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672.06200000000001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0.2162335925640835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145.3223806858031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11877.602908999999</v>
      </c>
      <c r="C5" s="17">
        <f>IF(ISERROR('Eigen informatie GS &amp; warmtenet'!B57),0,'Eigen informatie GS &amp; warmtenet'!B57)</f>
        <v>0</v>
      </c>
      <c r="D5" s="30">
        <f>(SUM(HH_hh_gas_kWh,HH_rest_gas_kWh)/1000)*0.902</f>
        <v>13878.944758466829</v>
      </c>
      <c r="E5" s="17">
        <f>B46*B57</f>
        <v>1463.4550772507419</v>
      </c>
      <c r="F5" s="17">
        <f>B51*B62</f>
        <v>18164.504982655515</v>
      </c>
      <c r="G5" s="18"/>
      <c r="H5" s="17"/>
      <c r="I5" s="17"/>
      <c r="J5" s="17">
        <f>B50*B61+C50*C61</f>
        <v>2395.3646375332619</v>
      </c>
      <c r="K5" s="17"/>
      <c r="L5" s="17"/>
      <c r="M5" s="17"/>
      <c r="N5" s="17">
        <f>B48*B59+C48*C59</f>
        <v>7539.355278113163</v>
      </c>
      <c r="O5" s="17">
        <f>B69*B70*B71</f>
        <v>84.42</v>
      </c>
      <c r="P5" s="17">
        <f>B77*B78*B79/1000-B77*B78*B79/1000/B80</f>
        <v>305.06666666666666</v>
      </c>
    </row>
    <row r="6" spans="1:16">
      <c r="A6" s="16" t="s">
        <v>631</v>
      </c>
      <c r="B6" s="789">
        <f>kWh_PV_kleiner_dan_10kW</f>
        <v>968.84969788379499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12846.452606883795</v>
      </c>
      <c r="C8" s="21">
        <f>C5</f>
        <v>0</v>
      </c>
      <c r="D8" s="21">
        <f>D5</f>
        <v>13878.944758466829</v>
      </c>
      <c r="E8" s="21">
        <f>E5</f>
        <v>1463.4550772507419</v>
      </c>
      <c r="F8" s="21">
        <f>F5</f>
        <v>18164.504982655515</v>
      </c>
      <c r="G8" s="21"/>
      <c r="H8" s="21"/>
      <c r="I8" s="21"/>
      <c r="J8" s="21">
        <f>J5</f>
        <v>2395.3646375332619</v>
      </c>
      <c r="K8" s="21"/>
      <c r="L8" s="21">
        <f>L5</f>
        <v>0</v>
      </c>
      <c r="M8" s="21">
        <f>M5</f>
        <v>0</v>
      </c>
      <c r="N8" s="21">
        <f>N5</f>
        <v>7539.355278113163</v>
      </c>
      <c r="O8" s="21">
        <f>O5</f>
        <v>84.42</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0.2162335925640835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2777.834598890719</v>
      </c>
      <c r="C12" s="23">
        <f ca="1">C10*C8</f>
        <v>0</v>
      </c>
      <c r="D12" s="23">
        <f>D8*D10</f>
        <v>2803.5468412102996</v>
      </c>
      <c r="E12" s="23">
        <f>E10*E8</f>
        <v>332.20430253591843</v>
      </c>
      <c r="F12" s="23">
        <f>F10*F8</f>
        <v>4849.9228303690224</v>
      </c>
      <c r="G12" s="23"/>
      <c r="H12" s="23"/>
      <c r="I12" s="23"/>
      <c r="J12" s="23">
        <f>J10*J8</f>
        <v>847.95908168677465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344</v>
      </c>
      <c r="C18" s="166" t="s">
        <v>111</v>
      </c>
      <c r="D18" s="228"/>
      <c r="E18" s="15"/>
    </row>
    <row r="19" spans="1:7">
      <c r="A19" s="171" t="s">
        <v>72</v>
      </c>
      <c r="B19" s="37">
        <f>aantalw2001_ander</f>
        <v>1</v>
      </c>
      <c r="C19" s="166" t="s">
        <v>111</v>
      </c>
      <c r="D19" s="229"/>
      <c r="E19" s="15"/>
    </row>
    <row r="20" spans="1:7">
      <c r="A20" s="171" t="s">
        <v>73</v>
      </c>
      <c r="B20" s="37">
        <f>aantalw2001_propaan</f>
        <v>53</v>
      </c>
      <c r="C20" s="167">
        <f>IF(ISERROR(B20/SUM($B$20,$B$21,$B$22)*100),0,B20/SUM($B$20,$B$21,$B$22)*100)</f>
        <v>13.41772151898734</v>
      </c>
      <c r="D20" s="229"/>
      <c r="E20" s="15"/>
    </row>
    <row r="21" spans="1:7">
      <c r="A21" s="171" t="s">
        <v>74</v>
      </c>
      <c r="B21" s="37">
        <f>aantalw2001_elektriciteit</f>
        <v>270</v>
      </c>
      <c r="C21" s="167">
        <f>IF(ISERROR(B21/SUM($B$20,$B$21,$B$22)*100),0,B21/SUM($B$20,$B$21,$B$22)*100)</f>
        <v>68.35443037974683</v>
      </c>
      <c r="D21" s="229"/>
      <c r="E21" s="15"/>
    </row>
    <row r="22" spans="1:7">
      <c r="A22" s="171" t="s">
        <v>75</v>
      </c>
      <c r="B22" s="37">
        <f>aantalw2001_hout</f>
        <v>72</v>
      </c>
      <c r="C22" s="167">
        <f>IF(ISERROR(B22/SUM($B$20,$B$21,$B$22)*100),0,B22/SUM($B$20,$B$21,$B$22)*100)</f>
        <v>18.227848101265824</v>
      </c>
      <c r="D22" s="229"/>
      <c r="E22" s="15"/>
    </row>
    <row r="23" spans="1:7">
      <c r="A23" s="171" t="s">
        <v>76</v>
      </c>
      <c r="B23" s="37">
        <f>aantalw2001_niet_gespec</f>
        <v>42</v>
      </c>
      <c r="C23" s="166" t="s">
        <v>111</v>
      </c>
      <c r="D23" s="228"/>
      <c r="E23" s="15"/>
    </row>
    <row r="24" spans="1:7">
      <c r="A24" s="171" t="s">
        <v>77</v>
      </c>
      <c r="B24" s="37">
        <f>aantalw2001_steenkool</f>
        <v>142</v>
      </c>
      <c r="C24" s="166" t="s">
        <v>111</v>
      </c>
      <c r="D24" s="229"/>
      <c r="E24" s="15"/>
    </row>
    <row r="25" spans="1:7">
      <c r="A25" s="171" t="s">
        <v>78</v>
      </c>
      <c r="B25" s="37">
        <f>aantalw2001_stookolie</f>
        <v>1403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2636</v>
      </c>
      <c r="C28" s="36"/>
      <c r="D28" s="228"/>
    </row>
    <row r="29" spans="1:7" s="15" customFormat="1">
      <c r="A29" s="230" t="s">
        <v>741</v>
      </c>
      <c r="B29" s="37">
        <f>SUM(HH_hh_gas_aantal,HH_rest_gas_aantal)</f>
        <v>1083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1083</v>
      </c>
      <c r="C32" s="167">
        <f>IF(ISERROR(B32/SUM($B$32,$B$34,$B$35,$B$36,$B$38,$B$39)*100),0,B32/SUM($B$32,$B$34,$B$35,$B$36,$B$38,$B$39)*100)</f>
        <v>41.335877862595424</v>
      </c>
      <c r="D32" s="233"/>
      <c r="G32" s="15"/>
    </row>
    <row r="33" spans="1:7">
      <c r="A33" s="171" t="s">
        <v>72</v>
      </c>
      <c r="B33" s="34" t="s">
        <v>111</v>
      </c>
      <c r="C33" s="167"/>
      <c r="D33" s="233"/>
      <c r="G33" s="15"/>
    </row>
    <row r="34" spans="1:7">
      <c r="A34" s="171" t="s">
        <v>73</v>
      </c>
      <c r="B34" s="33">
        <f>IF((($B$28-$B$32-$B$39-$B$77-$B$38)*C20/100)&lt;0,0,($B$28-$B$32-$B$39-$B$77-$B$38)*C20/100)</f>
        <v>98.083544303797467</v>
      </c>
      <c r="C34" s="167">
        <f>IF(ISERROR(B34/SUM($B$32,$B$34,$B$35,$B$36,$B$38,$B$39)*100),0,B34/SUM($B$32,$B$34,$B$35,$B$36,$B$38,$B$39)*100)</f>
        <v>3.7436467291525748</v>
      </c>
      <c r="D34" s="233"/>
      <c r="G34" s="15"/>
    </row>
    <row r="35" spans="1:7">
      <c r="A35" s="171" t="s">
        <v>74</v>
      </c>
      <c r="B35" s="33">
        <f>IF((($B$28-$B$32-$B$39-$B$77-$B$38)*C21/100)&lt;0,0,($B$28-$B$32-$B$39-$B$77-$B$38)*C21/100)</f>
        <v>499.67088607594928</v>
      </c>
      <c r="C35" s="167">
        <f>IF(ISERROR(B35/SUM($B$32,$B$34,$B$35,$B$36,$B$38,$B$39)*100),0,B35/SUM($B$32,$B$34,$B$35,$B$36,$B$38,$B$39)*100)</f>
        <v>19.071407865494248</v>
      </c>
      <c r="D35" s="233"/>
      <c r="G35" s="15"/>
    </row>
    <row r="36" spans="1:7">
      <c r="A36" s="171" t="s">
        <v>75</v>
      </c>
      <c r="B36" s="33">
        <f>IF((($B$28-$B$32-$B$39-$B$77-$B$38)*C22/100)&lt;0,0,($B$28-$B$32-$B$39-$B$77-$B$38)*C22/100)</f>
        <v>133.24556962025318</v>
      </c>
      <c r="C36" s="167">
        <f>IF(ISERROR(B36/SUM($B$32,$B$34,$B$35,$B$36,$B$38,$B$39)*100),0,B36/SUM($B$32,$B$34,$B$35,$B$36,$B$38,$B$39)*100)</f>
        <v>5.0857087641318008</v>
      </c>
      <c r="D36" s="233"/>
      <c r="G36" s="15"/>
    </row>
    <row r="37" spans="1:7">
      <c r="A37" s="171" t="s">
        <v>76</v>
      </c>
      <c r="B37" s="34" t="s">
        <v>111</v>
      </c>
      <c r="C37" s="167"/>
      <c r="D37" s="173"/>
      <c r="G37" s="15"/>
    </row>
    <row r="38" spans="1:7">
      <c r="A38" s="171" t="s">
        <v>77</v>
      </c>
      <c r="B38" s="33">
        <f>IF((B24-(B29-B18)*0.1)&lt;0,0,B24-(B29-B18)*0.1)</f>
        <v>68.099999999999994</v>
      </c>
      <c r="C38" s="167">
        <f>IF(ISERROR(B38/SUM($B$32,$B$34,$B$35,$B$36,$B$38,$B$39)*100),0,B38/SUM($B$32,$B$34,$B$35,$B$36,$B$38,$B$39)*100)</f>
        <v>2.5992366412213737</v>
      </c>
      <c r="D38" s="234"/>
      <c r="G38" s="15"/>
    </row>
    <row r="39" spans="1:7">
      <c r="A39" s="171" t="s">
        <v>78</v>
      </c>
      <c r="B39" s="33">
        <f>IF((B25-(B29-B18))&lt;0,0,B25-(B29-B18)*0.9)</f>
        <v>737.9</v>
      </c>
      <c r="C39" s="167">
        <f>IF(ISERROR(B39/SUM($B$32,$B$34,$B$35,$B$36,$B$38,$B$39)*100),0,B39/SUM($B$32,$B$34,$B$35,$B$36,$B$38,$B$39)*100)</f>
        <v>28.164122137404579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1083</v>
      </c>
      <c r="C44" s="34" t="s">
        <v>111</v>
      </c>
      <c r="D44" s="174"/>
    </row>
    <row r="45" spans="1:7">
      <c r="A45" s="171" t="s">
        <v>72</v>
      </c>
      <c r="B45" s="33" t="str">
        <f t="shared" si="0"/>
        <v>-</v>
      </c>
      <c r="C45" s="34" t="s">
        <v>111</v>
      </c>
      <c r="D45" s="174"/>
    </row>
    <row r="46" spans="1:7">
      <c r="A46" s="171" t="s">
        <v>73</v>
      </c>
      <c r="B46" s="33">
        <f t="shared" si="0"/>
        <v>98.083544303797467</v>
      </c>
      <c r="C46" s="34" t="s">
        <v>111</v>
      </c>
      <c r="D46" s="174"/>
    </row>
    <row r="47" spans="1:7">
      <c r="A47" s="171" t="s">
        <v>74</v>
      </c>
      <c r="B47" s="33">
        <f t="shared" si="0"/>
        <v>499.67088607594928</v>
      </c>
      <c r="C47" s="34" t="s">
        <v>111</v>
      </c>
      <c r="D47" s="174"/>
    </row>
    <row r="48" spans="1:7">
      <c r="A48" s="171" t="s">
        <v>75</v>
      </c>
      <c r="B48" s="33">
        <f t="shared" si="0"/>
        <v>133.24556962025318</v>
      </c>
      <c r="C48" s="33">
        <f>B48*10</f>
        <v>1332.4556962025317</v>
      </c>
      <c r="D48" s="234"/>
    </row>
    <row r="49" spans="1:6">
      <c r="A49" s="171" t="s">
        <v>76</v>
      </c>
      <c r="B49" s="33" t="str">
        <f t="shared" si="0"/>
        <v>-</v>
      </c>
      <c r="C49" s="34" t="s">
        <v>111</v>
      </c>
      <c r="D49" s="234"/>
    </row>
    <row r="50" spans="1:6">
      <c r="A50" s="171" t="s">
        <v>77</v>
      </c>
      <c r="B50" s="33">
        <f t="shared" si="0"/>
        <v>68.099999999999994</v>
      </c>
      <c r="C50" s="33">
        <f>B50*2</f>
        <v>136.19999999999999</v>
      </c>
      <c r="D50" s="234"/>
    </row>
    <row r="51" spans="1:6">
      <c r="A51" s="171" t="s">
        <v>78</v>
      </c>
      <c r="B51" s="33">
        <f t="shared" si="0"/>
        <v>737.9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6493.6946200000002</v>
      </c>
      <c r="C5" s="17">
        <f>IF(ISERROR('Eigen informatie GS &amp; warmtenet'!B58),0,'Eigen informatie GS &amp; warmtenet'!B58)</f>
        <v>0</v>
      </c>
      <c r="D5" s="30">
        <f>SUM(D6:D12)</f>
        <v>4596.6507536876725</v>
      </c>
      <c r="E5" s="17">
        <f>SUM(E6:E12)</f>
        <v>73.674826207098747</v>
      </c>
      <c r="F5" s="17">
        <f>SUM(F6:F12)</f>
        <v>983.0174707808726</v>
      </c>
      <c r="G5" s="18"/>
      <c r="H5" s="17"/>
      <c r="I5" s="17"/>
      <c r="J5" s="17">
        <f>SUM(J6:J12)</f>
        <v>0</v>
      </c>
      <c r="K5" s="17"/>
      <c r="L5" s="17"/>
      <c r="M5" s="17"/>
      <c r="N5" s="17">
        <f>SUM(N6:N12)</f>
        <v>606.5276196778816</v>
      </c>
      <c r="O5" s="17">
        <f>B38*B39*B40</f>
        <v>1.5633333333333335</v>
      </c>
      <c r="P5" s="17">
        <f>B46*B47*B48/1000-B46*B47*B48/1000/B49</f>
        <v>19.066666666666666</v>
      </c>
      <c r="R5" s="32"/>
    </row>
    <row r="6" spans="1:18">
      <c r="A6" s="32" t="s">
        <v>54</v>
      </c>
      <c r="B6" s="37">
        <f>B26</f>
        <v>1255.713</v>
      </c>
      <c r="C6" s="33"/>
      <c r="D6" s="37">
        <f>IF(ISERROR(TER_kantoor_gas_kWh/1000),0,TER_kantoor_gas_kWh/1000)*0.902</f>
        <v>907.31179721184685</v>
      </c>
      <c r="E6" s="33">
        <f>$C$26*'E Balans VL '!I12/100/3.6*1000000</f>
        <v>3.6379848002208575</v>
      </c>
      <c r="F6" s="33">
        <f>$C$26*('E Balans VL '!L12+'E Balans VL '!N12)/100/3.6*1000000</f>
        <v>142.11904609763872</v>
      </c>
      <c r="G6" s="34"/>
      <c r="H6" s="33"/>
      <c r="I6" s="33"/>
      <c r="J6" s="33">
        <f>$C$26*('E Balans VL '!D12+'E Balans VL '!E12)/100/3.6*1000000</f>
        <v>0</v>
      </c>
      <c r="K6" s="33"/>
      <c r="L6" s="33"/>
      <c r="M6" s="33"/>
      <c r="N6" s="33">
        <f>$C$26*'E Balans VL '!Y12/100/3.6*1000000</f>
        <v>12.568761879350298</v>
      </c>
      <c r="O6" s="33"/>
      <c r="P6" s="33"/>
      <c r="R6" s="32"/>
    </row>
    <row r="7" spans="1:18">
      <c r="A7" s="32" t="s">
        <v>53</v>
      </c>
      <c r="B7" s="37">
        <f t="shared" ref="B7:B12" si="0">B27</f>
        <v>739.19050000000004</v>
      </c>
      <c r="C7" s="33"/>
      <c r="D7" s="37">
        <f>IF(ISERROR(TER_horeca_gas_kWh/1000),0,TER_horeca_gas_kWh/1000)*0.902</f>
        <v>144.72624527618856</v>
      </c>
      <c r="E7" s="33">
        <f>$C$27*'E Balans VL '!I9/100/3.6*1000000</f>
        <v>31.02915193256041</v>
      </c>
      <c r="F7" s="33">
        <f>$C$27*('E Balans VL '!L9+'E Balans VL '!N9)/100/3.6*1000000</f>
        <v>158.83023745387746</v>
      </c>
      <c r="G7" s="34"/>
      <c r="H7" s="33"/>
      <c r="I7" s="33"/>
      <c r="J7" s="33">
        <f>$C$27*('E Balans VL '!D9+'E Balans VL '!E9)/100/3.6*1000000</f>
        <v>0</v>
      </c>
      <c r="K7" s="33"/>
      <c r="L7" s="33"/>
      <c r="M7" s="33"/>
      <c r="N7" s="33">
        <f>$C$27*'E Balans VL '!Y9/100/3.6*1000000</f>
        <v>0.19048292739456449</v>
      </c>
      <c r="O7" s="33"/>
      <c r="P7" s="33"/>
      <c r="R7" s="32"/>
    </row>
    <row r="8" spans="1:18">
      <c r="A8" s="6" t="s">
        <v>52</v>
      </c>
      <c r="B8" s="37">
        <f t="shared" si="0"/>
        <v>1201.7840000000001</v>
      </c>
      <c r="C8" s="33"/>
      <c r="D8" s="37">
        <f>IF(ISERROR(TER_handel_gas_kWh/1000),0,TER_handel_gas_kWh/1000)*0.902</f>
        <v>161.85367564381008</v>
      </c>
      <c r="E8" s="33">
        <f>$C$28*'E Balans VL '!I13/100/3.6*1000000</f>
        <v>12.908160376390459</v>
      </c>
      <c r="F8" s="33">
        <f>$C$28*('E Balans VL '!L13+'E Balans VL '!N13)/100/3.6*1000000</f>
        <v>155.58086292768817</v>
      </c>
      <c r="G8" s="34"/>
      <c r="H8" s="33"/>
      <c r="I8" s="33"/>
      <c r="J8" s="33">
        <f>$C$28*('E Balans VL '!D13+'E Balans VL '!E13)/100/3.6*1000000</f>
        <v>0</v>
      </c>
      <c r="K8" s="33"/>
      <c r="L8" s="33"/>
      <c r="M8" s="33"/>
      <c r="N8" s="33">
        <f>$C$28*'E Balans VL '!Y13/100/3.6*1000000</f>
        <v>9.7489374282595378</v>
      </c>
      <c r="O8" s="33"/>
      <c r="P8" s="33"/>
      <c r="R8" s="32"/>
    </row>
    <row r="9" spans="1:18">
      <c r="A9" s="32" t="s">
        <v>51</v>
      </c>
      <c r="B9" s="37">
        <f t="shared" si="0"/>
        <v>70.960639999999998</v>
      </c>
      <c r="C9" s="33"/>
      <c r="D9" s="37">
        <f>IF(ISERROR(TER_gezond_gas_kWh/1000),0,TER_gezond_gas_kWh/1000)*0.902</f>
        <v>531.51767003263069</v>
      </c>
      <c r="E9" s="33">
        <f>$C$29*'E Balans VL '!I10/100/3.6*1000000</f>
        <v>5.6489259051235884E-2</v>
      </c>
      <c r="F9" s="33">
        <f>$C$29*('E Balans VL '!L10+'E Balans VL '!N10)/100/3.6*1000000</f>
        <v>8.6262912656128243</v>
      </c>
      <c r="G9" s="34"/>
      <c r="H9" s="33"/>
      <c r="I9" s="33"/>
      <c r="J9" s="33">
        <f>$C$29*('E Balans VL '!D10+'E Balans VL '!E10)/100/3.6*1000000</f>
        <v>0</v>
      </c>
      <c r="K9" s="33"/>
      <c r="L9" s="33"/>
      <c r="M9" s="33"/>
      <c r="N9" s="33">
        <f>$C$29*'E Balans VL '!Y10/100/3.6*1000000</f>
        <v>0.57320125013364753</v>
      </c>
      <c r="O9" s="33"/>
      <c r="P9" s="33"/>
      <c r="R9" s="32"/>
    </row>
    <row r="10" spans="1:18">
      <c r="A10" s="32" t="s">
        <v>50</v>
      </c>
      <c r="B10" s="37">
        <f t="shared" si="0"/>
        <v>502.88420000000002</v>
      </c>
      <c r="C10" s="33"/>
      <c r="D10" s="37">
        <f>IF(ISERROR(TER_ander_gas_kWh/1000),0,TER_ander_gas_kWh/1000)*0.902</f>
        <v>121.89467237057839</v>
      </c>
      <c r="E10" s="33">
        <f>$C$30*'E Balans VL '!I14/100/3.6*1000000</f>
        <v>1.7234105715494328</v>
      </c>
      <c r="F10" s="33">
        <f>$C$30*('E Balans VL '!L14+'E Balans VL '!N14)/100/3.6*1000000</f>
        <v>112.32389547326079</v>
      </c>
      <c r="G10" s="34"/>
      <c r="H10" s="33"/>
      <c r="I10" s="33"/>
      <c r="J10" s="33">
        <f>$C$30*('E Balans VL '!D14+'E Balans VL '!E14)/100/3.6*1000000</f>
        <v>0</v>
      </c>
      <c r="K10" s="33"/>
      <c r="L10" s="33"/>
      <c r="M10" s="33"/>
      <c r="N10" s="33">
        <f>$C$30*'E Balans VL '!Y14/100/3.6*1000000</f>
        <v>354.23437768268434</v>
      </c>
      <c r="O10" s="33"/>
      <c r="P10" s="33"/>
      <c r="R10" s="32"/>
    </row>
    <row r="11" spans="1:18">
      <c r="A11" s="32" t="s">
        <v>55</v>
      </c>
      <c r="B11" s="37">
        <f t="shared" si="0"/>
        <v>36.03528</v>
      </c>
      <c r="C11" s="33"/>
      <c r="D11" s="37">
        <f>IF(ISERROR(TER_onderwijs_gas_kWh/1000),0,TER_onderwijs_gas_kWh/1000)*0.902</f>
        <v>0</v>
      </c>
      <c r="E11" s="33">
        <f>$C$31*'E Balans VL '!I11/100/3.6*1000000</f>
        <v>2.4910079264718585E-2</v>
      </c>
      <c r="F11" s="33">
        <f>$C$31*('E Balans VL '!L11+'E Balans VL '!N11)/100/3.6*1000000</f>
        <v>9.4329895501399577</v>
      </c>
      <c r="G11" s="34"/>
      <c r="H11" s="33"/>
      <c r="I11" s="33"/>
      <c r="J11" s="33">
        <f>$C$31*('E Balans VL '!D11+'E Balans VL '!E11)/100/3.6*1000000</f>
        <v>0</v>
      </c>
      <c r="K11" s="33"/>
      <c r="L11" s="33"/>
      <c r="M11" s="33"/>
      <c r="N11" s="33">
        <f>$C$31*'E Balans VL '!Y11/100/3.6*1000000</f>
        <v>3.5870051994276127E-2</v>
      </c>
      <c r="O11" s="33"/>
      <c r="P11" s="33"/>
      <c r="R11" s="32"/>
    </row>
    <row r="12" spans="1:18">
      <c r="A12" s="32" t="s">
        <v>260</v>
      </c>
      <c r="B12" s="37">
        <f t="shared" si="0"/>
        <v>2687.127</v>
      </c>
      <c r="C12" s="33"/>
      <c r="D12" s="37">
        <f>IF(ISERROR(TER_rest_gas_kWh/1000),0,TER_rest_gas_kWh/1000)*0.902</f>
        <v>2729.3466931526177</v>
      </c>
      <c r="E12" s="33">
        <f>$C$32*'E Balans VL '!I8/100/3.6*1000000</f>
        <v>24.294719188061631</v>
      </c>
      <c r="F12" s="33">
        <f>$C$32*('E Balans VL '!L8+'E Balans VL '!N8)/100/3.6*1000000</f>
        <v>396.10414801265478</v>
      </c>
      <c r="G12" s="34"/>
      <c r="H12" s="33"/>
      <c r="I12" s="33"/>
      <c r="J12" s="33">
        <f>$C$32*('E Balans VL '!D8+'E Balans VL '!E8)/100/3.6*1000000</f>
        <v>0</v>
      </c>
      <c r="K12" s="33"/>
      <c r="L12" s="33"/>
      <c r="M12" s="33"/>
      <c r="N12" s="33">
        <f>$C$32*'E Balans VL '!Y8/100/3.6*1000000</f>
        <v>229.17598845806495</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6493.6946200000002</v>
      </c>
      <c r="C16" s="21">
        <f t="shared" ca="1" si="1"/>
        <v>0</v>
      </c>
      <c r="D16" s="21">
        <f t="shared" ca="1" si="1"/>
        <v>4596.6507536876725</v>
      </c>
      <c r="E16" s="21">
        <f t="shared" si="1"/>
        <v>73.674826207098747</v>
      </c>
      <c r="F16" s="21">
        <f t="shared" ca="1" si="1"/>
        <v>983.0174707808726</v>
      </c>
      <c r="G16" s="21">
        <f t="shared" si="1"/>
        <v>0</v>
      </c>
      <c r="H16" s="21">
        <f t="shared" si="1"/>
        <v>0</v>
      </c>
      <c r="I16" s="21">
        <f t="shared" si="1"/>
        <v>0</v>
      </c>
      <c r="J16" s="21">
        <f t="shared" si="1"/>
        <v>0</v>
      </c>
      <c r="K16" s="21">
        <f t="shared" si="1"/>
        <v>0</v>
      </c>
      <c r="L16" s="21">
        <f t="shared" ca="1" si="1"/>
        <v>0</v>
      </c>
      <c r="M16" s="21">
        <f t="shared" si="1"/>
        <v>0</v>
      </c>
      <c r="N16" s="21">
        <f t="shared" ca="1" si="1"/>
        <v>606.5276196778816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0.2162335925640835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1404.1549166966611</v>
      </c>
      <c r="C20" s="23">
        <f t="shared" ref="C20:P20" ca="1" si="2">C16*C18</f>
        <v>0</v>
      </c>
      <c r="D20" s="23">
        <f t="shared" ca="1" si="2"/>
        <v>928.52345224490989</v>
      </c>
      <c r="E20" s="23">
        <f t="shared" si="2"/>
        <v>16.724185549011416</v>
      </c>
      <c r="F20" s="23">
        <f t="shared" ca="1" si="2"/>
        <v>262.46566469849301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1255.713</v>
      </c>
      <c r="C26" s="39">
        <f>IF(ISERROR(B26*3.6/1000000/'E Balans VL '!Z12*100),0,B26*3.6/1000000/'E Balans VL '!Z12*100)</f>
        <v>2.7583187794602202E-2</v>
      </c>
      <c r="D26" s="237" t="s">
        <v>692</v>
      </c>
      <c r="F26" s="6"/>
    </row>
    <row r="27" spans="1:18">
      <c r="A27" s="231" t="s">
        <v>53</v>
      </c>
      <c r="B27" s="33">
        <f>IF(ISERROR(TER_horeca_ele_kWh/1000),0,TER_horeca_ele_kWh/1000)</f>
        <v>739.19050000000004</v>
      </c>
      <c r="C27" s="39">
        <f>IF(ISERROR(B27*3.6/1000000/'E Balans VL '!Z9*100),0,B27*3.6/1000000/'E Balans VL '!Z9*100)</f>
        <v>5.9401325012932035E-2</v>
      </c>
      <c r="D27" s="237" t="s">
        <v>692</v>
      </c>
      <c r="F27" s="6"/>
    </row>
    <row r="28" spans="1:18">
      <c r="A28" s="171" t="s">
        <v>52</v>
      </c>
      <c r="B28" s="33">
        <f>IF(ISERROR(TER_handel_ele_kWh/1000),0,TER_handel_ele_kWh/1000)</f>
        <v>1201.7840000000001</v>
      </c>
      <c r="C28" s="39">
        <f>IF(ISERROR(B28*3.6/1000000/'E Balans VL '!Z13*100),0,B28*3.6/1000000/'E Balans VL '!Z13*100)</f>
        <v>3.553591329606922E-2</v>
      </c>
      <c r="D28" s="237" t="s">
        <v>692</v>
      </c>
      <c r="F28" s="6"/>
    </row>
    <row r="29" spans="1:18">
      <c r="A29" s="231" t="s">
        <v>51</v>
      </c>
      <c r="B29" s="33">
        <f>IF(ISERROR(TER_gezond_ele_kWh/1000),0,TER_gezond_ele_kWh/1000)</f>
        <v>70.960639999999998</v>
      </c>
      <c r="C29" s="39">
        <f>IF(ISERROR(B29*3.6/1000000/'E Balans VL '!Z10*100),0,B29*3.6/1000000/'E Balans VL '!Z10*100)</f>
        <v>7.9954320857701308E-3</v>
      </c>
      <c r="D29" s="237" t="s">
        <v>692</v>
      </c>
      <c r="F29" s="6"/>
    </row>
    <row r="30" spans="1:18">
      <c r="A30" s="231" t="s">
        <v>50</v>
      </c>
      <c r="B30" s="33">
        <f>IF(ISERROR(TER_ander_ele_kWh/1000),0,TER_ander_ele_kWh/1000)</f>
        <v>502.88420000000002</v>
      </c>
      <c r="C30" s="39">
        <f>IF(ISERROR(B30*3.6/1000000/'E Balans VL '!Z14*100),0,B30*3.6/1000000/'E Balans VL '!Z14*100)</f>
        <v>3.8032272404290177E-2</v>
      </c>
      <c r="D30" s="237" t="s">
        <v>692</v>
      </c>
      <c r="F30" s="6"/>
    </row>
    <row r="31" spans="1:18">
      <c r="A31" s="231" t="s">
        <v>55</v>
      </c>
      <c r="B31" s="33">
        <f>IF(ISERROR(TER_onderwijs_ele_kWh/1000),0,TER_onderwijs_ele_kWh/1000)</f>
        <v>36.03528</v>
      </c>
      <c r="C31" s="39">
        <f>IF(ISERROR(B31*3.6/1000000/'E Balans VL '!Z11*100),0,B31*3.6/1000000/'E Balans VL '!Z11*100)</f>
        <v>7.4800876048870943E-3</v>
      </c>
      <c r="D31" s="237" t="s">
        <v>692</v>
      </c>
    </row>
    <row r="32" spans="1:18">
      <c r="A32" s="231" t="s">
        <v>260</v>
      </c>
      <c r="B32" s="33">
        <f>IF(ISERROR(TER_rest_ele_kWh/1000),0,TER_rest_ele_kWh/1000)</f>
        <v>2687.127</v>
      </c>
      <c r="C32" s="39">
        <f>IF(ISERROR(B32*3.6/1000000/'E Balans VL '!Z8*100),0,B32*3.6/1000000/'E Balans VL '!Z8*100)</f>
        <v>2.2637464191718561E-2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38695.465219999998</v>
      </c>
      <c r="C5" s="17">
        <f>IF(ISERROR('Eigen informatie GS &amp; warmtenet'!B59),0,'Eigen informatie GS &amp; warmtenet'!B59)</f>
        <v>0</v>
      </c>
      <c r="D5" s="30">
        <f>SUM(D6:D15)</f>
        <v>10414.461780772417</v>
      </c>
      <c r="E5" s="17">
        <f>SUM(E6:E15)</f>
        <v>3143.9945078137562</v>
      </c>
      <c r="F5" s="17">
        <f>SUM(F6:F15)</f>
        <v>11880.252831423735</v>
      </c>
      <c r="G5" s="18"/>
      <c r="H5" s="17"/>
      <c r="I5" s="17"/>
      <c r="J5" s="17">
        <f>SUM(J6:J15)</f>
        <v>140.96195454495904</v>
      </c>
      <c r="K5" s="17"/>
      <c r="L5" s="17"/>
      <c r="M5" s="17"/>
      <c r="N5" s="17">
        <f>SUM(N6:N15)</f>
        <v>8033.8048884749733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32.859339999999996</v>
      </c>
      <c r="C8" s="33"/>
      <c r="D8" s="37">
        <f>IF( ISERROR(IND_metaal_Gas_kWH/1000),0,IND_metaal_Gas_kWH/1000)*0.902</f>
        <v>0</v>
      </c>
      <c r="E8" s="33">
        <f>C30*'E Balans VL '!I18/100/3.6*1000000</f>
        <v>0.8223542749738264</v>
      </c>
      <c r="F8" s="33">
        <f>C30*'E Balans VL '!L18/100/3.6*1000000+C30*'E Balans VL '!N18/100/3.6*1000000</f>
        <v>10.298280606763102</v>
      </c>
      <c r="G8" s="34"/>
      <c r="H8" s="33"/>
      <c r="I8" s="33"/>
      <c r="J8" s="40">
        <f>C30*'E Balans VL '!D18/100/3.6*1000000+C30*'E Balans VL '!E18/100/3.6*1000000</f>
        <v>0</v>
      </c>
      <c r="K8" s="33"/>
      <c r="L8" s="33"/>
      <c r="M8" s="33"/>
      <c r="N8" s="33">
        <f>C30*'E Balans VL '!Y18/100/3.6*1000000</f>
        <v>0.82551189822354887</v>
      </c>
      <c r="O8" s="33"/>
      <c r="P8" s="33"/>
      <c r="R8" s="32"/>
    </row>
    <row r="9" spans="1:18">
      <c r="A9" s="6" t="s">
        <v>33</v>
      </c>
      <c r="B9" s="37">
        <f t="shared" si="0"/>
        <v>5286.8249999999998</v>
      </c>
      <c r="C9" s="33"/>
      <c r="D9" s="37">
        <f>IF( ISERROR(IND_andere_gas_kWh/1000),0,IND_andere_gas_kWh/1000)*0.902</f>
        <v>96.509633053678584</v>
      </c>
      <c r="E9" s="33">
        <f>C31*'E Balans VL '!I19/100/3.6*1000000</f>
        <v>1453.6600355787084</v>
      </c>
      <c r="F9" s="33">
        <f>C31*'E Balans VL '!L19/100/3.6*1000000+C31*'E Balans VL '!N19/100/3.6*1000000</f>
        <v>4166.9380736022276</v>
      </c>
      <c r="G9" s="34"/>
      <c r="H9" s="33"/>
      <c r="I9" s="33"/>
      <c r="J9" s="40">
        <f>C31*'E Balans VL '!D19/100/3.6*1000000+C31*'E Balans VL '!E19/100/3.6*1000000</f>
        <v>0</v>
      </c>
      <c r="K9" s="33"/>
      <c r="L9" s="33"/>
      <c r="M9" s="33"/>
      <c r="N9" s="33">
        <f>C31*'E Balans VL '!Y19/100/3.6*1000000</f>
        <v>1711.4848013280184</v>
      </c>
      <c r="O9" s="33"/>
      <c r="P9" s="33"/>
      <c r="R9" s="32"/>
    </row>
    <row r="10" spans="1:18">
      <c r="A10" s="6" t="s">
        <v>41</v>
      </c>
      <c r="B10" s="37">
        <f t="shared" si="0"/>
        <v>71.580280000000002</v>
      </c>
      <c r="C10" s="33"/>
      <c r="D10" s="37">
        <f>IF( ISERROR(IND_voed_gas_kWh/1000),0,IND_voed_gas_kWh/1000)*0.902</f>
        <v>0</v>
      </c>
      <c r="E10" s="33">
        <f>C32*'E Balans VL '!I20/100/3.6*1000000</f>
        <v>0.72972152079873775</v>
      </c>
      <c r="F10" s="33">
        <f>C32*'E Balans VL '!L20/100/3.6*1000000+C32*'E Balans VL '!N20/100/3.6*1000000</f>
        <v>135.21470122856468</v>
      </c>
      <c r="G10" s="34"/>
      <c r="H10" s="33"/>
      <c r="I10" s="33"/>
      <c r="J10" s="40">
        <f>C32*'E Balans VL '!D20/100/3.6*1000000+C32*'E Balans VL '!E20/100/3.6*1000000</f>
        <v>1.7131503121365295</v>
      </c>
      <c r="K10" s="33"/>
      <c r="L10" s="33"/>
      <c r="M10" s="33"/>
      <c r="N10" s="33">
        <f>C32*'E Balans VL '!Y20/100/3.6*1000000</f>
        <v>37.731052597220135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112.8206</v>
      </c>
      <c r="C13" s="33"/>
      <c r="D13" s="37">
        <f>IF( ISERROR(IND_papier_gas_kWh/1000),0,IND_papier_gas_kWh/1000)*0.902</f>
        <v>0</v>
      </c>
      <c r="E13" s="33">
        <f>C35*'E Balans VL '!I23/100/3.6*1000000</f>
        <v>0.23365907780712902</v>
      </c>
      <c r="F13" s="33">
        <f>C35*'E Balans VL '!L23/100/3.6*1000000+C35*'E Balans VL '!N23/100/3.6*1000000</f>
        <v>2.2374743661425311</v>
      </c>
      <c r="G13" s="34"/>
      <c r="H13" s="33"/>
      <c r="I13" s="33"/>
      <c r="J13" s="40">
        <f>C35*'E Balans VL '!D23/100/3.6*1000000+C35*'E Balans VL '!E23/100/3.6*1000000</f>
        <v>0</v>
      </c>
      <c r="K13" s="33"/>
      <c r="L13" s="33"/>
      <c r="M13" s="33"/>
      <c r="N13" s="33">
        <f>C35*'E Balans VL '!Y23/100/3.6*1000000</f>
        <v>47.638257904509572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33191.379999999997</v>
      </c>
      <c r="C15" s="33"/>
      <c r="D15" s="37">
        <f>IF( ISERROR(IND_rest_gas_kWh/1000),0,IND_rest_gas_kWh/1000)*0.902</f>
        <v>10317.952147718739</v>
      </c>
      <c r="E15" s="33">
        <f>C37*'E Balans VL '!I15/100/3.6*1000000</f>
        <v>1688.5487373614683</v>
      </c>
      <c r="F15" s="33">
        <f>C37*'E Balans VL '!L15/100/3.6*1000000+C37*'E Balans VL '!N15/100/3.6*1000000</f>
        <v>7565.5643016200365</v>
      </c>
      <c r="G15" s="34"/>
      <c r="H15" s="33"/>
      <c r="I15" s="33"/>
      <c r="J15" s="40">
        <f>C37*'E Balans VL '!D15/100/3.6*1000000+C37*'E Balans VL '!E15/100/3.6*1000000</f>
        <v>139.24880423282252</v>
      </c>
      <c r="K15" s="33"/>
      <c r="L15" s="33"/>
      <c r="M15" s="33"/>
      <c r="N15" s="33">
        <f>C37*'E Balans VL '!Y15/100/3.6*1000000</f>
        <v>6236.125264747001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38695.465219999998</v>
      </c>
      <c r="C18" s="21">
        <f>C5+C16</f>
        <v>0</v>
      </c>
      <c r="D18" s="21">
        <f>MAX((D5+D16),0)</f>
        <v>10414.461780772417</v>
      </c>
      <c r="E18" s="21">
        <f>MAX((E5+E16),0)</f>
        <v>3143.9945078137562</v>
      </c>
      <c r="F18" s="21">
        <f>MAX((F5+F16),0)</f>
        <v>11880.252831423735</v>
      </c>
      <c r="G18" s="21"/>
      <c r="H18" s="21"/>
      <c r="I18" s="21"/>
      <c r="J18" s="21">
        <f>MAX((J5+J16),0)</f>
        <v>140.96195454495904</v>
      </c>
      <c r="K18" s="21"/>
      <c r="L18" s="21">
        <f>MAX((L5+L16),0)</f>
        <v>0</v>
      </c>
      <c r="M18" s="21"/>
      <c r="N18" s="21">
        <f>MAX((N5+N16),0)</f>
        <v>8033.8048884749733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0.2162335925640835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8367.2594604591432</v>
      </c>
      <c r="C22" s="23">
        <f ca="1">C18*C20</f>
        <v>0</v>
      </c>
      <c r="D22" s="23">
        <f>D18*D20</f>
        <v>2103.7212797160282</v>
      </c>
      <c r="E22" s="23">
        <f>E18*E20</f>
        <v>713.68675327372273</v>
      </c>
      <c r="F22" s="23">
        <f>F18*F20</f>
        <v>3172.0275059901373</v>
      </c>
      <c r="G22" s="23"/>
      <c r="H22" s="23"/>
      <c r="I22" s="23"/>
      <c r="J22" s="23">
        <f>J18*J20</f>
        <v>49.900531908915497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32.859339999999996</v>
      </c>
      <c r="C30" s="39">
        <f>IF(ISERROR(B30*3.6/1000000/'E Balans VL '!Z18*100),0,B30*3.6/1000000/'E Balans VL '!Z18*100)</f>
        <v>4.5992125503971533E-3</v>
      </c>
      <c r="D30" s="237" t="s">
        <v>692</v>
      </c>
    </row>
    <row r="31" spans="1:18">
      <c r="A31" s="6" t="s">
        <v>33</v>
      </c>
      <c r="B31" s="37">
        <f>IF( ISERROR(IND_ander_ele_kWh/1000),0,IND_ander_ele_kWh/1000)</f>
        <v>5286.8249999999998</v>
      </c>
      <c r="C31" s="39">
        <f>IF(ISERROR(B31*3.6/1000000/'E Balans VL '!Z19*100),0,B31*3.6/1000000/'E Balans VL '!Z19*100)</f>
        <v>0.23140347260513566</v>
      </c>
      <c r="D31" s="237" t="s">
        <v>692</v>
      </c>
    </row>
    <row r="32" spans="1:18">
      <c r="A32" s="171" t="s">
        <v>41</v>
      </c>
      <c r="B32" s="37">
        <f>IF( ISERROR(IND_voed_ele_kWh/1000),0,IND_voed_ele_kWh/1000)</f>
        <v>71.580280000000002</v>
      </c>
      <c r="C32" s="39">
        <f>IF(ISERROR(B32*3.6/1000000/'E Balans VL '!Z20*100),0,B32*3.6/1000000/'E Balans VL '!Z20*100)</f>
        <v>1.7720900264151015E-2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112.8206</v>
      </c>
      <c r="C35" s="39">
        <f>IF(ISERROR(B35*3.6/1000000/'E Balans VL '!Z22*100),0,B35*3.6/1000000/'E Balans VL '!Z22*100)</f>
        <v>3.201388344689676E-3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33191.379999999997</v>
      </c>
      <c r="C37" s="39">
        <f>IF(ISERROR(B37*3.6/1000000/'E Balans VL '!Z15*100),0,B37*3.6/1000000/'E Balans VL '!Z15*100)</f>
        <v>0.24610840009527635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1026.5338000000002</v>
      </c>
      <c r="C5" s="17">
        <f>'Eigen informatie GS &amp; warmtenet'!B60</f>
        <v>0</v>
      </c>
      <c r="D5" s="30">
        <f>IF(ISERROR(SUM(LB_lb_gas_kWh,LB_rest_gas_kWh)/1000),0,SUM(LB_lb_gas_kWh,LB_rest_gas_kWh)/1000)*0.902</f>
        <v>35.100435428185314</v>
      </c>
      <c r="E5" s="17">
        <f>B17*'E Balans VL '!I25/3.6*1000000/100</f>
        <v>9.5081860074774411</v>
      </c>
      <c r="F5" s="17">
        <f>B17*('E Balans VL '!L25/3.6*1000000+'E Balans VL '!N25/3.6*1000000)/100</f>
        <v>2604.5118050882174</v>
      </c>
      <c r="G5" s="18"/>
      <c r="H5" s="17"/>
      <c r="I5" s="17"/>
      <c r="J5" s="17">
        <f>('E Balans VL '!D25+'E Balans VL '!E25)/3.6*1000000*landbouw!B17/100</f>
        <v>157.37908769064384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1026.5338000000002</v>
      </c>
      <c r="C8" s="21">
        <f>C5+C6</f>
        <v>0</v>
      </c>
      <c r="D8" s="21">
        <f>MAX((D5+D6),0)</f>
        <v>35.100435428185314</v>
      </c>
      <c r="E8" s="21">
        <f>MAX((E5+E6),0)</f>
        <v>9.5081860074774411</v>
      </c>
      <c r="F8" s="21">
        <f>MAX((F5+F6),0)</f>
        <v>2604.5118050882174</v>
      </c>
      <c r="G8" s="21"/>
      <c r="H8" s="21"/>
      <c r="I8" s="21"/>
      <c r="J8" s="21">
        <f>MAX((J5+J6),0)</f>
        <v>157.37908769064384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0.2162335925640835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221.97109146246041</v>
      </c>
      <c r="C12" s="23">
        <f ca="1">C8*C10</f>
        <v>0</v>
      </c>
      <c r="D12" s="23">
        <f>D8*D10</f>
        <v>7.0902879564934338</v>
      </c>
      <c r="E12" s="23">
        <f>E8*E10</f>
        <v>2.1583582236973791</v>
      </c>
      <c r="F12" s="23">
        <f>F8*F10</f>
        <v>695.40465195855404</v>
      </c>
      <c r="G12" s="23"/>
      <c r="H12" s="23"/>
      <c r="I12" s="23"/>
      <c r="J12" s="23">
        <f>J8*J10</f>
        <v>55.712197042487915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0.14595134008115893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206.31703503758908</v>
      </c>
      <c r="C26" s="247">
        <f>B26*'GWP N2O_CH4'!B5</f>
        <v>4332.6577357893702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75.160490215130196</v>
      </c>
      <c r="C27" s="247">
        <f>B27*'GWP N2O_CH4'!B5</f>
        <v>1578.370294517734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2.7938977380749828</v>
      </c>
      <c r="C28" s="247">
        <f>B28*'GWP N2O_CH4'!B4</f>
        <v>866.10829880324468</v>
      </c>
      <c r="D28" s="50"/>
    </row>
    <row r="29" spans="1:4">
      <c r="A29" s="41" t="s">
        <v>277</v>
      </c>
      <c r="B29" s="247">
        <f>B34*'ha_N2O bodem landbouw'!B4</f>
        <v>11.948715801398826</v>
      </c>
      <c r="C29" s="247">
        <f>B29*'GWP N2O_CH4'!B4</f>
        <v>3704.1018984336361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2.6798864500190041E-3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1.7439524131907797E-5</v>
      </c>
      <c r="C5" s="464" t="s">
        <v>211</v>
      </c>
      <c r="D5" s="449">
        <f>SUM(D6:D11)</f>
        <v>4.7591392068055456E-5</v>
      </c>
      <c r="E5" s="449">
        <f>SUM(E6:E11)</f>
        <v>3.0150927980295445E-4</v>
      </c>
      <c r="F5" s="462" t="s">
        <v>211</v>
      </c>
      <c r="G5" s="449">
        <f>SUM(G6:G11)</f>
        <v>9.5577846575659695E-2</v>
      </c>
      <c r="H5" s="449">
        <f>SUM(H6:H11)</f>
        <v>1.7947689951796488E-2</v>
      </c>
      <c r="I5" s="464" t="s">
        <v>211</v>
      </c>
      <c r="J5" s="464" t="s">
        <v>211</v>
      </c>
      <c r="K5" s="464" t="s">
        <v>211</v>
      </c>
      <c r="L5" s="464" t="s">
        <v>211</v>
      </c>
      <c r="M5" s="449">
        <f>SUM(M6:M11)</f>
        <v>6.0812397327951045E-3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1.3361109188820806E-5</v>
      </c>
      <c r="C6" s="450"/>
      <c r="D6" s="893">
        <f>vkm_2011_GW_PW*SUMIFS(TableVerdeelsleutelVkm[CNG],TableVerdeelsleutelVkm[Voertuigtype],"Lichte voertuigen")*SUMIFS(TableECFTransport[EnergieConsumptieFactor (PJ per km)],TableECFTransport[Index],CONCATENATE($A6,"_CNG_CNG"))</f>
        <v>3.0905716550928615E-5</v>
      </c>
      <c r="E6" s="893">
        <f>vkm_2011_GW_PW*SUMIFS(TableVerdeelsleutelVkm[LPG],TableVerdeelsleutelVkm[Voertuigtype],"Lichte voertuigen")*SUMIFS(TableECFTransport[EnergieConsumptieFactor (PJ per km)],TableECFTransport[Index],CONCATENATE($A6,"_LPG_LPG"))</f>
        <v>2.012393627401978E-4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4.1805988786153686E-2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1.178424429224606E-2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2.7810552886553411E-3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3.0275570053416429E-2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1.0353695128303909E-5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1.7516133373090819E-3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4.0784149430869931E-6</v>
      </c>
      <c r="C8" s="450"/>
      <c r="D8" s="452">
        <f>vkm_2011_NGW_PW*SUMIFS(TableVerdeelsleutelVkm[CNG],TableVerdeelsleutelVkm[Voertuigtype],"Lichte voertuigen")*SUMIFS(TableECFTransport[EnergieConsumptieFactor (PJ per km)],TableECFTransport[Index],CONCATENATE($A8,"_CNG_CNG"))</f>
        <v>1.6685675517126845E-5</v>
      </c>
      <c r="E8" s="452">
        <f>vkm_2011_NGW_PW*SUMIFS(TableVerdeelsleutelVkm[LPG],TableVerdeelsleutelVkm[Voertuigtype],"Lichte voertuigen")*SUMIFS(TableECFTransport[EnergieConsumptieFactor (PJ per km)],TableECFTransport[Index],CONCATENATE($A8,"_LPG_LPG"))</f>
        <v>1.0026991706275664E-4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1.9472270590609356E-2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6.151789839348356E-3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1.3157611843994071E-3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4.0240171454802263E-3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1.3021250737703474E-6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2.3280992243127424E-4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4.844312258863277</v>
      </c>
      <c r="C14" s="21"/>
      <c r="D14" s="21">
        <f t="shared" ref="D14:M14" si="0">((D5)*10^9/3600)+D12</f>
        <v>13.219831130015406</v>
      </c>
      <c r="E14" s="21">
        <f t="shared" si="0"/>
        <v>83.752577723042904</v>
      </c>
      <c r="F14" s="21"/>
      <c r="G14" s="21">
        <f t="shared" si="0"/>
        <v>26549.401826572135</v>
      </c>
      <c r="H14" s="21">
        <f t="shared" si="0"/>
        <v>4985.4694310545801</v>
      </c>
      <c r="I14" s="21"/>
      <c r="J14" s="21"/>
      <c r="K14" s="21"/>
      <c r="L14" s="21"/>
      <c r="M14" s="21">
        <f t="shared" si="0"/>
        <v>1689.2332591097513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0.2162335925640835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1.0475030432362369</v>
      </c>
      <c r="C18" s="23"/>
      <c r="D18" s="23">
        <f t="shared" ref="D18:M18" si="1">D14*D16</f>
        <v>2.6704058882631121</v>
      </c>
      <c r="E18" s="23">
        <f t="shared" si="1"/>
        <v>19.011835143130739</v>
      </c>
      <c r="F18" s="23"/>
      <c r="G18" s="23">
        <f t="shared" si="1"/>
        <v>7088.6902876947606</v>
      </c>
      <c r="H18" s="23">
        <f t="shared" si="1"/>
        <v>1241.3818883325905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1.509268966371147E-3</v>
      </c>
      <c r="H50" s="321">
        <f t="shared" si="2"/>
        <v>0</v>
      </c>
      <c r="I50" s="321">
        <f t="shared" si="2"/>
        <v>0</v>
      </c>
      <c r="J50" s="321">
        <f t="shared" si="2"/>
        <v>0</v>
      </c>
      <c r="K50" s="321">
        <f t="shared" si="2"/>
        <v>0</v>
      </c>
      <c r="L50" s="321">
        <f t="shared" si="2"/>
        <v>0</v>
      </c>
      <c r="M50" s="321">
        <f t="shared" si="2"/>
        <v>8.6069209395435797E-5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1.509268966371147E-3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8.6069209395435797E-5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419.24137954754082</v>
      </c>
      <c r="H54" s="21">
        <f t="shared" si="3"/>
        <v>0</v>
      </c>
      <c r="I54" s="21">
        <f t="shared" si="3"/>
        <v>0</v>
      </c>
      <c r="J54" s="21">
        <f t="shared" si="3"/>
        <v>0</v>
      </c>
      <c r="K54" s="21">
        <f t="shared" si="3"/>
        <v>0</v>
      </c>
      <c r="L54" s="21">
        <f t="shared" si="3"/>
        <v>0</v>
      </c>
      <c r="M54" s="21">
        <f t="shared" si="3"/>
        <v>23.90811372095439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0.2162335925640835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111.93744833919341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7165.7566200000001</v>
      </c>
      <c r="D10" s="1025">
        <f ca="1">tertiair!C16</f>
        <v>0</v>
      </c>
      <c r="E10" s="1025">
        <f ca="1">tertiair!D16</f>
        <v>4596.6507536876725</v>
      </c>
      <c r="F10" s="1025">
        <f>tertiair!E16</f>
        <v>73.674826207098747</v>
      </c>
      <c r="G10" s="1025">
        <f ca="1">tertiair!F16</f>
        <v>983.0174707808726</v>
      </c>
      <c r="H10" s="1025">
        <f>tertiair!G16</f>
        <v>0</v>
      </c>
      <c r="I10" s="1025">
        <f>tertiair!H16</f>
        <v>0</v>
      </c>
      <c r="J10" s="1025">
        <f>tertiair!I16</f>
        <v>0</v>
      </c>
      <c r="K10" s="1025">
        <f>tertiair!J16</f>
        <v>0</v>
      </c>
      <c r="L10" s="1025">
        <f>tertiair!K16</f>
        <v>0</v>
      </c>
      <c r="M10" s="1025">
        <f ca="1">tertiair!L16</f>
        <v>0</v>
      </c>
      <c r="N10" s="1025">
        <f>tertiair!M16</f>
        <v>0</v>
      </c>
      <c r="O10" s="1025">
        <f ca="1">tertiair!N16</f>
        <v>606.5276196778816</v>
      </c>
      <c r="P10" s="1025">
        <f>tertiair!O16</f>
        <v>1.5633333333333335</v>
      </c>
      <c r="Q10" s="1026">
        <f>tertiair!P16</f>
        <v>19.066666666666666</v>
      </c>
      <c r="R10" s="701">
        <f ca="1">SUM(C10:Q10)</f>
        <v>13446.257290353527</v>
      </c>
      <c r="S10" s="67"/>
    </row>
    <row r="11" spans="1:19" s="474" customFormat="1">
      <c r="A11" s="810" t="s">
        <v>225</v>
      </c>
      <c r="B11" s="815"/>
      <c r="C11" s="1025">
        <f>huishoudens!B8</f>
        <v>12846.452606883795</v>
      </c>
      <c r="D11" s="1025">
        <f>huishoudens!C8</f>
        <v>0</v>
      </c>
      <c r="E11" s="1025">
        <f>huishoudens!D8</f>
        <v>13878.944758466829</v>
      </c>
      <c r="F11" s="1025">
        <f>huishoudens!E8</f>
        <v>1463.4550772507419</v>
      </c>
      <c r="G11" s="1025">
        <f>huishoudens!F8</f>
        <v>18164.504982655515</v>
      </c>
      <c r="H11" s="1025">
        <f>huishoudens!G8</f>
        <v>0</v>
      </c>
      <c r="I11" s="1025">
        <f>huishoudens!H8</f>
        <v>0</v>
      </c>
      <c r="J11" s="1025">
        <f>huishoudens!I8</f>
        <v>0</v>
      </c>
      <c r="K11" s="1025">
        <f>huishoudens!J8</f>
        <v>2395.3646375332619</v>
      </c>
      <c r="L11" s="1025">
        <f>huishoudens!K8</f>
        <v>0</v>
      </c>
      <c r="M11" s="1025">
        <f>huishoudens!L8</f>
        <v>0</v>
      </c>
      <c r="N11" s="1025">
        <f>huishoudens!M8</f>
        <v>0</v>
      </c>
      <c r="O11" s="1025">
        <f>huishoudens!N8</f>
        <v>7539.355278113163</v>
      </c>
      <c r="P11" s="1025">
        <f>huishoudens!O8</f>
        <v>84.42</v>
      </c>
      <c r="Q11" s="1026">
        <f>huishoudens!P8</f>
        <v>305.06666666666666</v>
      </c>
      <c r="R11" s="701">
        <f>SUM(C11:Q11)</f>
        <v>56677.56400756997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38695.465219999998</v>
      </c>
      <c r="D13" s="1025">
        <f>industrie!C18</f>
        <v>0</v>
      </c>
      <c r="E13" s="1025">
        <f>industrie!D18</f>
        <v>10414.461780772417</v>
      </c>
      <c r="F13" s="1025">
        <f>industrie!E18</f>
        <v>3143.9945078137562</v>
      </c>
      <c r="G13" s="1025">
        <f>industrie!F18</f>
        <v>11880.252831423735</v>
      </c>
      <c r="H13" s="1025">
        <f>industrie!G18</f>
        <v>0</v>
      </c>
      <c r="I13" s="1025">
        <f>industrie!H18</f>
        <v>0</v>
      </c>
      <c r="J13" s="1025">
        <f>industrie!I18</f>
        <v>0</v>
      </c>
      <c r="K13" s="1025">
        <f>industrie!J18</f>
        <v>140.96195454495904</v>
      </c>
      <c r="L13" s="1025">
        <f>industrie!K18</f>
        <v>0</v>
      </c>
      <c r="M13" s="1025">
        <f>industrie!L18</f>
        <v>0</v>
      </c>
      <c r="N13" s="1025">
        <f>industrie!M18</f>
        <v>0</v>
      </c>
      <c r="O13" s="1025">
        <f>industrie!N18</f>
        <v>8033.8048884749733</v>
      </c>
      <c r="P13" s="1025">
        <f>industrie!O18</f>
        <v>0</v>
      </c>
      <c r="Q13" s="1026">
        <f>industrie!P18</f>
        <v>0</v>
      </c>
      <c r="R13" s="701">
        <f>SUM(C13:Q13)</f>
        <v>72308.941183029834</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58707.674446883793</v>
      </c>
      <c r="D16" s="733">
        <f t="shared" ref="D16:R16" ca="1" si="0">SUM(D9:D15)</f>
        <v>0</v>
      </c>
      <c r="E16" s="733">
        <f t="shared" ca="1" si="0"/>
        <v>28890.057292926918</v>
      </c>
      <c r="F16" s="733">
        <f t="shared" si="0"/>
        <v>4681.1244112715967</v>
      </c>
      <c r="G16" s="733">
        <f t="shared" ca="1" si="0"/>
        <v>31027.775284860123</v>
      </c>
      <c r="H16" s="733">
        <f t="shared" si="0"/>
        <v>0</v>
      </c>
      <c r="I16" s="733">
        <f t="shared" si="0"/>
        <v>0</v>
      </c>
      <c r="J16" s="733">
        <f t="shared" si="0"/>
        <v>0</v>
      </c>
      <c r="K16" s="733">
        <f t="shared" si="0"/>
        <v>2536.326592078221</v>
      </c>
      <c r="L16" s="733">
        <f t="shared" si="0"/>
        <v>0</v>
      </c>
      <c r="M16" s="733">
        <f t="shared" ca="1" si="0"/>
        <v>0</v>
      </c>
      <c r="N16" s="733">
        <f t="shared" si="0"/>
        <v>0</v>
      </c>
      <c r="O16" s="733">
        <f t="shared" ca="1" si="0"/>
        <v>16179.687786266019</v>
      </c>
      <c r="P16" s="733">
        <f t="shared" si="0"/>
        <v>85.983333333333334</v>
      </c>
      <c r="Q16" s="733">
        <f t="shared" si="0"/>
        <v>324.13333333333333</v>
      </c>
      <c r="R16" s="733">
        <f t="shared" ca="1" si="0"/>
        <v>142432.76248095333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419.24137954754082</v>
      </c>
      <c r="I19" s="1025">
        <f>transport!H54</f>
        <v>0</v>
      </c>
      <c r="J19" s="1025">
        <f>transport!I54</f>
        <v>0</v>
      </c>
      <c r="K19" s="1025">
        <f>transport!J54</f>
        <v>0</v>
      </c>
      <c r="L19" s="1025">
        <f>transport!K54</f>
        <v>0</v>
      </c>
      <c r="M19" s="1025">
        <f>transport!L54</f>
        <v>0</v>
      </c>
      <c r="N19" s="1025">
        <f>transport!M54</f>
        <v>23.90811372095439</v>
      </c>
      <c r="O19" s="1025">
        <f>transport!N54</f>
        <v>0</v>
      </c>
      <c r="P19" s="1025">
        <f>transport!O54</f>
        <v>0</v>
      </c>
      <c r="Q19" s="1026">
        <f>transport!P54</f>
        <v>0</v>
      </c>
      <c r="R19" s="701">
        <f>SUM(C19:Q19)</f>
        <v>443.14949326849523</v>
      </c>
      <c r="S19" s="67"/>
    </row>
    <row r="20" spans="1:19" s="474" customFormat="1">
      <c r="A20" s="810" t="s">
        <v>307</v>
      </c>
      <c r="B20" s="815"/>
      <c r="C20" s="1025">
        <f>transport!B14</f>
        <v>4.844312258863277</v>
      </c>
      <c r="D20" s="1025">
        <f>transport!C14</f>
        <v>0</v>
      </c>
      <c r="E20" s="1025">
        <f>transport!D14</f>
        <v>13.219831130015406</v>
      </c>
      <c r="F20" s="1025">
        <f>transport!E14</f>
        <v>83.752577723042904</v>
      </c>
      <c r="G20" s="1025">
        <f>transport!F14</f>
        <v>0</v>
      </c>
      <c r="H20" s="1025">
        <f>transport!G14</f>
        <v>26549.401826572135</v>
      </c>
      <c r="I20" s="1025">
        <f>transport!H14</f>
        <v>4985.4694310545801</v>
      </c>
      <c r="J20" s="1025">
        <f>transport!I14</f>
        <v>0</v>
      </c>
      <c r="K20" s="1025">
        <f>transport!J14</f>
        <v>0</v>
      </c>
      <c r="L20" s="1025">
        <f>transport!K14</f>
        <v>0</v>
      </c>
      <c r="M20" s="1025">
        <f>transport!L14</f>
        <v>0</v>
      </c>
      <c r="N20" s="1025">
        <f>transport!M14</f>
        <v>1689.2332591097513</v>
      </c>
      <c r="O20" s="1025">
        <f>transport!N14</f>
        <v>0</v>
      </c>
      <c r="P20" s="1025">
        <f>transport!O14</f>
        <v>0</v>
      </c>
      <c r="Q20" s="1026">
        <f>transport!P14</f>
        <v>0</v>
      </c>
      <c r="R20" s="701">
        <f>SUM(C20:Q20)</f>
        <v>33325.921237848386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4.844312258863277</v>
      </c>
      <c r="D22" s="813">
        <f t="shared" ref="D22:R22" si="1">SUM(D18:D21)</f>
        <v>0</v>
      </c>
      <c r="E22" s="813">
        <f t="shared" si="1"/>
        <v>13.219831130015406</v>
      </c>
      <c r="F22" s="813">
        <f t="shared" si="1"/>
        <v>83.752577723042904</v>
      </c>
      <c r="G22" s="813">
        <f t="shared" si="1"/>
        <v>0</v>
      </c>
      <c r="H22" s="813">
        <f t="shared" si="1"/>
        <v>26968.643206119676</v>
      </c>
      <c r="I22" s="813">
        <f t="shared" si="1"/>
        <v>4985.4694310545801</v>
      </c>
      <c r="J22" s="813">
        <f t="shared" si="1"/>
        <v>0</v>
      </c>
      <c r="K22" s="813">
        <f t="shared" si="1"/>
        <v>0</v>
      </c>
      <c r="L22" s="813">
        <f t="shared" si="1"/>
        <v>0</v>
      </c>
      <c r="M22" s="813">
        <f t="shared" si="1"/>
        <v>0</v>
      </c>
      <c r="N22" s="813">
        <f t="shared" si="1"/>
        <v>1713.1413728307057</v>
      </c>
      <c r="O22" s="813">
        <f t="shared" si="1"/>
        <v>0</v>
      </c>
      <c r="P22" s="813">
        <f t="shared" si="1"/>
        <v>0</v>
      </c>
      <c r="Q22" s="813">
        <f t="shared" si="1"/>
        <v>0</v>
      </c>
      <c r="R22" s="813">
        <f t="shared" si="1"/>
        <v>33769.070731116881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1026.5338000000002</v>
      </c>
      <c r="D24" s="1025">
        <f>+landbouw!C8</f>
        <v>0</v>
      </c>
      <c r="E24" s="1025">
        <f>+landbouw!D8</f>
        <v>35.100435428185314</v>
      </c>
      <c r="F24" s="1025">
        <f>+landbouw!E8</f>
        <v>9.5081860074774411</v>
      </c>
      <c r="G24" s="1025">
        <f>+landbouw!F8</f>
        <v>2604.5118050882174</v>
      </c>
      <c r="H24" s="1025">
        <f>+landbouw!G8</f>
        <v>0</v>
      </c>
      <c r="I24" s="1025">
        <f>+landbouw!H8</f>
        <v>0</v>
      </c>
      <c r="J24" s="1025">
        <f>+landbouw!I8</f>
        <v>0</v>
      </c>
      <c r="K24" s="1025">
        <f>+landbouw!J8</f>
        <v>157.37908769064384</v>
      </c>
      <c r="L24" s="1025">
        <f>+landbouw!K8</f>
        <v>0</v>
      </c>
      <c r="M24" s="1025">
        <f>+landbouw!L8</f>
        <v>0</v>
      </c>
      <c r="N24" s="1025">
        <f>+landbouw!M8</f>
        <v>0</v>
      </c>
      <c r="O24" s="1025">
        <f>+landbouw!N8</f>
        <v>0</v>
      </c>
      <c r="P24" s="1025">
        <f>+landbouw!O8</f>
        <v>0</v>
      </c>
      <c r="Q24" s="1026">
        <f>+landbouw!P8</f>
        <v>0</v>
      </c>
      <c r="R24" s="701">
        <f>SUM(C24:Q24)</f>
        <v>3833.0333142145241</v>
      </c>
      <c r="S24" s="67"/>
    </row>
    <row r="25" spans="1:19" s="474" customFormat="1" ht="15" thickBot="1">
      <c r="A25" s="832" t="s">
        <v>864</v>
      </c>
      <c r="B25" s="1028"/>
      <c r="C25" s="1029">
        <f>IF(Onbekend_ele_kWh="---",0,Onbekend_ele_kWh)/1000+IF(REST_rest_ele_kWh="---",0,REST_rest_ele_kWh)/1000</f>
        <v>524.32140000000004</v>
      </c>
      <c r="D25" s="1029"/>
      <c r="E25" s="1029">
        <f>IF(onbekend_gas_kWh="---",0,onbekend_gas_kWh)/1000+IF(REST_rest_gas_kWh="---",0,REST_rest_gas_kWh)/1000</f>
        <v>428.32908355115097</v>
      </c>
      <c r="F25" s="1029"/>
      <c r="G25" s="1029"/>
      <c r="H25" s="1029"/>
      <c r="I25" s="1029"/>
      <c r="J25" s="1029"/>
      <c r="K25" s="1029"/>
      <c r="L25" s="1029"/>
      <c r="M25" s="1029"/>
      <c r="N25" s="1029"/>
      <c r="O25" s="1029"/>
      <c r="P25" s="1029"/>
      <c r="Q25" s="1030"/>
      <c r="R25" s="701">
        <f>SUM(C25:Q25)</f>
        <v>952.65048355115096</v>
      </c>
      <c r="S25" s="67"/>
    </row>
    <row r="26" spans="1:19" s="474" customFormat="1" ht="15.75" thickBot="1">
      <c r="A26" s="706" t="s">
        <v>865</v>
      </c>
      <c r="B26" s="818"/>
      <c r="C26" s="813">
        <f>SUM(C24:C25)</f>
        <v>1550.8552000000002</v>
      </c>
      <c r="D26" s="813">
        <f t="shared" ref="D26:R26" si="2">SUM(D24:D25)</f>
        <v>0</v>
      </c>
      <c r="E26" s="813">
        <f t="shared" si="2"/>
        <v>463.42951897933631</v>
      </c>
      <c r="F26" s="813">
        <f t="shared" si="2"/>
        <v>9.5081860074774411</v>
      </c>
      <c r="G26" s="813">
        <f t="shared" si="2"/>
        <v>2604.5118050882174</v>
      </c>
      <c r="H26" s="813">
        <f t="shared" si="2"/>
        <v>0</v>
      </c>
      <c r="I26" s="813">
        <f t="shared" si="2"/>
        <v>0</v>
      </c>
      <c r="J26" s="813">
        <f t="shared" si="2"/>
        <v>0</v>
      </c>
      <c r="K26" s="813">
        <f t="shared" si="2"/>
        <v>157.37908769064384</v>
      </c>
      <c r="L26" s="813">
        <f t="shared" si="2"/>
        <v>0</v>
      </c>
      <c r="M26" s="813">
        <f t="shared" si="2"/>
        <v>0</v>
      </c>
      <c r="N26" s="813">
        <f t="shared" si="2"/>
        <v>0</v>
      </c>
      <c r="O26" s="813">
        <f t="shared" si="2"/>
        <v>0</v>
      </c>
      <c r="P26" s="813">
        <f t="shared" si="2"/>
        <v>0</v>
      </c>
      <c r="Q26" s="813">
        <f t="shared" si="2"/>
        <v>0</v>
      </c>
      <c r="R26" s="813">
        <f t="shared" si="2"/>
        <v>4785.6837977656751</v>
      </c>
      <c r="S26" s="67"/>
    </row>
    <row r="27" spans="1:19" s="474" customFormat="1" ht="17.25" thickTop="1" thickBot="1">
      <c r="A27" s="707" t="s">
        <v>116</v>
      </c>
      <c r="B27" s="806"/>
      <c r="C27" s="708">
        <f ca="1">C22+C16+C26</f>
        <v>60263.373959142657</v>
      </c>
      <c r="D27" s="708">
        <f t="shared" ref="D27:R27" ca="1" si="3">D22+D16+D26</f>
        <v>0</v>
      </c>
      <c r="E27" s="708">
        <f t="shared" ca="1" si="3"/>
        <v>29366.706643036272</v>
      </c>
      <c r="F27" s="708">
        <f t="shared" si="3"/>
        <v>4774.3851750021176</v>
      </c>
      <c r="G27" s="708">
        <f t="shared" ca="1" si="3"/>
        <v>33632.287089948339</v>
      </c>
      <c r="H27" s="708">
        <f t="shared" si="3"/>
        <v>26968.643206119676</v>
      </c>
      <c r="I27" s="708">
        <f t="shared" si="3"/>
        <v>4985.4694310545801</v>
      </c>
      <c r="J27" s="708">
        <f t="shared" si="3"/>
        <v>0</v>
      </c>
      <c r="K27" s="708">
        <f t="shared" si="3"/>
        <v>2693.7056797688647</v>
      </c>
      <c r="L27" s="708">
        <f t="shared" si="3"/>
        <v>0</v>
      </c>
      <c r="M27" s="708">
        <f t="shared" ca="1" si="3"/>
        <v>0</v>
      </c>
      <c r="N27" s="708">
        <f t="shared" si="3"/>
        <v>1713.1413728307057</v>
      </c>
      <c r="O27" s="708">
        <f t="shared" ca="1" si="3"/>
        <v>16179.687786266019</v>
      </c>
      <c r="P27" s="708">
        <f t="shared" si="3"/>
        <v>85.983333333333334</v>
      </c>
      <c r="Q27" s="708">
        <f t="shared" si="3"/>
        <v>324.13333333333333</v>
      </c>
      <c r="R27" s="708">
        <f t="shared" ca="1" si="3"/>
        <v>180987.51700983589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1549.4772973824643</v>
      </c>
      <c r="D40" s="1025">
        <f ca="1">tertiair!C20</f>
        <v>0</v>
      </c>
      <c r="E40" s="1025">
        <f ca="1">tertiair!D20</f>
        <v>928.52345224490989</v>
      </c>
      <c r="F40" s="1025">
        <f>tertiair!E20</f>
        <v>16.724185549011416</v>
      </c>
      <c r="G40" s="1025">
        <f ca="1">tertiair!F20</f>
        <v>262.46566469849301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2757.1905998748789</v>
      </c>
    </row>
    <row r="41" spans="1:18">
      <c r="A41" s="823" t="s">
        <v>225</v>
      </c>
      <c r="B41" s="830"/>
      <c r="C41" s="1025">
        <f ca="1">huishoudens!B12</f>
        <v>2777.834598890719</v>
      </c>
      <c r="D41" s="1025">
        <f ca="1">huishoudens!C12</f>
        <v>0</v>
      </c>
      <c r="E41" s="1025">
        <f>huishoudens!D12</f>
        <v>2803.5468412102996</v>
      </c>
      <c r="F41" s="1025">
        <f>huishoudens!E12</f>
        <v>332.20430253591843</v>
      </c>
      <c r="G41" s="1025">
        <f>huishoudens!F12</f>
        <v>4849.9228303690224</v>
      </c>
      <c r="H41" s="1025">
        <f>huishoudens!G12</f>
        <v>0</v>
      </c>
      <c r="I41" s="1025">
        <f>huishoudens!H12</f>
        <v>0</v>
      </c>
      <c r="J41" s="1025">
        <f>huishoudens!I12</f>
        <v>0</v>
      </c>
      <c r="K41" s="1025">
        <f>huishoudens!J12</f>
        <v>847.95908168677465</v>
      </c>
      <c r="L41" s="1025">
        <f>huishoudens!K12</f>
        <v>0</v>
      </c>
      <c r="M41" s="1025">
        <f>huishoudens!L12</f>
        <v>0</v>
      </c>
      <c r="N41" s="1025">
        <f>huishoudens!M12</f>
        <v>0</v>
      </c>
      <c r="O41" s="1025">
        <f>huishoudens!N12</f>
        <v>0</v>
      </c>
      <c r="P41" s="1025">
        <f>huishoudens!O12</f>
        <v>0</v>
      </c>
      <c r="Q41" s="775">
        <f>huishoudens!P12</f>
        <v>0</v>
      </c>
      <c r="R41" s="851">
        <f t="shared" ca="1" si="4"/>
        <v>11611.467654692733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8367.2594604591432</v>
      </c>
      <c r="D43" s="1025">
        <f ca="1">industrie!C22</f>
        <v>0</v>
      </c>
      <c r="E43" s="1025">
        <f>industrie!D22</f>
        <v>2103.7212797160282</v>
      </c>
      <c r="F43" s="1025">
        <f>industrie!E22</f>
        <v>713.68675327372273</v>
      </c>
      <c r="G43" s="1025">
        <f>industrie!F22</f>
        <v>3172.0275059901373</v>
      </c>
      <c r="H43" s="1025">
        <f>industrie!G22</f>
        <v>0</v>
      </c>
      <c r="I43" s="1025">
        <f>industrie!H22</f>
        <v>0</v>
      </c>
      <c r="J43" s="1025">
        <f>industrie!I22</f>
        <v>0</v>
      </c>
      <c r="K43" s="1025">
        <f>industrie!J22</f>
        <v>49.900531908915497</v>
      </c>
      <c r="L43" s="1025">
        <f>industrie!K22</f>
        <v>0</v>
      </c>
      <c r="M43" s="1025">
        <f>industrie!L22</f>
        <v>0</v>
      </c>
      <c r="N43" s="1025">
        <f>industrie!M22</f>
        <v>0</v>
      </c>
      <c r="O43" s="1025">
        <f>industrie!N22</f>
        <v>0</v>
      </c>
      <c r="P43" s="1025">
        <f>industrie!O22</f>
        <v>0</v>
      </c>
      <c r="Q43" s="775">
        <f>industrie!P22</f>
        <v>0</v>
      </c>
      <c r="R43" s="850">
        <f t="shared" ca="1" si="4"/>
        <v>14406.595531347948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12694.571356732326</v>
      </c>
      <c r="D46" s="733">
        <f t="shared" ref="D46:Q46" ca="1" si="5">SUM(D39:D45)</f>
        <v>0</v>
      </c>
      <c r="E46" s="733">
        <f t="shared" ca="1" si="5"/>
        <v>5835.7915731712383</v>
      </c>
      <c r="F46" s="733">
        <f t="shared" si="5"/>
        <v>1062.6152413586526</v>
      </c>
      <c r="G46" s="733">
        <f t="shared" ca="1" si="5"/>
        <v>8284.4160010576525</v>
      </c>
      <c r="H46" s="733">
        <f t="shared" si="5"/>
        <v>0</v>
      </c>
      <c r="I46" s="733">
        <f t="shared" si="5"/>
        <v>0</v>
      </c>
      <c r="J46" s="733">
        <f t="shared" si="5"/>
        <v>0</v>
      </c>
      <c r="K46" s="733">
        <f t="shared" si="5"/>
        <v>897.85961359569012</v>
      </c>
      <c r="L46" s="733">
        <f t="shared" si="5"/>
        <v>0</v>
      </c>
      <c r="M46" s="733">
        <f t="shared" ca="1" si="5"/>
        <v>0</v>
      </c>
      <c r="N46" s="733">
        <f t="shared" si="5"/>
        <v>0</v>
      </c>
      <c r="O46" s="733">
        <f t="shared" ca="1" si="5"/>
        <v>0</v>
      </c>
      <c r="P46" s="733">
        <f t="shared" si="5"/>
        <v>0</v>
      </c>
      <c r="Q46" s="733">
        <f t="shared" si="5"/>
        <v>0</v>
      </c>
      <c r="R46" s="733">
        <f ca="1">SUM(R39:R45)</f>
        <v>28775.25378591556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111.93744833919341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111.93744833919341</v>
      </c>
    </row>
    <row r="50" spans="1:18">
      <c r="A50" s="826" t="s">
        <v>307</v>
      </c>
      <c r="B50" s="836"/>
      <c r="C50" s="704">
        <f ca="1">transport!B18</f>
        <v>1.0475030432362369</v>
      </c>
      <c r="D50" s="704">
        <f>transport!C18</f>
        <v>0</v>
      </c>
      <c r="E50" s="704">
        <f>transport!D18</f>
        <v>2.6704058882631121</v>
      </c>
      <c r="F50" s="704">
        <f>transport!E18</f>
        <v>19.011835143130739</v>
      </c>
      <c r="G50" s="704">
        <f>transport!F18</f>
        <v>0</v>
      </c>
      <c r="H50" s="704">
        <f>transport!G18</f>
        <v>7088.6902876947606</v>
      </c>
      <c r="I50" s="704">
        <f>transport!H18</f>
        <v>1241.3818883325905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8352.8019201019815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1.0475030432362369</v>
      </c>
      <c r="D52" s="733">
        <f t="shared" ref="D52:Q52" ca="1" si="6">SUM(D48:D51)</f>
        <v>0</v>
      </c>
      <c r="E52" s="733">
        <f t="shared" si="6"/>
        <v>2.6704058882631121</v>
      </c>
      <c r="F52" s="733">
        <f t="shared" si="6"/>
        <v>19.011835143130739</v>
      </c>
      <c r="G52" s="733">
        <f t="shared" si="6"/>
        <v>0</v>
      </c>
      <c r="H52" s="733">
        <f t="shared" si="6"/>
        <v>7200.6277360339536</v>
      </c>
      <c r="I52" s="733">
        <f t="shared" si="6"/>
        <v>1241.3818883325905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8464.7393684411745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221.97109146246041</v>
      </c>
      <c r="D54" s="704">
        <f ca="1">+landbouw!C12</f>
        <v>0</v>
      </c>
      <c r="E54" s="704">
        <f>+landbouw!D12</f>
        <v>7.0902879564934338</v>
      </c>
      <c r="F54" s="704">
        <f>+landbouw!E12</f>
        <v>2.1583582236973791</v>
      </c>
      <c r="G54" s="704">
        <f>+landbouw!F12</f>
        <v>695.40465195855404</v>
      </c>
      <c r="H54" s="704">
        <f>+landbouw!G12</f>
        <v>0</v>
      </c>
      <c r="I54" s="704">
        <f>+landbouw!H12</f>
        <v>0</v>
      </c>
      <c r="J54" s="704">
        <f>+landbouw!I12</f>
        <v>0</v>
      </c>
      <c r="K54" s="704">
        <f>+landbouw!J12</f>
        <v>55.712197042487915</v>
      </c>
      <c r="L54" s="704">
        <f>+landbouw!K12</f>
        <v>0</v>
      </c>
      <c r="M54" s="704">
        <f>+landbouw!L12</f>
        <v>0</v>
      </c>
      <c r="N54" s="704">
        <f>+landbouw!M12</f>
        <v>0</v>
      </c>
      <c r="O54" s="704">
        <f>+landbouw!N12</f>
        <v>0</v>
      </c>
      <c r="P54" s="704">
        <f>+landbouw!O12</f>
        <v>0</v>
      </c>
      <c r="Q54" s="705">
        <f>+landbouw!P12</f>
        <v>0</v>
      </c>
      <c r="R54" s="732">
        <f ca="1">SUM(C54:Q54)</f>
        <v>982.33658664369318</v>
      </c>
    </row>
    <row r="55" spans="1:18" ht="15" thickBot="1">
      <c r="A55" s="826" t="s">
        <v>864</v>
      </c>
      <c r="B55" s="836"/>
      <c r="C55" s="704">
        <f ca="1">C25*'EF ele_warmte'!B12</f>
        <v>113.37589998022986</v>
      </c>
      <c r="D55" s="704"/>
      <c r="E55" s="704">
        <f>E25*EF_CO2_aardgas</f>
        <v>86.522474877332499</v>
      </c>
      <c r="F55" s="704"/>
      <c r="G55" s="704"/>
      <c r="H55" s="704"/>
      <c r="I55" s="704"/>
      <c r="J55" s="704"/>
      <c r="K55" s="704"/>
      <c r="L55" s="704"/>
      <c r="M55" s="704"/>
      <c r="N55" s="704"/>
      <c r="O55" s="704"/>
      <c r="P55" s="704"/>
      <c r="Q55" s="705"/>
      <c r="R55" s="732">
        <f ca="1">SUM(C55:Q55)</f>
        <v>199.89837485756237</v>
      </c>
    </row>
    <row r="56" spans="1:18" ht="15.75" thickBot="1">
      <c r="A56" s="824" t="s">
        <v>865</v>
      </c>
      <c r="B56" s="837"/>
      <c r="C56" s="733">
        <f ca="1">SUM(C54:C55)</f>
        <v>335.3469914426903</v>
      </c>
      <c r="D56" s="733">
        <f t="shared" ref="D56:Q56" ca="1" si="7">SUM(D54:D55)</f>
        <v>0</v>
      </c>
      <c r="E56" s="733">
        <f t="shared" si="7"/>
        <v>93.61276283382594</v>
      </c>
      <c r="F56" s="733">
        <f t="shared" si="7"/>
        <v>2.1583582236973791</v>
      </c>
      <c r="G56" s="733">
        <f t="shared" si="7"/>
        <v>695.40465195855404</v>
      </c>
      <c r="H56" s="733">
        <f t="shared" si="7"/>
        <v>0</v>
      </c>
      <c r="I56" s="733">
        <f t="shared" si="7"/>
        <v>0</v>
      </c>
      <c r="J56" s="733">
        <f t="shared" si="7"/>
        <v>0</v>
      </c>
      <c r="K56" s="733">
        <f t="shared" si="7"/>
        <v>55.712197042487915</v>
      </c>
      <c r="L56" s="733">
        <f t="shared" si="7"/>
        <v>0</v>
      </c>
      <c r="M56" s="733">
        <f t="shared" si="7"/>
        <v>0</v>
      </c>
      <c r="N56" s="733">
        <f t="shared" si="7"/>
        <v>0</v>
      </c>
      <c r="O56" s="733">
        <f t="shared" si="7"/>
        <v>0</v>
      </c>
      <c r="P56" s="733">
        <f t="shared" si="7"/>
        <v>0</v>
      </c>
      <c r="Q56" s="734">
        <f t="shared" si="7"/>
        <v>0</v>
      </c>
      <c r="R56" s="735">
        <f ca="1">SUM(R54:R55)</f>
        <v>1182.2349615012556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13030.96585121825</v>
      </c>
      <c r="D61" s="741">
        <f t="shared" ref="D61:Q61" ca="1" si="8">D46+D52+D56</f>
        <v>0</v>
      </c>
      <c r="E61" s="741">
        <f t="shared" ca="1" si="8"/>
        <v>5932.0747418933279</v>
      </c>
      <c r="F61" s="741">
        <f t="shared" si="8"/>
        <v>1083.7854347254809</v>
      </c>
      <c r="G61" s="741">
        <f t="shared" ca="1" si="8"/>
        <v>8979.8206530162061</v>
      </c>
      <c r="H61" s="741">
        <f t="shared" si="8"/>
        <v>7200.6277360339536</v>
      </c>
      <c r="I61" s="741">
        <f t="shared" si="8"/>
        <v>1241.3818883325905</v>
      </c>
      <c r="J61" s="741">
        <f t="shared" si="8"/>
        <v>0</v>
      </c>
      <c r="K61" s="741">
        <f t="shared" si="8"/>
        <v>953.57181063817802</v>
      </c>
      <c r="L61" s="741">
        <f t="shared" si="8"/>
        <v>0</v>
      </c>
      <c r="M61" s="741">
        <f t="shared" ca="1" si="8"/>
        <v>0</v>
      </c>
      <c r="N61" s="741">
        <f t="shared" si="8"/>
        <v>0</v>
      </c>
      <c r="O61" s="741">
        <f t="shared" ca="1" si="8"/>
        <v>0</v>
      </c>
      <c r="P61" s="741">
        <f t="shared" si="8"/>
        <v>0</v>
      </c>
      <c r="Q61" s="741">
        <f t="shared" si="8"/>
        <v>0</v>
      </c>
      <c r="R61" s="741">
        <f ca="1">R46+R52+R56</f>
        <v>38422.228115857994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0.21623359256408345</v>
      </c>
      <c r="D63" s="782">
        <f t="shared" ca="1" si="9"/>
        <v>0</v>
      </c>
      <c r="E63" s="1036">
        <f t="shared" ca="1" si="9"/>
        <v>0.20200000000000004</v>
      </c>
      <c r="F63" s="782">
        <f t="shared" si="9"/>
        <v>0.22700000000000004</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1299.7275735397029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1299.7275735397029</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1299.7275735397029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1299.7275735397029</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12846.452606883795</v>
      </c>
      <c r="C4" s="478">
        <f>huishoudens!C8</f>
        <v>0</v>
      </c>
      <c r="D4" s="478">
        <f>huishoudens!D8</f>
        <v>13878.944758466829</v>
      </c>
      <c r="E4" s="478">
        <f>huishoudens!E8</f>
        <v>1463.4550772507419</v>
      </c>
      <c r="F4" s="478">
        <f>huishoudens!F8</f>
        <v>18164.504982655515</v>
      </c>
      <c r="G4" s="478">
        <f>huishoudens!G8</f>
        <v>0</v>
      </c>
      <c r="H4" s="478">
        <f>huishoudens!H8</f>
        <v>0</v>
      </c>
      <c r="I4" s="478">
        <f>huishoudens!I8</f>
        <v>0</v>
      </c>
      <c r="J4" s="478">
        <f>huishoudens!J8</f>
        <v>2395.3646375332619</v>
      </c>
      <c r="K4" s="478">
        <f>huishoudens!K8</f>
        <v>0</v>
      </c>
      <c r="L4" s="478">
        <f>huishoudens!L8</f>
        <v>0</v>
      </c>
      <c r="M4" s="478">
        <f>huishoudens!M8</f>
        <v>0</v>
      </c>
      <c r="N4" s="478">
        <f>huishoudens!N8</f>
        <v>7539.355278113163</v>
      </c>
      <c r="O4" s="478">
        <f>huishoudens!O8</f>
        <v>84.42</v>
      </c>
      <c r="P4" s="479">
        <f>huishoudens!P8</f>
        <v>305.06666666666666</v>
      </c>
      <c r="Q4" s="480">
        <f>SUM(B4:P4)</f>
        <v>56677.56400756997</v>
      </c>
    </row>
    <row r="5" spans="1:17">
      <c r="A5" s="477" t="s">
        <v>156</v>
      </c>
      <c r="B5" s="478">
        <f ca="1">tertiair!B16</f>
        <v>6493.6946200000002</v>
      </c>
      <c r="C5" s="478">
        <f ca="1">tertiair!C16</f>
        <v>0</v>
      </c>
      <c r="D5" s="478">
        <f ca="1">tertiair!D16</f>
        <v>4596.6507536876725</v>
      </c>
      <c r="E5" s="478">
        <f>tertiair!E16</f>
        <v>73.674826207098747</v>
      </c>
      <c r="F5" s="478">
        <f ca="1">tertiair!F16</f>
        <v>983.0174707808726</v>
      </c>
      <c r="G5" s="478">
        <f>tertiair!G16</f>
        <v>0</v>
      </c>
      <c r="H5" s="478">
        <f>tertiair!H16</f>
        <v>0</v>
      </c>
      <c r="I5" s="478">
        <f>tertiair!I16</f>
        <v>0</v>
      </c>
      <c r="J5" s="478">
        <f>tertiair!J16</f>
        <v>0</v>
      </c>
      <c r="K5" s="478">
        <f>tertiair!K16</f>
        <v>0</v>
      </c>
      <c r="L5" s="478">
        <f ca="1">tertiair!L16</f>
        <v>0</v>
      </c>
      <c r="M5" s="478">
        <f>tertiair!M16</f>
        <v>0</v>
      </c>
      <c r="N5" s="478">
        <f ca="1">tertiair!N16</f>
        <v>606.5276196778816</v>
      </c>
      <c r="O5" s="478">
        <f>tertiair!O16</f>
        <v>1.5633333333333335</v>
      </c>
      <c r="P5" s="479">
        <f>tertiair!P16</f>
        <v>19.066666666666666</v>
      </c>
      <c r="Q5" s="477">
        <f t="shared" ref="Q5:Q14" ca="1" si="0">SUM(B5:P5)</f>
        <v>12774.195290353528</v>
      </c>
    </row>
    <row r="6" spans="1:17">
      <c r="A6" s="477" t="s">
        <v>194</v>
      </c>
      <c r="B6" s="478">
        <f>'openbare verlichting'!B8</f>
        <v>672.06200000000001</v>
      </c>
      <c r="C6" s="478"/>
      <c r="D6" s="478"/>
      <c r="E6" s="478"/>
      <c r="F6" s="478"/>
      <c r="G6" s="478"/>
      <c r="H6" s="478"/>
      <c r="I6" s="478"/>
      <c r="J6" s="478"/>
      <c r="K6" s="478"/>
      <c r="L6" s="478"/>
      <c r="M6" s="478"/>
      <c r="N6" s="478"/>
      <c r="O6" s="478"/>
      <c r="P6" s="479"/>
      <c r="Q6" s="477">
        <f t="shared" si="0"/>
        <v>672.06200000000001</v>
      </c>
    </row>
    <row r="7" spans="1:17">
      <c r="A7" s="477" t="s">
        <v>112</v>
      </c>
      <c r="B7" s="478">
        <f>landbouw!B8</f>
        <v>1026.5338000000002</v>
      </c>
      <c r="C7" s="478">
        <f>landbouw!C8</f>
        <v>0</v>
      </c>
      <c r="D7" s="478">
        <f>landbouw!D8</f>
        <v>35.100435428185314</v>
      </c>
      <c r="E7" s="478">
        <f>landbouw!E8</f>
        <v>9.5081860074774411</v>
      </c>
      <c r="F7" s="478">
        <f>landbouw!F8</f>
        <v>2604.5118050882174</v>
      </c>
      <c r="G7" s="478">
        <f>landbouw!G8</f>
        <v>0</v>
      </c>
      <c r="H7" s="478">
        <f>landbouw!H8</f>
        <v>0</v>
      </c>
      <c r="I7" s="478">
        <f>landbouw!I8</f>
        <v>0</v>
      </c>
      <c r="J7" s="478">
        <f>landbouw!J8</f>
        <v>157.37908769064384</v>
      </c>
      <c r="K7" s="478">
        <f>landbouw!K8</f>
        <v>0</v>
      </c>
      <c r="L7" s="478">
        <f>landbouw!L8</f>
        <v>0</v>
      </c>
      <c r="M7" s="478">
        <f>landbouw!M8</f>
        <v>0</v>
      </c>
      <c r="N7" s="478">
        <f>landbouw!N8</f>
        <v>0</v>
      </c>
      <c r="O7" s="478">
        <f>landbouw!O8</f>
        <v>0</v>
      </c>
      <c r="P7" s="479">
        <f>landbouw!P8</f>
        <v>0</v>
      </c>
      <c r="Q7" s="477">
        <f t="shared" si="0"/>
        <v>3833.0333142145241</v>
      </c>
    </row>
    <row r="8" spans="1:17">
      <c r="A8" s="477" t="s">
        <v>650</v>
      </c>
      <c r="B8" s="478">
        <f>industrie!B18</f>
        <v>38695.465219999998</v>
      </c>
      <c r="C8" s="478">
        <f>industrie!C18</f>
        <v>0</v>
      </c>
      <c r="D8" s="478">
        <f>industrie!D18</f>
        <v>10414.461780772417</v>
      </c>
      <c r="E8" s="478">
        <f>industrie!E18</f>
        <v>3143.9945078137562</v>
      </c>
      <c r="F8" s="478">
        <f>industrie!F18</f>
        <v>11880.252831423735</v>
      </c>
      <c r="G8" s="478">
        <f>industrie!G18</f>
        <v>0</v>
      </c>
      <c r="H8" s="478">
        <f>industrie!H18</f>
        <v>0</v>
      </c>
      <c r="I8" s="478">
        <f>industrie!I18</f>
        <v>0</v>
      </c>
      <c r="J8" s="478">
        <f>industrie!J18</f>
        <v>140.96195454495904</v>
      </c>
      <c r="K8" s="478">
        <f>industrie!K18</f>
        <v>0</v>
      </c>
      <c r="L8" s="478">
        <f>industrie!L18</f>
        <v>0</v>
      </c>
      <c r="M8" s="478">
        <f>industrie!M18</f>
        <v>0</v>
      </c>
      <c r="N8" s="478">
        <f>industrie!N18</f>
        <v>8033.8048884749733</v>
      </c>
      <c r="O8" s="478">
        <f>industrie!O18</f>
        <v>0</v>
      </c>
      <c r="P8" s="479">
        <f>industrie!P18</f>
        <v>0</v>
      </c>
      <c r="Q8" s="477">
        <f t="shared" si="0"/>
        <v>72308.941183029834</v>
      </c>
    </row>
    <row r="9" spans="1:17" s="483" customFormat="1">
      <c r="A9" s="481" t="s">
        <v>571</v>
      </c>
      <c r="B9" s="482">
        <f>transport!B14</f>
        <v>4.844312258863277</v>
      </c>
      <c r="C9" s="482">
        <f>transport!C14</f>
        <v>0</v>
      </c>
      <c r="D9" s="482">
        <f>transport!D14</f>
        <v>13.219831130015406</v>
      </c>
      <c r="E9" s="482">
        <f>transport!E14</f>
        <v>83.752577723042904</v>
      </c>
      <c r="F9" s="482">
        <f>transport!F14</f>
        <v>0</v>
      </c>
      <c r="G9" s="482">
        <f>transport!G14</f>
        <v>26549.401826572135</v>
      </c>
      <c r="H9" s="482">
        <f>transport!H14</f>
        <v>4985.4694310545801</v>
      </c>
      <c r="I9" s="482">
        <f>transport!I14</f>
        <v>0</v>
      </c>
      <c r="J9" s="482">
        <f>transport!J14</f>
        <v>0</v>
      </c>
      <c r="K9" s="482">
        <f>transport!K14</f>
        <v>0</v>
      </c>
      <c r="L9" s="482">
        <f>transport!L14</f>
        <v>0</v>
      </c>
      <c r="M9" s="482">
        <f>transport!M14</f>
        <v>1689.2332591097513</v>
      </c>
      <c r="N9" s="482">
        <f>transport!N14</f>
        <v>0</v>
      </c>
      <c r="O9" s="482">
        <f>transport!O14</f>
        <v>0</v>
      </c>
      <c r="P9" s="482">
        <f>transport!P14</f>
        <v>0</v>
      </c>
      <c r="Q9" s="481">
        <f>SUM(B9:P9)</f>
        <v>33325.921237848386</v>
      </c>
    </row>
    <row r="10" spans="1:17">
      <c r="A10" s="477" t="s">
        <v>561</v>
      </c>
      <c r="B10" s="478">
        <f>transport!B54</f>
        <v>0</v>
      </c>
      <c r="C10" s="478">
        <f>transport!C54</f>
        <v>0</v>
      </c>
      <c r="D10" s="478">
        <f>transport!D54</f>
        <v>0</v>
      </c>
      <c r="E10" s="478">
        <f>transport!E54</f>
        <v>0</v>
      </c>
      <c r="F10" s="478">
        <f>transport!F54</f>
        <v>0</v>
      </c>
      <c r="G10" s="478">
        <f>transport!G54</f>
        <v>419.24137954754082</v>
      </c>
      <c r="H10" s="478">
        <f>transport!H54</f>
        <v>0</v>
      </c>
      <c r="I10" s="478">
        <f>transport!I54</f>
        <v>0</v>
      </c>
      <c r="J10" s="478">
        <f>transport!J54</f>
        <v>0</v>
      </c>
      <c r="K10" s="478">
        <f>transport!K54</f>
        <v>0</v>
      </c>
      <c r="L10" s="478">
        <f>transport!L54</f>
        <v>0</v>
      </c>
      <c r="M10" s="478">
        <f>transport!M54</f>
        <v>23.90811372095439</v>
      </c>
      <c r="N10" s="478">
        <f>transport!N54</f>
        <v>0</v>
      </c>
      <c r="O10" s="478">
        <f>transport!O54</f>
        <v>0</v>
      </c>
      <c r="P10" s="479">
        <f>transport!P54</f>
        <v>0</v>
      </c>
      <c r="Q10" s="477">
        <f t="shared" si="0"/>
        <v>443.14949326849523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524.32140000000004</v>
      </c>
      <c r="C14" s="485"/>
      <c r="D14" s="485">
        <f>'SEAP template'!E25</f>
        <v>428.32908355115097</v>
      </c>
      <c r="E14" s="485"/>
      <c r="F14" s="485"/>
      <c r="G14" s="485"/>
      <c r="H14" s="485"/>
      <c r="I14" s="485"/>
      <c r="J14" s="485"/>
      <c r="K14" s="485"/>
      <c r="L14" s="485"/>
      <c r="M14" s="485"/>
      <c r="N14" s="485"/>
      <c r="O14" s="485"/>
      <c r="P14" s="486"/>
      <c r="Q14" s="477">
        <f t="shared" si="0"/>
        <v>952.65048355115096</v>
      </c>
    </row>
    <row r="15" spans="1:17" s="487" customFormat="1">
      <c r="A15" s="1051" t="s">
        <v>565</v>
      </c>
      <c r="B15" s="991">
        <f ca="1">SUM(B4:B14)</f>
        <v>60263.373959142664</v>
      </c>
      <c r="C15" s="991">
        <f t="shared" ref="C15:Q15" ca="1" si="1">SUM(C4:C14)</f>
        <v>0</v>
      </c>
      <c r="D15" s="991">
        <f t="shared" ca="1" si="1"/>
        <v>29366.706643036272</v>
      </c>
      <c r="E15" s="991">
        <f t="shared" si="1"/>
        <v>4774.3851750021176</v>
      </c>
      <c r="F15" s="991">
        <f t="shared" ca="1" si="1"/>
        <v>33632.287089948339</v>
      </c>
      <c r="G15" s="991">
        <f t="shared" si="1"/>
        <v>26968.643206119676</v>
      </c>
      <c r="H15" s="991">
        <f t="shared" si="1"/>
        <v>4985.4694310545801</v>
      </c>
      <c r="I15" s="991">
        <f t="shared" si="1"/>
        <v>0</v>
      </c>
      <c r="J15" s="991">
        <f t="shared" si="1"/>
        <v>2693.7056797688647</v>
      </c>
      <c r="K15" s="991">
        <f t="shared" si="1"/>
        <v>0</v>
      </c>
      <c r="L15" s="991">
        <f t="shared" ca="1" si="1"/>
        <v>0</v>
      </c>
      <c r="M15" s="991">
        <f t="shared" si="1"/>
        <v>1713.1413728307057</v>
      </c>
      <c r="N15" s="991">
        <f t="shared" ca="1" si="1"/>
        <v>16179.687786266019</v>
      </c>
      <c r="O15" s="991">
        <f t="shared" si="1"/>
        <v>85.983333333333334</v>
      </c>
      <c r="P15" s="991">
        <f t="shared" si="1"/>
        <v>324.13333333333333</v>
      </c>
      <c r="Q15" s="991">
        <f t="shared" ca="1" si="1"/>
        <v>180987.51700983586</v>
      </c>
    </row>
    <row r="17" spans="1:17">
      <c r="A17" s="488" t="s">
        <v>566</v>
      </c>
      <c r="B17" s="787">
        <f ca="1">huishoudens!B10</f>
        <v>0.2162335925640835</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2777.834598890719</v>
      </c>
      <c r="C22" s="478">
        <f t="shared" ref="C22:C32" ca="1" si="3">C4*$C$17</f>
        <v>0</v>
      </c>
      <c r="D22" s="478">
        <f t="shared" ref="D22:D32" si="4">D4*$D$17</f>
        <v>2803.5468412102996</v>
      </c>
      <c r="E22" s="478">
        <f t="shared" ref="E22:E32" si="5">E4*$E$17</f>
        <v>332.20430253591843</v>
      </c>
      <c r="F22" s="478">
        <f t="shared" ref="F22:F32" si="6">F4*$F$17</f>
        <v>4849.9228303690224</v>
      </c>
      <c r="G22" s="478">
        <f t="shared" ref="G22:G32" si="7">G4*$G$17</f>
        <v>0</v>
      </c>
      <c r="H22" s="478">
        <f t="shared" ref="H22:H32" si="8">H4*$H$17</f>
        <v>0</v>
      </c>
      <c r="I22" s="478">
        <f t="shared" ref="I22:I32" si="9">I4*$I$17</f>
        <v>0</v>
      </c>
      <c r="J22" s="478">
        <f t="shared" ref="J22:J32" si="10">J4*$J$17</f>
        <v>847.95908168677465</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11611.467654692733</v>
      </c>
    </row>
    <row r="23" spans="1:17">
      <c r="A23" s="477" t="s">
        <v>156</v>
      </c>
      <c r="B23" s="478">
        <f t="shared" ca="1" si="2"/>
        <v>1404.1549166966611</v>
      </c>
      <c r="C23" s="478">
        <f t="shared" ca="1" si="3"/>
        <v>0</v>
      </c>
      <c r="D23" s="478">
        <f t="shared" ca="1" si="4"/>
        <v>928.52345224490989</v>
      </c>
      <c r="E23" s="478">
        <f t="shared" si="5"/>
        <v>16.724185549011416</v>
      </c>
      <c r="F23" s="478">
        <f t="shared" ca="1" si="6"/>
        <v>262.46566469849301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2611.8682191890757</v>
      </c>
    </row>
    <row r="24" spans="1:17">
      <c r="A24" s="477" t="s">
        <v>194</v>
      </c>
      <c r="B24" s="478">
        <f t="shared" ca="1" si="2"/>
        <v>145.3223806858031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145.3223806858031</v>
      </c>
    </row>
    <row r="25" spans="1:17">
      <c r="A25" s="477" t="s">
        <v>112</v>
      </c>
      <c r="B25" s="478">
        <f t="shared" ca="1" si="2"/>
        <v>221.97109146246041</v>
      </c>
      <c r="C25" s="478">
        <f t="shared" ca="1" si="3"/>
        <v>0</v>
      </c>
      <c r="D25" s="478">
        <f t="shared" si="4"/>
        <v>7.0902879564934338</v>
      </c>
      <c r="E25" s="478">
        <f t="shared" si="5"/>
        <v>2.1583582236973791</v>
      </c>
      <c r="F25" s="478">
        <f t="shared" si="6"/>
        <v>695.40465195855404</v>
      </c>
      <c r="G25" s="478">
        <f t="shared" si="7"/>
        <v>0</v>
      </c>
      <c r="H25" s="478">
        <f t="shared" si="8"/>
        <v>0</v>
      </c>
      <c r="I25" s="478">
        <f t="shared" si="9"/>
        <v>0</v>
      </c>
      <c r="J25" s="478">
        <f t="shared" si="10"/>
        <v>55.712197042487915</v>
      </c>
      <c r="K25" s="478">
        <f t="shared" si="11"/>
        <v>0</v>
      </c>
      <c r="L25" s="478">
        <f t="shared" si="12"/>
        <v>0</v>
      </c>
      <c r="M25" s="478">
        <f t="shared" si="13"/>
        <v>0</v>
      </c>
      <c r="N25" s="478">
        <f t="shared" si="14"/>
        <v>0</v>
      </c>
      <c r="O25" s="478">
        <f t="shared" si="15"/>
        <v>0</v>
      </c>
      <c r="P25" s="479">
        <f t="shared" si="16"/>
        <v>0</v>
      </c>
      <c r="Q25" s="477">
        <f t="shared" ca="1" si="17"/>
        <v>982.33658664369318</v>
      </c>
    </row>
    <row r="26" spans="1:17">
      <c r="A26" s="477" t="s">
        <v>650</v>
      </c>
      <c r="B26" s="478">
        <f t="shared" ca="1" si="2"/>
        <v>8367.2594604591432</v>
      </c>
      <c r="C26" s="478">
        <f t="shared" ca="1" si="3"/>
        <v>0</v>
      </c>
      <c r="D26" s="478">
        <f t="shared" si="4"/>
        <v>2103.7212797160282</v>
      </c>
      <c r="E26" s="478">
        <f t="shared" si="5"/>
        <v>713.68675327372273</v>
      </c>
      <c r="F26" s="478">
        <f t="shared" si="6"/>
        <v>3172.0275059901373</v>
      </c>
      <c r="G26" s="478">
        <f t="shared" si="7"/>
        <v>0</v>
      </c>
      <c r="H26" s="478">
        <f t="shared" si="8"/>
        <v>0</v>
      </c>
      <c r="I26" s="478">
        <f t="shared" si="9"/>
        <v>0</v>
      </c>
      <c r="J26" s="478">
        <f t="shared" si="10"/>
        <v>49.900531908915497</v>
      </c>
      <c r="K26" s="478">
        <f t="shared" si="11"/>
        <v>0</v>
      </c>
      <c r="L26" s="478">
        <f t="shared" si="12"/>
        <v>0</v>
      </c>
      <c r="M26" s="478">
        <f t="shared" si="13"/>
        <v>0</v>
      </c>
      <c r="N26" s="478">
        <f t="shared" si="14"/>
        <v>0</v>
      </c>
      <c r="O26" s="478">
        <f t="shared" si="15"/>
        <v>0</v>
      </c>
      <c r="P26" s="479">
        <f t="shared" si="16"/>
        <v>0</v>
      </c>
      <c r="Q26" s="477">
        <f t="shared" ca="1" si="17"/>
        <v>14406.595531347948</v>
      </c>
    </row>
    <row r="27" spans="1:17" s="483" customFormat="1">
      <c r="A27" s="481" t="s">
        <v>571</v>
      </c>
      <c r="B27" s="781">
        <f t="shared" ca="1" si="2"/>
        <v>1.0475030432362369</v>
      </c>
      <c r="C27" s="482">
        <f t="shared" ca="1" si="3"/>
        <v>0</v>
      </c>
      <c r="D27" s="482">
        <f t="shared" si="4"/>
        <v>2.6704058882631121</v>
      </c>
      <c r="E27" s="482">
        <f t="shared" si="5"/>
        <v>19.011835143130739</v>
      </c>
      <c r="F27" s="482">
        <f t="shared" si="6"/>
        <v>0</v>
      </c>
      <c r="G27" s="482">
        <f t="shared" si="7"/>
        <v>7088.6902876947606</v>
      </c>
      <c r="H27" s="482">
        <f t="shared" si="8"/>
        <v>1241.3818883325905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8352.8019201019815</v>
      </c>
    </row>
    <row r="28" spans="1:17">
      <c r="A28" s="477" t="s">
        <v>561</v>
      </c>
      <c r="B28" s="478">
        <f t="shared" ca="1" si="2"/>
        <v>0</v>
      </c>
      <c r="C28" s="478">
        <f t="shared" ca="1" si="3"/>
        <v>0</v>
      </c>
      <c r="D28" s="478">
        <f t="shared" si="4"/>
        <v>0</v>
      </c>
      <c r="E28" s="478">
        <f t="shared" si="5"/>
        <v>0</v>
      </c>
      <c r="F28" s="478">
        <f t="shared" si="6"/>
        <v>0</v>
      </c>
      <c r="G28" s="478">
        <f t="shared" si="7"/>
        <v>111.93744833919341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111.93744833919341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113.37589998022986</v>
      </c>
      <c r="C32" s="478">
        <f t="shared" ca="1" si="3"/>
        <v>0</v>
      </c>
      <c r="D32" s="478">
        <f t="shared" si="4"/>
        <v>86.522474877332499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199.89837485756237</v>
      </c>
    </row>
    <row r="33" spans="1:17" s="487" customFormat="1">
      <c r="A33" s="1051" t="s">
        <v>565</v>
      </c>
      <c r="B33" s="991">
        <f ca="1">SUM(B22:B32)</f>
        <v>13030.965851218252</v>
      </c>
      <c r="C33" s="991">
        <f t="shared" ref="C33:Q33" ca="1" si="18">SUM(C22:C32)</f>
        <v>0</v>
      </c>
      <c r="D33" s="991">
        <f t="shared" ca="1" si="18"/>
        <v>5932.074741893327</v>
      </c>
      <c r="E33" s="991">
        <f t="shared" si="18"/>
        <v>1083.7854347254809</v>
      </c>
      <c r="F33" s="991">
        <f t="shared" ca="1" si="18"/>
        <v>8979.8206530162079</v>
      </c>
      <c r="G33" s="991">
        <f t="shared" si="18"/>
        <v>7200.6277360339536</v>
      </c>
      <c r="H33" s="991">
        <f t="shared" si="18"/>
        <v>1241.3818883325905</v>
      </c>
      <c r="I33" s="991">
        <f t="shared" si="18"/>
        <v>0</v>
      </c>
      <c r="J33" s="991">
        <f t="shared" si="18"/>
        <v>953.57181063817802</v>
      </c>
      <c r="K33" s="991">
        <f t="shared" si="18"/>
        <v>0</v>
      </c>
      <c r="L33" s="991">
        <f t="shared" ca="1" si="18"/>
        <v>0</v>
      </c>
      <c r="M33" s="991">
        <f t="shared" si="18"/>
        <v>0</v>
      </c>
      <c r="N33" s="991">
        <f t="shared" ca="1" si="18"/>
        <v>0</v>
      </c>
      <c r="O33" s="991">
        <f t="shared" si="18"/>
        <v>0</v>
      </c>
      <c r="P33" s="991">
        <f t="shared" si="18"/>
        <v>0</v>
      </c>
      <c r="Q33" s="991">
        <f t="shared" ca="1" si="18"/>
        <v>38422.228115857986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1299.7275735397029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1299.7275735397029</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0.2162335925640835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0.2162335925640835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2019-08-12T08:09:59Z</dcterms:modified>
</cp:coreProperties>
</file>