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H90" i="14"/>
  <c r="H18" i="59"/>
  <c r="H20" s="1"/>
  <c r="P22" i="14"/>
  <c r="E20" i="59"/>
  <c r="O77" i="14"/>
  <c r="O9" i="59" s="1"/>
  <c r="E89" i="14"/>
  <c r="E19" i="59" s="1"/>
  <c r="N77" i="14"/>
  <c r="B17" i="18"/>
  <c r="B20" s="1"/>
  <c r="Q22" i="14"/>
  <c r="D22"/>
  <c r="L22"/>
  <c r="E10" i="59"/>
  <c r="L20"/>
  <c r="F13" i="15"/>
  <c r="O10" i="59"/>
  <c r="K20"/>
  <c r="C98" i="18"/>
  <c r="B101" s="1"/>
  <c r="C8" s="1"/>
  <c r="L78" i="14"/>
  <c r="D14" i="48"/>
  <c r="Q14" s="1"/>
  <c r="K78" i="14"/>
  <c r="M77"/>
  <c r="M9" i="59" s="1"/>
  <c r="H9" i="18"/>
  <c r="L10" i="59"/>
  <c r="I77" i="14"/>
  <c r="I9" i="59" s="1"/>
  <c r="B13" i="15"/>
  <c r="B10" i="18"/>
  <c r="N13" i="15"/>
  <c r="L13"/>
  <c r="F77" i="14"/>
  <c r="F9" i="59" s="1"/>
  <c r="I101" i="18"/>
  <c r="H8" s="1"/>
  <c r="E101"/>
  <c r="E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O90" l="1"/>
  <c r="O18" i="59"/>
  <c r="O20" s="1"/>
  <c r="N90" i="14"/>
  <c r="N18" i="59"/>
  <c r="N20" s="1"/>
  <c r="N78" i="14"/>
  <c r="N9" i="59"/>
  <c r="N10" s="1"/>
  <c r="F101" i="18"/>
  <c r="H101"/>
  <c r="J8" s="1"/>
  <c r="J17"/>
  <c r="J20" s="1"/>
  <c r="G101"/>
  <c r="C101"/>
  <c r="H78" i="14"/>
  <c r="H9" i="59"/>
  <c r="H10" s="1"/>
  <c r="Q77" i="14"/>
  <c r="P9" i="59" s="1"/>
  <c r="D101" i="18"/>
  <c r="B89" i="14"/>
  <c r="B19" i="59" s="1"/>
  <c r="C77" i="14"/>
  <c r="C9" i="59" s="1"/>
  <c r="H20" i="18"/>
  <c r="M87" i="14"/>
  <c r="F76"/>
  <c r="E10" i="18"/>
  <c r="C20"/>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O8" i="18" l="1"/>
  <c r="O10" s="1"/>
  <c r="F78" i="14"/>
  <c r="F8" i="59"/>
  <c r="F10" s="1"/>
  <c r="F90" i="14"/>
  <c r="F17" i="59"/>
  <c r="F20" s="1"/>
  <c r="M90" i="14"/>
  <c r="M17" i="59"/>
  <c r="M20" s="1"/>
  <c r="I10" i="14"/>
  <c r="I16" s="1"/>
  <c r="H5" i="48"/>
  <c r="H10" i="14"/>
  <c r="H16" s="1"/>
  <c r="G5" i="48"/>
  <c r="M78" i="14"/>
  <c r="M8" i="59"/>
  <c r="M10" s="1"/>
  <c r="I8" i="18"/>
  <c r="J87" i="14"/>
  <c r="Q76"/>
  <c r="D78"/>
  <c r="J10" i="18"/>
  <c r="J76" i="14"/>
  <c r="I87"/>
  <c r="I17" i="59" s="1"/>
  <c r="I20" s="1"/>
  <c r="I20" i="18"/>
  <c r="Q87" i="14"/>
  <c r="D90"/>
  <c r="C87"/>
  <c r="A31" i="23"/>
  <c r="A32"/>
  <c r="A33"/>
  <c r="Q90" i="14" l="1"/>
  <c r="B17" i="6" s="1"/>
  <c r="P17" i="59"/>
  <c r="P20" s="1"/>
  <c r="C90" i="14"/>
  <c r="C17" i="59"/>
  <c r="C20" s="1"/>
  <c r="Q78" i="14"/>
  <c r="B9" i="6" s="1"/>
  <c r="P8" i="59"/>
  <c r="P10" s="1"/>
  <c r="J78" i="14"/>
  <c r="J8" i="59"/>
  <c r="J10" s="1"/>
  <c r="I76" i="14"/>
  <c r="I10" i="18"/>
  <c r="J90" i="14"/>
  <c r="J17" i="59"/>
  <c r="J20" s="1"/>
  <c r="B87" i="14"/>
  <c r="I90"/>
  <c r="C76"/>
  <c r="B11" i="44"/>
  <c r="B25"/>
  <c r="B24"/>
  <c r="B90" i="14" l="1"/>
  <c r="B17" i="59"/>
  <c r="B20" s="1"/>
  <c r="C78" i="14"/>
  <c r="C8" i="59"/>
  <c r="C10" s="1"/>
  <c r="I8"/>
  <c r="I10" s="1"/>
  <c r="B76" i="14"/>
  <c r="I78"/>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28"/>
  <c r="I22"/>
  <c r="I32"/>
  <c r="I26"/>
  <c r="I30"/>
  <c r="I27"/>
  <c r="I29"/>
  <c r="I24"/>
  <c r="I31"/>
  <c r="I25"/>
  <c r="D4"/>
  <c r="D22" s="1"/>
  <c r="E11" i="14"/>
  <c r="D11"/>
  <c r="C4" i="48"/>
  <c r="C11" i="14"/>
  <c r="B4" i="48"/>
  <c r="B10"/>
  <c r="C19" i="14"/>
  <c r="E32" i="48"/>
  <c r="E30"/>
  <c r="E28"/>
  <c r="E31"/>
  <c r="E29"/>
  <c r="E24"/>
  <c r="M22"/>
  <c r="M26"/>
  <c r="M25"/>
  <c r="M32"/>
  <c r="M29"/>
  <c r="M24"/>
  <c r="M30"/>
  <c r="M23"/>
  <c r="B8" i="9"/>
  <c r="B6" i="48" s="1"/>
  <c r="Q6" s="1"/>
  <c r="K28"/>
  <c r="K32"/>
  <c r="K27"/>
  <c r="K30"/>
  <c r="K31"/>
  <c r="K25"/>
  <c r="K24"/>
  <c r="K29"/>
  <c r="K26"/>
  <c r="K22"/>
  <c r="B7"/>
  <c r="C24" i="14"/>
  <c r="C26" s="1"/>
  <c r="J24" i="48"/>
  <c r="J27"/>
  <c r="J32"/>
  <c r="J30"/>
  <c r="J29"/>
  <c r="J28"/>
  <c r="J31"/>
  <c r="P11" i="14"/>
  <c r="O4" i="48"/>
  <c r="H32"/>
  <c r="H29"/>
  <c r="H28"/>
  <c r="H26"/>
  <c r="H25"/>
  <c r="H22"/>
  <c r="H24"/>
  <c r="H30"/>
  <c r="H23"/>
  <c r="G32"/>
  <c r="G22"/>
  <c r="G30"/>
  <c r="G29"/>
  <c r="G26"/>
  <c r="G24"/>
  <c r="G25"/>
  <c r="G23"/>
  <c r="F30"/>
  <c r="F24"/>
  <c r="F32"/>
  <c r="F29"/>
  <c r="F31"/>
  <c r="F27"/>
  <c r="F28"/>
  <c r="N24"/>
  <c r="N30"/>
  <c r="N29"/>
  <c r="N31"/>
  <c r="N32"/>
  <c r="N27"/>
  <c r="N28"/>
  <c r="L10" i="14"/>
  <c r="L16" s="1"/>
  <c r="L27" s="1"/>
  <c r="K5" i="48"/>
  <c r="D30"/>
  <c r="D24"/>
  <c r="D31"/>
  <c r="D28"/>
  <c r="D29"/>
  <c r="D32"/>
  <c r="L32"/>
  <c r="L27"/>
  <c r="L28"/>
  <c r="L31"/>
  <c r="L24"/>
  <c r="L22"/>
  <c r="L29"/>
  <c r="L30"/>
  <c r="P5"/>
  <c r="P23" s="1"/>
  <c r="Q10" i="14"/>
  <c r="N46"/>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C20" i="14"/>
  <c r="B9" i="48"/>
  <c r="D10" i="14"/>
  <c r="J12" i="17"/>
  <c r="K54" i="14" s="1"/>
  <c r="K56" s="1"/>
  <c r="L46"/>
  <c r="L61" s="1"/>
  <c r="K33" i="48"/>
  <c r="M12" i="22"/>
  <c r="M13" i="48"/>
  <c r="M31" s="1"/>
  <c r="N18" i="14"/>
  <c r="G13" i="48"/>
  <c r="H18" i="14"/>
  <c r="H13" i="48"/>
  <c r="H31" s="1"/>
  <c r="I18" i="14"/>
  <c r="P22" i="16"/>
  <c r="Q43" i="14" s="1"/>
  <c r="Q13"/>
  <c r="P8" i="48"/>
  <c r="P26" s="1"/>
  <c r="O22"/>
  <c r="P22"/>
  <c r="J10" i="14"/>
  <c r="J16" s="1"/>
  <c r="J27" s="1"/>
  <c r="I5" i="48"/>
  <c r="K23"/>
  <c r="K15"/>
  <c r="C22" i="14"/>
  <c r="F20"/>
  <c r="F22" s="1"/>
  <c r="E9" i="48"/>
  <c r="E27" s="1"/>
  <c r="G11" i="14"/>
  <c r="F4" i="48"/>
  <c r="F22" s="1"/>
  <c r="L63" i="14"/>
  <c r="J63"/>
  <c r="Q16"/>
  <c r="Q27" s="1"/>
  <c r="Q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N4"/>
  <c r="N22" s="1"/>
  <c r="O11" i="14"/>
  <c r="E7" i="48"/>
  <c r="E25" s="1"/>
  <c r="F24" i="14"/>
  <c r="F26" s="1"/>
  <c r="N20"/>
  <c r="N22" s="1"/>
  <c r="N27" s="1"/>
  <c r="M9" i="48"/>
  <c r="G9"/>
  <c r="H20" i="14"/>
  <c r="H22" s="1"/>
  <c r="H27" s="1"/>
  <c r="G31" i="48"/>
  <c r="Q13"/>
  <c r="M10"/>
  <c r="M28" s="1"/>
  <c r="N19" i="14"/>
  <c r="O22" i="16"/>
  <c r="P43" i="14" s="1"/>
  <c r="P46" s="1"/>
  <c r="P61" s="1"/>
  <c r="P13"/>
  <c r="P16" s="1"/>
  <c r="P27" s="1"/>
  <c r="O8" i="48"/>
  <c r="P33"/>
  <c r="R18" i="14"/>
  <c r="H19"/>
  <c r="R19" s="1"/>
  <c r="G10" i="48"/>
  <c r="I23"/>
  <c r="I33" s="1"/>
  <c r="I15"/>
  <c r="K11" i="14"/>
  <c r="J4" i="48"/>
  <c r="P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F10"/>
  <c r="E5" i="48"/>
  <c r="E23" s="1"/>
  <c r="O26"/>
  <c r="O33" s="1"/>
  <c r="O15"/>
  <c r="G27"/>
  <c r="G15"/>
  <c r="R11" i="14"/>
  <c r="J5" i="48"/>
  <c r="J23" s="1"/>
  <c r="K10" i="14"/>
  <c r="M27" i="48"/>
  <c r="M33" s="1"/>
  <c r="M15"/>
  <c r="I20" i="14"/>
  <c r="I22" s="1"/>
  <c r="I27" s="1"/>
  <c r="I63" s="1"/>
  <c r="H9" i="48"/>
  <c r="J22"/>
  <c r="E22"/>
  <c r="Q4"/>
  <c r="G28"/>
  <c r="Q10"/>
  <c r="H63" i="14"/>
  <c r="Q9" i="48"/>
  <c r="R20" i="14"/>
  <c r="R22"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K13"/>
  <c r="K16" s="1"/>
  <c r="K27" s="1"/>
  <c r="J8" i="48"/>
  <c r="F16" i="14"/>
  <c r="F27" s="1"/>
  <c r="F13"/>
  <c r="E8" i="48"/>
  <c r="H27"/>
  <c r="H33" s="1"/>
  <c r="H15"/>
  <c r="E22" i="16"/>
  <c r="F43" i="14" s="1"/>
  <c r="F46" s="1"/>
  <c r="F61" s="1"/>
  <c r="F63" s="1"/>
  <c r="G33" i="48"/>
  <c r="O13" i="14"/>
  <c r="N8" i="48"/>
  <c r="N26" s="1"/>
  <c r="F8"/>
  <c r="G13" i="14"/>
  <c r="J26" i="48" l="1"/>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<sst xmlns="http://schemas.openxmlformats.org/spreadsheetml/2006/main" count="2437" uniqueCount="919">
  <si>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</si>
  <si>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</si>
  <si>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</si>
  <si>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</si>
  <si>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</si>
  <si>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</si>
  <si>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</si>
  <si>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</si>
  <si>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</si>
  <si>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</si>
  <si>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</si>
  <si>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</si>
  <si>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</si>
  <si>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</si>
  <si>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</si>
  <si>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</si>
  <si>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</si>
  <si>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</si>
  <si>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</si>
  <si>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</si>
  <si>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</si>
  <si>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</si>
  <si>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</si>
  <si>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</si>
  <si>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</si>
  <si>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</si>
  <si>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</si>
  <si>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</si>
  <si>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</si>
  <si>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</si>
  <si>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</si>
  <si>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</si>
  <si>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</si>
  <si>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</si>
  <si>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</si>
  <si>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</si>
  <si>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</si>
  <si>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</si>
  <si>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</si>
  <si>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</si>
  <si>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</si>
  <si>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</si>
  <si>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</si>
  <si>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</si>
  <si>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</si>
  <si>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</si>
  <si>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</si>
  <si>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</si>
  <si>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</si>
  <si>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</si>
  <si>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</si>
  <si>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</si>
  <si>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</si>
  <si>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</si>
  <si>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</si>
  <si>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</si>
  <si>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</si>
  <si>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</si>
  <si>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</si>
  <si>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</si>
  <si>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</si>
  <si>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</si>
  <si>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</si>
  <si>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</si>
  <si>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</si>
  <si>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</si>
  <si>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</si>
  <si>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</si>
  <si>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</si>
  <si>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</si>
  <si>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</si>
  <si>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</si>
  <si>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</si>
  <si>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</si>
  <si>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</si>
  <si>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</si>
  <si>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</si>
  <si>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</si>
  <si>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</si>
  <si>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</si>
  <si>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</si>
  <si>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</si>
  <si>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</si>
  <si>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</si>
  <si>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</si>
  <si>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</si>
  <si>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</si>
  <si>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</si>
  <si>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</si>
  <si>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</si>
  <si>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</si>
  <si>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</si>
  <si>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</si>
  <si>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</si>
  <si>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</si>
  <si>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</si>
  <si>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</si>
  <si>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</si>
  <si>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</si>
  <si>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</si>
  <si>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</si>
  <si>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</si>
  <si>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</si>
  <si>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</si>
  <si>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</si>
  <si>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</si>
  <si>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</si>
  <si>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</si>
  <si>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</si>
  <si>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</si>
  <si>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</si>
  <si>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</si>
  <si>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</si>
  <si>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</si>
  <si>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</si>
  <si>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</si>
  <si>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</si>
  <si>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</si>
  <si>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</si>
  <si>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</si>
  <si>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</si>
  <si>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</si>
  <si>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</si>
  <si>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</si>
  <si>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</si>
  <si>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</si>
  <si>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</si>
  <si>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</si>
  <si>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</si>
  <si>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</si>
  <si>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</si>
  <si>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</si>
  <si>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</si>
  <si>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</si>
  <si>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</si>
  <si>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</si>
  <si>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</si>
  <si>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</si>
  <si>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</si>
  <si>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</si>
  <si>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</si>
  <si>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</si>
  <si>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</si>
  <si>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</si>
  <si>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</si>
  <si>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</si>
  <si>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</si>
  <si>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</si>
  <si>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</si>
  <si>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</si>
  <si>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</si>
  <si>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</si>
  <si>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</si>
  <si>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</si>
  <si>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</si>
  <si>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</si>
  <si>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</si>
  <si>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</si>
  <si>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</si>
  <si>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</si>
  <si>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</si>
  <si>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</si>
  <si>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</si>
  <si>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</si>
  <si>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</si>
  <si>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</si>
  <si>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</si>
  <si>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</si>
  <si>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</si>
  <si>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</si>
  <si>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</si>
  <si>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</si>
  <si>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</si>
  <si>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</si>
  <si>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</si>
  <si>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</si>
  <si>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</si>
  <si>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</si>
  <si>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</si>
  <si>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</si>
  <si>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</si>
  <si>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</si>
  <si>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</si>
  <si>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</si>
  <si>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</si>
  <si>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</si>
  <si>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</si>
  <si>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</si>
  <si>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</si>
  <si>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</si>
  <si>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</si>
  <si>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</si>
  <si>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</si>
  <si>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</si>
  <si>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</si>
  <si>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</si>
  <si>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</si>
  <si>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</si>
  <si>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</si>
  <si>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</si>
  <si>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</si>
  <si>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</si>
  <si>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</si>
  <si>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</si>
  <si>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</si>
  <si>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</si>
  <si>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</si>
  <si>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</si>
  <si>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</si>
  <si>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</si>
  <si>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</si>
  <si>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</si>
  <si>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</si>
  <si>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</si>
  <si>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</si>
  <si>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</si>
  <si>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</si>
  <si>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</si>
  <si>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</si>
  <si>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</si>
  <si>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</si>
  <si>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</si>
  <si>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</si>
  <si>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</si>
  <si>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</si>
  <si>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</si>
  <si>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</si>
  <si>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</si>
  <si>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</si>
  <si>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</si>
  <si>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</si>
  <si>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</si>
  <si>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</si>
  <si>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</si>
  <si>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</si>
  <si>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</si>
  <si>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</si>
  <si>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</si>
  <si>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</si>
  <si>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</si>
  <si>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</si>
  <si>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</si>
  <si>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</si>
  <si>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</si>
  <si>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</si>
  <si>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</si>
  <si>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</si>
  <si>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</si>
  <si>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</si>
  <si>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</si>
  <si>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</si>
  <si>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</si>
  <si>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</si>
  <si>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</si>
  <si>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</si>
  <si>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</si>
  <si>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</si>
  <si>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</si>
  <si>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</si>
  <si>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</si>
  <si>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</si>
  <si>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</si>
  <si>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</si>
  <si>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</si>
  <si>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</si>
  <si>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</si>
  <si>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</si>
  <si>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</si>
  <si>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</si>
  <si>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</si>
  <si>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</si>
  <si>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</si>
  <si>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</si>
  <si>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</si>
  <si>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</si>
  <si>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</si>
  <si>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</si>
  <si>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</si>
  <si>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</si>
  <si>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</si>
  <si>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</si>
  <si>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</si>
  <si>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</si>
  <si>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</si>
  <si>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</si>
  <si>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</si>
  <si>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</si>
  <si>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</si>
  <si>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</si>
  <si>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</si>
  <si>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</si>
  <si>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</si>
  <si>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</si>
  <si>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</si>
  <si>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</si>
  <si>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</si>
  <si>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</si>
  <si>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</si>
  <si>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</si>
  <si>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</si>
  <si>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</si>
  <si>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</si>
  <si>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</si>
  <si>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</si>
  <si>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</si>
  <si>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</si>
  <si>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</si>
  <si>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</si>
  <si>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</si>
  <si>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</si>
  <si>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</si>
  <si>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</si>
  <si>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</si>
  <si>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</si>
  <si>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</si>
  <si>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</si>
  <si>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</si>
  <si>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</si>
  <si>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</si>
  <si>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</si>
  <si>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</si>
  <si>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</si>
  <si>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</si>
  <si>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</si>
  <si>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</si>
  <si>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</si>
  <si>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</si>
  <si>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</si>
  <si>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</si>
  <si>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</si>
  <si>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</si>
  <si>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</si>
  <si>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</si>
  <si>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</si>
  <si>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</si>
  <si>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</si>
  <si>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</si>
  <si>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</si>
  <si>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</si>
  <si>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</si>
  <si>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</si>
  <si>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</si>
  <si>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</si>
  <si>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</si>
  <si>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</si>
  <si>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</si>
  <si>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</si>
  <si>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</si>
  <si>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</si>
  <si>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</si>
  <si>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</si>
  <si>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</si>
  <si>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</si>
  <si>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</si>
  <si>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</si>
  <si>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</si>
  <si>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</si>
  <si>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</si>
  <si>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</si>
  <si>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</si>
  <si>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</si>
  <si>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</si>
  <si>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</si>
  <si>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</si>
  <si>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</si>
  <si>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</si>
  <si>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</si>
  <si>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</si>
  <si>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</si>
  <si>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</si>
  <si>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</si>
  <si>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</si>
  <si>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</si>
  <si>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</si>
  <si>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</si>
  <si>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</si>
  <si>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</si>
  <si>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</si>
  <si>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</si>
  <si>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</si>
  <si>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</si>
  <si>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</si>
  <si>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</si>
  <si>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</si>
  <si>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</si>
  <si>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</si>
  <si>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</si>
  <si>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</si>
  <si>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</si>
  <si>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</si>
  <si>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</si>
  <si>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</si>
  <si>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</si>
  <si>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</si>
  <si>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</si>
  <si>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</si>
  <si>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</si>
  <si>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</si>
  <si>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</si>
  <si>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</si>
  <si>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</si>
  <si>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</si>
  <si>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</si>
  <si>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</si>
  <si>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</si>
  <si>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</si>
  <si>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</si>
  <si>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</si>
  <si>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</si>
  <si>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</si>
  <si>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</si>
  <si>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</si>
  <si>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</si>
  <si>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</si>
  <si>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</si>
  <si>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</si>
  <si>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</si>
  <si>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</si>
  <si>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</si>
  <si>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</si>
  <si>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</si>
  <si>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</si>
  <si>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</si>
  <si>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</si>
  <si>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</si>
  <si>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</si>
  <si>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</si>
  <si>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</si>
  <si>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</si>
  <si>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</si>
  <si>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</si>
  <si>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</si>
  <si>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</si>
  <si>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</si>
  <si>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</si>
  <si>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</si>
  <si>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</si>
  <si>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</si>
  <si>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</si>
  <si>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</si>
  <si>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</si>
  <si>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</si>
  <si>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</si>
  <si>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</si>
  <si>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</si>
  <si>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</si>
  <si>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</si>
  <si>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</si>
  <si>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</si>
  <si>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</si>
  <si>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</si>
  <si>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</si>
  <si>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</si>
  <si>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</si>
  <si>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</si>
  <si>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</si>
  <si>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</si>
  <si>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</si>
  <si>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</si>
  <si>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</si>
  <si>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</si>
  <si>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</si>
  <si>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</si>
  <si>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</si>
  <si>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</si>
  <si>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</si>
  <si>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</si>
  <si>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</si>
  <si>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</si>
  <si>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</si>
  <si>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</si>
  <si>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</si>
  <si>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</si>
  <si>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</si>
  <si>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</si>
  <si>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</si>
  <si>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</si>
  <si>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</si>
  <si>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</si>
  <si>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</si>
  <si>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</si>
  <si>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</si>
  <si>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</si>
  <si>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</si>
  <si>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</si>
  <si>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</si>
  <si>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</si>
  <si>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</si>
  <si>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</si>
  <si>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</si>
  <si>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</si>
  <si>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</si>
  <si>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</si>
  <si>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</si>
  <si>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</si>
  <si>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</si>
  <si>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</si>
  <si>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</si>
  <si>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</si>
  <si>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</si>
  <si>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</si>
  <si>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</si>
  <si>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</si>
  <si>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</si>
  <si>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</si>
  <si>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</si>
  <si>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</si>
  <si>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</si>
  <si>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</si>
  <si>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</si>
  <si>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</si>
  <si>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</si>
  <si>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</si>
  <si>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</si>
  <si>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</si>
  <si>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</si>
  <si>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</si>
  <si>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</si>
  <si>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</si>
  <si>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</si>
  <si>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</si>
  <si>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</si>
  <si>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</si>
  <si>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</si>
  <si>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</si>
  <si>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</si>
  <si>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</si>
  <si>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</si>
  <si>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</si>
  <si>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</si>
  <si>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</si>
  <si>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</si>
  <si>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</si>
  <si>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</si>
  <si>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</si>
  <si>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</si>
  <si>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</si>
  <si>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</si>
  <si>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</si>
  <si>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</si>
  <si>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</si>
  <si>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</si>
  <si>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</si>
  <si>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</si>
  <si>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</si>
  <si>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</si>
  <si>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</si>
  <si>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</si>
  <si>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</si>
  <si>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</si>
  <si>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</si>
  <si>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</si>
  <si>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</si>
  <si>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</si>
  <si>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</si>
  <si>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</si>
  <si>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</si>
  <si>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</si>
  <si>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</si>
  <si>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</si>
  <si>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</si>
  <si>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</si>
  <si>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</si>
  <si>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</si>
  <si>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</si>
  <si>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</si>
  <si>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</si>
  <si>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</si>
  <si>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</si>
  <si>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</si>
  <si>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</si>
  <si>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</si>
  <si>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</si>
  <si>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</si>
  <si>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</si>
  <si>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</si>
  <si>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</si>
  <si>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</si>
  <si>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</si>
  <si>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</si>
  <si>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</si>
  <si>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</si>
  <si>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</si>
  <si>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</si>
  <si>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</si>
  <si>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</si>
  <si>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</si>
  <si>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</si>
  <si>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</si>
  <si>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</si>
  <si>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</si>
  <si>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</si>
  <si>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</si>
  <si>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</si>
  <si>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</si>
  <si>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</si>
  <si>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</si>
  <si>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</si>
  <si>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</si>
  <si>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</si>
  <si>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</si>
  <si>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</si>
  <si>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</si>
  <si>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</si>
  <si>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</si>
  <si>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</si>
  <si>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</si>
  <si>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</si>
  <si>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</si>
  <si>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</si>
  <si>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</si>
  <si>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</si>
  <si>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</si>
  <si>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</si>
  <si>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</si>
  <si>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</si>
  <si>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</si>
  <si>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</si>
  <si>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</si>
  <si>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</si>
  <si>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</si>
  <si>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</si>
  <si>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</si>
  <si>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</si>
  <si>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</si>
  <si>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</si>
  <si>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</si>
  <si>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</si>
  <si>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</si>
  <si>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</si>
  <si>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</si>
  <si>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</si>
  <si>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</si>
  <si>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</si>
  <si>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</si>
  <si>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</si>
  <si>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</si>
  <si>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</si>
  <si>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</si>
  <si>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</si>
  <si>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</si>
  <si>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</si>
  <si>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</si>
  <si>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</si>
  <si>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</si>
  <si>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</si>
  <si>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</si>
  <si>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</si>
  <si>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</si>
  <si>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</si>
  <si>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</si>
  <si>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</si>
  <si>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</si>
  <si>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</si>
  <si>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</si>
  <si>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</si>
  <si>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</si>
  <si>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</si>
  <si>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</si>
  <si>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</si>
  <si>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</si>
  <si>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</si>
  <si>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</si>
  <si>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</si>
  <si>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</si>
  <si>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</si>
  <si>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</si>
  <si>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</si>
  <si>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</si>
  <si>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</si>
  <si>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</si>
  <si>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</si>
  <si>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</si>
  <si>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</si>
  <si>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</si>
  <si>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</si>
  <si>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</si>
  <si>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</si>
  <si>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</si>
  <si>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</si>
  <si>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</si>
  <si>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</si>
  <si>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</si>
  <si>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</si>
  <si>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</si>
  <si>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</si>
  <si>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</si>
  <si>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</si>
  <si>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</si>
  <si>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</si>
  <si>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</si>
  <si>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</si>
  <si>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</si>
  <si>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</si>
  <si>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</si>
  <si>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</si>
  <si>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</si>
  <si>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</si>
  <si>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</si>
  <si>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</si>
  <si>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</si>
  <si>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</si>
  <si>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</si>
  <si>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</si>
  <si>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</si>
  <si>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</si>
  <si>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</si>
  <si>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</si>
  <si>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</si>
  <si>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</si>
  <si>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</si>
  <si>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</si>
  <si>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</si>
  <si>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</si>
  <si>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</si>
  <si>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</si>
  <si>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</si>
  <si>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</si>
  <si>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</si>
  <si>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</si>
  <si>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</si>
  <si>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</si>
  <si>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</si>
  <si>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</si>
  <si>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</si>
  <si>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</si>
  <si>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</si>
  <si>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</si>
  <si>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</si>
  <si>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</si>
  <si>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</si>
  <si>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</si>
  <si>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</si>
  <si>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</si>
  <si>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</si>
  <si>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</si>
  <si>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</si>
  <si>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</si>
  <si>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</si>
  <si>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</si>
  <si>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</si>
  <si>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</si>
  <si>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</si>
  <si>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</si>
  <si>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</si>
  <si>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</si>
  <si>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</si>
  <si>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</si>
  <si>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</si>
  <si>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</si>
  <si>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</si>
  <si>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</si>
  <si>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</si>
  <si>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</si>
  <si>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</si>
  <si>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</si>
  <si>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</si>
  <si>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</si>
  <si>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</si>
  <si>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</si>
  <si>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</si>
  <si>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</si>
  <si>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</si>
  <si>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</si>
  <si>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</si>
  <si>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</si>
  <si>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</si>
  <si>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</si>
  <si>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</si>
  <si>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</si>
  <si>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</si>
  <si>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</si>
  <si>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</si>
  <si>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</si>
  <si>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</si>
  <si>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</si>
  <si>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</si>
  <si>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</si>
  <si>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</si>
  <si>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</si>
  <si>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</si>
  <si>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</si>
  <si>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</si>
  <si>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</si>
  <si>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</si>
  <si>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</si>
  <si>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</si>
  <si>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</si>
  <si>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</si>
  <si>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</si>
  <si>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</si>
  <si>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</si>
  <si>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</si>
  <si>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</si>
  <si>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</si>
  <si>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</si>
  <si>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</si>
  <si>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</si>
  <si>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</si>
  <si>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</si>
  <si>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</si>
  <si>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</si>
  <si>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</si>
  <si>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</si>
  <si>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</si>
  <si>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</si>
  <si>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</si>
  <si>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</si>
  <si>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</si>
  <si>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</si>
  <si>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</si>
  <si>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</si>
  <si>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</si>
  <si>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</si>
  <si>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</si>
  <si>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</si>
  <si>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</si>
  <si>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</si>
  <si>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</si>
  <si>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</si>
  <si>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</si>
  <si>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</si>
  <si>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</si>
  <si>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</si>
  <si>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</si>
  <si>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</si>
  <si>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</si>
  <si>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</si>
  <si>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</si>
  <si>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</si>
  <si>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</si>
  <si>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</si>
  <si>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</si>
  <si>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</si>
  <si>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</si>
  <si>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</si>
  <si>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</si>
  <si>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</si>
  <si>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</si>
  <si>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</si>
  <si>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</si>
  <si>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</si>
  <si>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</si>
  <si>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</si>
  <si>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</si>
  <si>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</si>
  <si>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</si>
  <si>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</si>
  <si>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</si>
  <si>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</si>
  <si>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</si>
  <si>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</si>
  <si>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</si>
  <si>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</si>
  <si>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</si>
  <si>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</si>
  <si>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</si>
  <si>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</si>
  <si>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</si>
  <si>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</si>
  <si>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</si>
  <si>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</si>
  <si>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</si>
  <si>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</si>
  <si>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</si>
  <si>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</si>
  <si>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</si>
  <si>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</si>
  <si>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</si>
  <si>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</si>
  <si>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</si>
  <si>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</si>
  <si>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</si>
  <si>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</si>
  <si>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</si>
  <si>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</si>
  <si>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</si>
  <si>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</si>
  <si>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</si>
  <si>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</si>
  <si>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</si>
  <si>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</si>
  <si>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</si>
  <si>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</si>
  <si>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</si>
  <si>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</si>
  <si>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</si>
  <si>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</si>
  <si>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</si>
  <si>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</si>
  <si>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</si>
  <si>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</si>
  <si>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</si>
  <si>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</si>
  <si>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</si>
  <si>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</si>
  <si>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</si>
  <si>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</si>
  <si>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</si>
  <si>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45041</t>
  </si>
  <si>
    <t>RONSE</t>
  </si>
  <si>
    <t>Paarden&amp;pony's 200 - 600 kg</t>
  </si>
  <si>
    <t>Paarden&amp;pony's &lt; 200 kg</t>
  </si>
  <si>
    <t>referentietaak LNE (2017); Jaarverslag De Lijn (2014)</t>
  </si>
  <si>
    <t>op basis van VEA (maart 2018) en Inventaris Hernieuwbare Energiebronnen (juni 2018)</t>
  </si>
  <si>
    <t>VEA (maart 2016)</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</si>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</sst>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173919.79594123954</c:v>
                </c:pt>
                <c:pt idx="1">
                  <c:v>86179.03927126796</c:v>
                </c:pt>
                <c:pt idx="2">
                  <c:v>1842.259</c:v>
                </c:pt>
                <c:pt idx="3">
                  <c:v>1656.4251931213369</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173919.79594123954</c:v>
                </c:pt>
                <c:pt idx="1">
                  <c:v>86179.03927126796</c:v>
                </c:pt>
                <c:pt idx="2">
                  <c:v>1842.259</c:v>
                </c:pt>
                <c:pt idx="3">
                  <c:v>1656.4251931213369</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33310.199420897989</c:v>
                </c:pt>
                <c:pt idx="2">
                  <c:v>17589.800037464302</c:v>
                </c:pt>
                <c:pt idx="3">
                  <c:v>387.04273707712144</c:v>
                </c:pt>
                <c:pt idx="4">
                  <c:v>415.60928746691769</c:v>
                </c:pt>
                <c:pt idx="5">
                  <c:v>31528.559415773158</c:v>
                </c:pt>
                <c:pt idx="6">
                  <c:v>27438.346946157148</c:v>
                </c:pt>
                <c:pt idx="7">
                  <c:v>195.13561498893162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33310.199420897989</c:v>
                </c:pt>
                <c:pt idx="2">
                  <c:v>17589.800037464302</c:v>
                </c:pt>
                <c:pt idx="3">
                  <c:v>387.04273707712144</c:v>
                </c:pt>
                <c:pt idx="4">
                  <c:v>415.60928746691769</c:v>
                </c:pt>
                <c:pt idx="5">
                  <c:v>31528.559415773158</c:v>
                </c:pt>
                <c:pt idx="6">
                  <c:v>27438.346946157148</c:v>
                </c:pt>
                <c:pt idx="7">
                  <c:v>195.13561498893162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45041</v>
      </c>
      <c r="B6" s="416"/>
      <c r="C6" s="417"/>
    </row>
    <row r="7" spans="1:7" s="414" customFormat="1" ht="15.75" customHeight="1">
      <c r="A7" s="418" t="str">
        <f>txtMunicipality</f>
        <v>RONSE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0.21009138078691511</v>
      </c>
      <c r="C17" s="525">
        <f ca="1">'EF ele_warmte'!B22</f>
        <v>0.23742128121606954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0.21009138078691511</v>
      </c>
      <c r="C29" s="526">
        <f ca="1">'EF ele_warmte'!B22</f>
        <v>0.23742128121606954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10469</v>
      </c>
      <c r="C9" s="342">
        <v>11364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1456</v>
      </c>
    </row>
    <row r="15" spans="1:6">
      <c r="A15" s="348" t="s">
        <v>184</v>
      </c>
      <c r="B15" s="334">
        <v>12</v>
      </c>
    </row>
    <row r="16" spans="1:6">
      <c r="A16" s="348" t="s">
        <v>6</v>
      </c>
      <c r="B16" s="334">
        <v>323</v>
      </c>
    </row>
    <row r="17" spans="1:6">
      <c r="A17" s="348" t="s">
        <v>7</v>
      </c>
      <c r="B17" s="334">
        <v>466</v>
      </c>
    </row>
    <row r="18" spans="1:6">
      <c r="A18" s="348" t="s">
        <v>8</v>
      </c>
      <c r="B18" s="334">
        <v>552</v>
      </c>
    </row>
    <row r="19" spans="1:6">
      <c r="A19" s="348" t="s">
        <v>9</v>
      </c>
      <c r="B19" s="334">
        <v>461</v>
      </c>
    </row>
    <row r="20" spans="1:6">
      <c r="A20" s="348" t="s">
        <v>10</v>
      </c>
      <c r="B20" s="334">
        <v>357</v>
      </c>
    </row>
    <row r="21" spans="1:6">
      <c r="A21" s="348" t="s">
        <v>11</v>
      </c>
      <c r="B21" s="334">
        <v>240</v>
      </c>
    </row>
    <row r="22" spans="1:6">
      <c r="A22" s="348" t="s">
        <v>12</v>
      </c>
      <c r="B22" s="334">
        <v>652</v>
      </c>
    </row>
    <row r="23" spans="1:6">
      <c r="A23" s="348" t="s">
        <v>13</v>
      </c>
      <c r="B23" s="334">
        <v>12</v>
      </c>
    </row>
    <row r="24" spans="1:6">
      <c r="A24" s="348" t="s">
        <v>14</v>
      </c>
      <c r="B24" s="334">
        <v>1</v>
      </c>
    </row>
    <row r="25" spans="1:6">
      <c r="A25" s="348" t="s">
        <v>15</v>
      </c>
      <c r="B25" s="334">
        <v>104</v>
      </c>
    </row>
    <row r="26" spans="1:6">
      <c r="A26" s="348" t="s">
        <v>16</v>
      </c>
      <c r="B26" s="334">
        <v>194</v>
      </c>
    </row>
    <row r="27" spans="1:6">
      <c r="A27" s="348" t="s">
        <v>17</v>
      </c>
      <c r="B27" s="334">
        <v>41</v>
      </c>
    </row>
    <row r="28" spans="1:6" s="356" customFormat="1">
      <c r="A28" s="355" t="s">
        <v>18</v>
      </c>
      <c r="B28" s="355">
        <v>0</v>
      </c>
    </row>
    <row r="29" spans="1:6">
      <c r="A29" s="355" t="s">
        <v>901</v>
      </c>
      <c r="B29" s="355">
        <v>40</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887026.2952541</v>
      </c>
      <c r="E36" s="334">
        <v>8</v>
      </c>
      <c r="F36" s="334">
        <v>46219.01</v>
      </c>
    </row>
    <row r="37" spans="1:6">
      <c r="A37" s="348" t="s">
        <v>25</v>
      </c>
      <c r="B37" s="348" t="s">
        <v>28</v>
      </c>
      <c r="C37" s="334">
        <v>0</v>
      </c>
      <c r="D37" s="334">
        <v>0</v>
      </c>
      <c r="E37" s="334">
        <v>0</v>
      </c>
      <c r="F37" s="334">
        <v>0</v>
      </c>
    </row>
    <row r="38" spans="1:6">
      <c r="A38" s="348" t="s">
        <v>25</v>
      </c>
      <c r="B38" s="348" t="s">
        <v>29</v>
      </c>
      <c r="C38" s="334">
        <v>0</v>
      </c>
      <c r="D38" s="334">
        <v>0</v>
      </c>
      <c r="E38" s="334">
        <v>1</v>
      </c>
      <c r="F38" s="334">
        <v>3144.4580000000001</v>
      </c>
    </row>
    <row r="39" spans="1:6">
      <c r="A39" s="348" t="s">
        <v>30</v>
      </c>
      <c r="B39" s="348" t="s">
        <v>31</v>
      </c>
      <c r="C39" s="334">
        <v>7862</v>
      </c>
      <c r="D39" s="334">
        <v>101694671.778366</v>
      </c>
      <c r="E39" s="334">
        <v>10622</v>
      </c>
      <c r="F39" s="334">
        <v>36243662</v>
      </c>
    </row>
    <row r="40" spans="1:6">
      <c r="A40" s="348" t="s">
        <v>30</v>
      </c>
      <c r="B40" s="348" t="s">
        <v>29</v>
      </c>
      <c r="C40" s="334">
        <v>0</v>
      </c>
      <c r="D40" s="334">
        <v>0</v>
      </c>
      <c r="E40" s="334">
        <v>0</v>
      </c>
      <c r="F40" s="334">
        <v>0</v>
      </c>
    </row>
    <row r="41" spans="1:6">
      <c r="A41" s="348" t="s">
        <v>32</v>
      </c>
      <c r="B41" s="348" t="s">
        <v>33</v>
      </c>
      <c r="C41" s="334">
        <v>64</v>
      </c>
      <c r="D41" s="334">
        <v>1307594.0790372901</v>
      </c>
      <c r="E41" s="334">
        <v>192</v>
      </c>
      <c r="F41" s="334">
        <v>3938689</v>
      </c>
    </row>
    <row r="42" spans="1:6">
      <c r="A42" s="348" t="s">
        <v>32</v>
      </c>
      <c r="B42" s="348" t="s">
        <v>34</v>
      </c>
      <c r="C42" s="334">
        <v>0</v>
      </c>
      <c r="D42" s="334">
        <v>0</v>
      </c>
      <c r="E42" s="334">
        <v>3</v>
      </c>
      <c r="F42" s="334">
        <v>199926.3</v>
      </c>
    </row>
    <row r="43" spans="1:6">
      <c r="A43" s="348" t="s">
        <v>32</v>
      </c>
      <c r="B43" s="348" t="s">
        <v>35</v>
      </c>
      <c r="C43" s="334">
        <v>0</v>
      </c>
      <c r="D43" s="334">
        <v>0</v>
      </c>
      <c r="E43" s="334">
        <v>0</v>
      </c>
      <c r="F43" s="334">
        <v>0</v>
      </c>
    </row>
    <row r="44" spans="1:6">
      <c r="A44" s="348" t="s">
        <v>32</v>
      </c>
      <c r="B44" s="348" t="s">
        <v>36</v>
      </c>
      <c r="C44" s="334">
        <v>0</v>
      </c>
      <c r="D44" s="334">
        <v>0</v>
      </c>
      <c r="E44" s="334">
        <v>8</v>
      </c>
      <c r="F44" s="334">
        <v>211559.1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164373.86886110599</v>
      </c>
      <c r="E47" s="334">
        <v>11</v>
      </c>
      <c r="F47" s="334">
        <v>105409.2</v>
      </c>
    </row>
    <row r="48" spans="1:6">
      <c r="A48" s="348" t="s">
        <v>32</v>
      </c>
      <c r="B48" s="348" t="s">
        <v>29</v>
      </c>
      <c r="C48" s="334">
        <v>47</v>
      </c>
      <c r="D48" s="334">
        <v>67363736.882793099</v>
      </c>
      <c r="E48" s="334">
        <v>47</v>
      </c>
      <c r="F48" s="334">
        <v>19268836</v>
      </c>
    </row>
    <row r="49" spans="1:6">
      <c r="A49" s="348" t="s">
        <v>32</v>
      </c>
      <c r="B49" s="348" t="s">
        <v>40</v>
      </c>
      <c r="C49" s="334">
        <v>3</v>
      </c>
      <c r="D49" s="334">
        <v>20701844.781176601</v>
      </c>
      <c r="E49" s="334">
        <v>31</v>
      </c>
      <c r="F49" s="334">
        <v>33769835</v>
      </c>
    </row>
    <row r="50" spans="1:6">
      <c r="A50" s="348" t="s">
        <v>32</v>
      </c>
      <c r="B50" s="348" t="s">
        <v>41</v>
      </c>
      <c r="C50" s="334">
        <v>8</v>
      </c>
      <c r="D50" s="334">
        <v>422025.08147135301</v>
      </c>
      <c r="E50" s="334">
        <v>9</v>
      </c>
      <c r="F50" s="334">
        <v>160882.29999999999</v>
      </c>
    </row>
    <row r="51" spans="1:6">
      <c r="A51" s="348" t="s">
        <v>42</v>
      </c>
      <c r="B51" s="348" t="s">
        <v>43</v>
      </c>
      <c r="C51" s="334">
        <v>3</v>
      </c>
      <c r="D51" s="334">
        <v>56207.675696901402</v>
      </c>
      <c r="E51" s="334">
        <v>36</v>
      </c>
      <c r="F51" s="334">
        <v>388260.6</v>
      </c>
    </row>
    <row r="52" spans="1:6">
      <c r="A52" s="348" t="s">
        <v>42</v>
      </c>
      <c r="B52" s="348" t="s">
        <v>29</v>
      </c>
      <c r="C52" s="334">
        <v>3</v>
      </c>
      <c r="D52" s="334">
        <v>89530.140524625996</v>
      </c>
      <c r="E52" s="334">
        <v>4</v>
      </c>
      <c r="F52" s="334">
        <v>23919.65</v>
      </c>
    </row>
    <row r="53" spans="1:6">
      <c r="A53" s="348" t="s">
        <v>44</v>
      </c>
      <c r="B53" s="348" t="s">
        <v>45</v>
      </c>
      <c r="C53" s="334">
        <v>281</v>
      </c>
      <c r="D53" s="334">
        <v>6672493.5257043904</v>
      </c>
      <c r="E53" s="334">
        <v>445</v>
      </c>
      <c r="F53" s="334">
        <v>1567821</v>
      </c>
    </row>
    <row r="54" spans="1:6">
      <c r="A54" s="348" t="s">
        <v>46</v>
      </c>
      <c r="B54" s="348" t="s">
        <v>47</v>
      </c>
      <c r="C54" s="334">
        <v>0</v>
      </c>
      <c r="D54" s="334">
        <v>0</v>
      </c>
      <c r="E54" s="334">
        <v>1</v>
      </c>
      <c r="F54" s="334">
        <v>1842259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2982291.45664598</v>
      </c>
      <c r="E57" s="334">
        <v>126</v>
      </c>
      <c r="F57" s="334">
        <v>2650303</v>
      </c>
    </row>
    <row r="58" spans="1:6">
      <c r="A58" s="348" t="s">
        <v>49</v>
      </c>
      <c r="B58" s="348" t="s">
        <v>51</v>
      </c>
      <c r="C58" s="334">
        <v>42</v>
      </c>
      <c r="D58" s="334">
        <v>8559323.6899631694</v>
      </c>
      <c r="E58" s="334">
        <v>62</v>
      </c>
      <c r="F58" s="334">
        <v>6273093</v>
      </c>
    </row>
    <row r="59" spans="1:6">
      <c r="A59" s="348" t="s">
        <v>49</v>
      </c>
      <c r="B59" s="348" t="s">
        <v>52</v>
      </c>
      <c r="C59" s="334">
        <v>203</v>
      </c>
      <c r="D59" s="334">
        <v>6196845.4639271004</v>
      </c>
      <c r="E59" s="334">
        <v>353</v>
      </c>
      <c r="F59" s="334">
        <v>11601825</v>
      </c>
    </row>
    <row r="60" spans="1:6">
      <c r="A60" s="348" t="s">
        <v>49</v>
      </c>
      <c r="B60" s="348" t="s">
        <v>53</v>
      </c>
      <c r="C60" s="334">
        <v>85</v>
      </c>
      <c r="D60" s="334">
        <v>3072588.1697835298</v>
      </c>
      <c r="E60" s="334">
        <v>110</v>
      </c>
      <c r="F60" s="334">
        <v>2582980</v>
      </c>
    </row>
    <row r="61" spans="1:6">
      <c r="A61" s="348" t="s">
        <v>49</v>
      </c>
      <c r="B61" s="348" t="s">
        <v>54</v>
      </c>
      <c r="C61" s="334">
        <v>238</v>
      </c>
      <c r="D61" s="334">
        <v>19254813.7056376</v>
      </c>
      <c r="E61" s="334">
        <v>489</v>
      </c>
      <c r="F61" s="334">
        <v>7524871</v>
      </c>
    </row>
    <row r="62" spans="1:6">
      <c r="A62" s="348" t="s">
        <v>49</v>
      </c>
      <c r="B62" s="348" t="s">
        <v>55</v>
      </c>
      <c r="C62" s="334">
        <v>11</v>
      </c>
      <c r="D62" s="334">
        <v>2376293.9672643901</v>
      </c>
      <c r="E62" s="334">
        <v>24</v>
      </c>
      <c r="F62" s="334">
        <v>1273274</v>
      </c>
    </row>
    <row r="63" spans="1:6">
      <c r="A63" s="348" t="s">
        <v>49</v>
      </c>
      <c r="B63" s="348" t="s">
        <v>29</v>
      </c>
      <c r="C63" s="334">
        <v>100</v>
      </c>
      <c r="D63" s="334">
        <v>7087795.6633351604</v>
      </c>
      <c r="E63" s="334">
        <v>75</v>
      </c>
      <c r="F63" s="334">
        <v>2350211</v>
      </c>
    </row>
    <row r="64" spans="1:6">
      <c r="A64" s="348" t="s">
        <v>56</v>
      </c>
      <c r="B64" s="348" t="s">
        <v>57</v>
      </c>
      <c r="C64" s="334">
        <v>0</v>
      </c>
      <c r="D64" s="334">
        <v>0</v>
      </c>
      <c r="E64" s="334">
        <v>0</v>
      </c>
      <c r="F64" s="334">
        <v>0</v>
      </c>
    </row>
    <row r="65" spans="1:6">
      <c r="A65" s="348" t="s">
        <v>56</v>
      </c>
      <c r="B65" s="348" t="s">
        <v>29</v>
      </c>
      <c r="C65" s="334">
        <v>1</v>
      </c>
      <c r="D65" s="334">
        <v>78125.244727429803</v>
      </c>
      <c r="E65" s="334">
        <v>0</v>
      </c>
      <c r="F65" s="334">
        <v>0</v>
      </c>
    </row>
    <row r="66" spans="1:6">
      <c r="A66" s="348" t="s">
        <v>56</v>
      </c>
      <c r="B66" s="348" t="s">
        <v>58</v>
      </c>
      <c r="C66" s="334">
        <v>0</v>
      </c>
      <c r="D66" s="334">
        <v>0</v>
      </c>
      <c r="E66" s="334">
        <v>9</v>
      </c>
      <c r="F66" s="334">
        <v>44670.16</v>
      </c>
    </row>
    <row r="67" spans="1:6">
      <c r="A67" s="355" t="s">
        <v>56</v>
      </c>
      <c r="B67" s="355" t="s">
        <v>59</v>
      </c>
      <c r="C67" s="334">
        <v>0</v>
      </c>
      <c r="D67" s="334">
        <v>0</v>
      </c>
      <c r="E67" s="334">
        <v>0</v>
      </c>
      <c r="F67" s="334">
        <v>0</v>
      </c>
    </row>
    <row r="68" spans="1:6">
      <c r="A68" s="341" t="s">
        <v>56</v>
      </c>
      <c r="B68" s="341" t="s">
        <v>60</v>
      </c>
      <c r="C68" s="334">
        <v>3</v>
      </c>
      <c r="D68" s="334">
        <v>62050.1711968296</v>
      </c>
      <c r="E68" s="334">
        <v>4</v>
      </c>
      <c r="F68" s="334">
        <v>28582.41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57671021</v>
      </c>
      <c r="E73" s="476">
        <v>63561894.717664666</v>
      </c>
    </row>
    <row r="74" spans="1:6">
      <c r="A74" s="348" t="s">
        <v>64</v>
      </c>
      <c r="B74" s="348" t="s">
        <v>714</v>
      </c>
      <c r="C74" s="1311" t="s">
        <v>716</v>
      </c>
      <c r="D74" s="476">
        <v>19148629.710755613</v>
      </c>
      <c r="E74" s="476">
        <v>20629291.245825086</v>
      </c>
    </row>
    <row r="75" spans="1:6">
      <c r="A75" s="348" t="s">
        <v>65</v>
      </c>
      <c r="B75" s="348" t="s">
        <v>713</v>
      </c>
      <c r="C75" s="1311" t="s">
        <v>717</v>
      </c>
      <c r="D75" s="476">
        <v>17809126</v>
      </c>
      <c r="E75" s="476">
        <v>19662647.3508876</v>
      </c>
    </row>
    <row r="76" spans="1:6">
      <c r="A76" s="348" t="s">
        <v>65</v>
      </c>
      <c r="B76" s="348" t="s">
        <v>714</v>
      </c>
      <c r="C76" s="1311" t="s">
        <v>718</v>
      </c>
      <c r="D76" s="476">
        <v>2004219.7107556113</v>
      </c>
      <c r="E76" s="476">
        <v>2185807.6998851704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206436.57848877719</v>
      </c>
      <c r="C83" s="476">
        <v>209453.80768629795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1643.1934684306707</v>
      </c>
    </row>
    <row r="92" spans="1:6">
      <c r="A92" s="341" t="s">
        <v>69</v>
      </c>
      <c r="B92" s="342">
        <v>5032.4543582618971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134274.6544383498</v>
      </c>
      <c r="C3" s="43" t="s">
        <v>170</v>
      </c>
      <c r="D3" s="43"/>
      <c r="E3" s="154"/>
      <c r="F3" s="43"/>
      <c r="G3" s="43"/>
      <c r="H3" s="43"/>
      <c r="I3" s="43"/>
      <c r="J3" s="43"/>
      <c r="K3" s="96"/>
    </row>
    <row r="4" spans="1:11">
      <c r="A4" s="384" t="s">
        <v>171</v>
      </c>
      <c r="B4" s="49">
        <f>IF(ISERROR('SEAP template'!B78+'SEAP template'!C78),0,'SEAP template'!B78+'SEAP template'!C78)</f>
        <v>7319.1478266925678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152.78059446254071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0.21009138078691511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222.073691251745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935.35714285714266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0.23742128121606954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1842.259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1842.259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0.21009138078691511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387.04273707712144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36243.661999999997</v>
      </c>
      <c r="C5" s="17">
        <f>IF(ISERROR('Eigen informatie GS &amp; warmtenet'!B57),0,'Eigen informatie GS &amp; warmtenet'!B57)</f>
        <v>0</v>
      </c>
      <c r="D5" s="30">
        <f>(SUM(HH_hh_gas_kWh,HH_rest_gas_kWh)/1000)*0.902</f>
        <v>91728.59394408614</v>
      </c>
      <c r="E5" s="17">
        <f>B46*B57</f>
        <v>4068.5247613788661</v>
      </c>
      <c r="F5" s="17">
        <f>B51*B62</f>
        <v>15294.222720861724</v>
      </c>
      <c r="G5" s="18"/>
      <c r="H5" s="17"/>
      <c r="I5" s="17"/>
      <c r="J5" s="17">
        <f>B50*B61+C50*C61</f>
        <v>5124.8844007136022</v>
      </c>
      <c r="K5" s="17"/>
      <c r="L5" s="17"/>
      <c r="M5" s="17"/>
      <c r="N5" s="17">
        <f>B48*B59+C48*C59</f>
        <v>19356.264645768544</v>
      </c>
      <c r="O5" s="17">
        <f>B69*B70*B71</f>
        <v>117.25</v>
      </c>
      <c r="P5" s="17">
        <f>B77*B78*B79/1000-B77*B78*B79/1000/B80</f>
        <v>343.2</v>
      </c>
    </row>
    <row r="6" spans="1:16">
      <c r="A6" s="16" t="s">
        <v>631</v>
      </c>
      <c r="B6" s="789">
        <f>kWh_PV_kleiner_dan_10kW</f>
        <v>1643.1934684306707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37886.855468430665</v>
      </c>
      <c r="C8" s="21">
        <f>C5</f>
        <v>0</v>
      </c>
      <c r="D8" s="21">
        <f>D5</f>
        <v>91728.59394408614</v>
      </c>
      <c r="E8" s="21">
        <f>E5</f>
        <v>4068.5247613788661</v>
      </c>
      <c r="F8" s="21">
        <f>F5</f>
        <v>15294.222720861724</v>
      </c>
      <c r="G8" s="21"/>
      <c r="H8" s="21"/>
      <c r="I8" s="21"/>
      <c r="J8" s="21">
        <f>J5</f>
        <v>5124.8844007136022</v>
      </c>
      <c r="K8" s="21"/>
      <c r="L8" s="21">
        <f>L5</f>
        <v>0</v>
      </c>
      <c r="M8" s="21">
        <f>M5</f>
        <v>0</v>
      </c>
      <c r="N8" s="21">
        <f>N5</f>
        <v>19356.264645768544</v>
      </c>
      <c r="O8" s="21">
        <f>O5</f>
        <v>117.25</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0.21009138078691511</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7959.7017790368836</v>
      </c>
      <c r="C12" s="23">
        <f ca="1">C10*C8</f>
        <v>0</v>
      </c>
      <c r="D12" s="23">
        <f>D8*D10</f>
        <v>18529.175976705403</v>
      </c>
      <c r="E12" s="23">
        <f>E10*E8</f>
        <v>923.55512083300266</v>
      </c>
      <c r="F12" s="23">
        <f>F10*F8</f>
        <v>4083.5574664700807</v>
      </c>
      <c r="G12" s="23"/>
      <c r="H12" s="23"/>
      <c r="I12" s="23"/>
      <c r="J12" s="23">
        <f>J10*J8</f>
        <v>1814.2090778526151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10469</v>
      </c>
      <c r="C28" s="36"/>
      <c r="D28" s="228"/>
    </row>
    <row r="29" spans="1:7" s="15" customFormat="1">
      <c r="A29" s="230" t="s">
        <v>741</v>
      </c>
      <c r="B29" s="37">
        <f>SUM(HH_hh_gas_aantal,HH_rest_gas_aantal)</f>
        <v>7862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7862</v>
      </c>
      <c r="C32" s="167">
        <f>IF(ISERROR(B32/SUM($B$32,$B$34,$B$35,$B$36,$B$38,$B$39)*100),0,B32/SUM($B$32,$B$34,$B$35,$B$36,$B$38,$B$39)*100)</f>
        <v>75.227250980767394</v>
      </c>
      <c r="D32" s="233"/>
      <c r="G32" s="15"/>
    </row>
    <row r="33" spans="1:7">
      <c r="A33" s="171" t="s">
        <v>72</v>
      </c>
      <c r="B33" s="34" t="s">
        <v>111</v>
      </c>
      <c r="C33" s="167"/>
      <c r="D33" s="233"/>
      <c r="G33" s="15"/>
    </row>
    <row r="34" spans="1:7">
      <c r="A34" s="171" t="s">
        <v>73</v>
      </c>
      <c r="B34" s="33">
        <f>IF((($B$28-$B$32-$B$39-$B$77-$B$38)*C20/100)&lt;0,0,($B$28-$B$32-$B$39-$B$77-$B$38)*C20/100)</f>
        <v>272.68027210884361</v>
      </c>
      <c r="C34" s="167">
        <f>IF(ISERROR(B34/SUM($B$32,$B$34,$B$35,$B$36,$B$38,$B$39)*100),0,B34/SUM($B$32,$B$34,$B$35,$B$36,$B$38,$B$39)*100)</f>
        <v>2.6091309167433128</v>
      </c>
      <c r="D34" s="233"/>
      <c r="G34" s="15"/>
    </row>
    <row r="35" spans="1:7">
      <c r="A35" s="171" t="s">
        <v>74</v>
      </c>
      <c r="B35" s="33">
        <f>IF((($B$28-$B$32-$B$39-$B$77-$B$38)*C21/100)&lt;0,0,($B$28-$B$32-$B$39-$B$77-$B$38)*C21/100)</f>
        <v>1207.2299319727892</v>
      </c>
      <c r="C35" s="167">
        <f>IF(ISERROR(B35/SUM($B$32,$B$34,$B$35,$B$36,$B$38,$B$39)*100),0,B35/SUM($B$32,$B$34,$B$35,$B$36,$B$38,$B$39)*100)</f>
        <v>11.551334149581756</v>
      </c>
      <c r="D35" s="233"/>
      <c r="G35" s="15"/>
    </row>
    <row r="36" spans="1:7">
      <c r="A36" s="171" t="s">
        <v>75</v>
      </c>
      <c r="B36" s="33">
        <f>IF((($B$28-$B$32-$B$39-$B$77-$B$38)*C22/100)&lt;0,0,($B$28-$B$32-$B$39-$B$77-$B$38)*C22/100)</f>
        <v>342.08979591836737</v>
      </c>
      <c r="C36" s="167">
        <f>IF(ISERROR(B36/SUM($B$32,$B$34,$B$35,$B$36,$B$38,$B$39)*100),0,B36/SUM($B$32,$B$34,$B$35,$B$36,$B$38,$B$39)*100)</f>
        <v>3.273273331914337</v>
      </c>
      <c r="D36" s="233"/>
      <c r="G36" s="15"/>
    </row>
    <row r="37" spans="1:7">
      <c r="A37" s="171" t="s">
        <v>76</v>
      </c>
      <c r="B37" s="34" t="s">
        <v>111</v>
      </c>
      <c r="C37" s="167"/>
      <c r="D37" s="173"/>
      <c r="G37" s="15"/>
    </row>
    <row r="38" spans="1:7">
      <c r="A38" s="171" t="s">
        <v>77</v>
      </c>
      <c r="B38" s="33">
        <f>IF((B24-(B29-B18)*0.1)&lt;0,0,B24-(B29-B18)*0.1)</f>
        <v>145.69999999999999</v>
      </c>
      <c r="C38" s="167">
        <f>IF(ISERROR(B38/SUM($B$32,$B$34,$B$35,$B$36,$B$38,$B$39)*100),0,B38/SUM($B$32,$B$34,$B$35,$B$36,$B$38,$B$39)*100)</f>
        <v>1.394124964118266</v>
      </c>
      <c r="D38" s="234"/>
      <c r="G38" s="15"/>
    </row>
    <row r="39" spans="1:7">
      <c r="A39" s="171" t="s">
        <v>78</v>
      </c>
      <c r="B39" s="33">
        <f>IF((B25-(B29-B18))&lt;0,0,B25-(B29-B18)*0.9)</f>
        <v>621.29999999999973</v>
      </c>
      <c r="C39" s="167">
        <f>IF(ISERROR(B39/SUM($B$32,$B$34,$B$35,$B$36,$B$38,$B$39)*100),0,B39/SUM($B$32,$B$34,$B$35,$B$36,$B$38,$B$39)*100)</f>
        <v>5.9448856568749378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7862</v>
      </c>
      <c r="C44" s="34" t="s">
        <v>111</v>
      </c>
      <c r="D44" s="174"/>
    </row>
    <row r="45" spans="1:7">
      <c r="A45" s="171" t="s">
        <v>72</v>
      </c>
      <c r="B45" s="33" t="str">
        <f t="shared" si="0"/>
        <v>-</v>
      </c>
      <c r="C45" s="34" t="s">
        <v>111</v>
      </c>
      <c r="D45" s="174"/>
    </row>
    <row r="46" spans="1:7">
      <c r="A46" s="171" t="s">
        <v>73</v>
      </c>
      <c r="B46" s="33">
        <f t="shared" si="0"/>
        <v>272.68027210884361</v>
      </c>
      <c r="C46" s="34" t="s">
        <v>111</v>
      </c>
      <c r="D46" s="174"/>
    </row>
    <row r="47" spans="1:7">
      <c r="A47" s="171" t="s">
        <v>74</v>
      </c>
      <c r="B47" s="33">
        <f t="shared" si="0"/>
        <v>1207.2299319727892</v>
      </c>
      <c r="C47" s="34" t="s">
        <v>111</v>
      </c>
      <c r="D47" s="174"/>
    </row>
    <row r="48" spans="1:7">
      <c r="A48" s="171" t="s">
        <v>75</v>
      </c>
      <c r="B48" s="33">
        <f t="shared" si="0"/>
        <v>342.08979591836737</v>
      </c>
      <c r="C48" s="33">
        <f>B48*10</f>
        <v>3420.8979591836737</v>
      </c>
      <c r="D48" s="234"/>
    </row>
    <row r="49" spans="1:6">
      <c r="A49" s="171" t="s">
        <v>76</v>
      </c>
      <c r="B49" s="33" t="str">
        <f t="shared" si="0"/>
        <v>-</v>
      </c>
      <c r="C49" s="34" t="s">
        <v>111</v>
      </c>
      <c r="D49" s="234"/>
    </row>
    <row r="50" spans="1:6">
      <c r="A50" s="171" t="s">
        <v>77</v>
      </c>
      <c r="B50" s="33">
        <f t="shared" si="0"/>
        <v>145.69999999999999</v>
      </c>
      <c r="C50" s="33">
        <f>B50*2</f>
        <v>291.39999999999998</v>
      </c>
      <c r="D50" s="234"/>
    </row>
    <row r="51" spans="1:6">
      <c r="A51" s="171" t="s">
        <v>78</v>
      </c>
      <c r="B51" s="33">
        <f t="shared" si="0"/>
        <v>621.29999999999973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34256.557000000001</v>
      </c>
      <c r="C5" s="17">
        <f>IF(ISERROR('Eigen informatie GS &amp; warmtenet'!B58),0,'Eigen informatie GS &amp; warmtenet'!B58)</f>
        <v>0</v>
      </c>
      <c r="D5" s="30">
        <f>SUM(D6:D12)</f>
        <v>44676.016809134351</v>
      </c>
      <c r="E5" s="17">
        <f>SUM(E6:E12)</f>
        <v>291.04549691671173</v>
      </c>
      <c r="F5" s="17">
        <f>SUM(F6:F12)</f>
        <v>4942.9091535938815</v>
      </c>
      <c r="G5" s="18"/>
      <c r="H5" s="17"/>
      <c r="I5" s="17"/>
      <c r="J5" s="17">
        <f>SUM(J6:J12)</f>
        <v>0</v>
      </c>
      <c r="K5" s="17"/>
      <c r="L5" s="17"/>
      <c r="M5" s="17"/>
      <c r="N5" s="17">
        <f>SUM(N6:N12)</f>
        <v>2289.3679544801626</v>
      </c>
      <c r="O5" s="17">
        <f>B38*B39*B40</f>
        <v>0</v>
      </c>
      <c r="P5" s="17">
        <f>B46*B47*B48/1000-B46*B47*B48/1000/B49</f>
        <v>0</v>
      </c>
      <c r="R5" s="32"/>
    </row>
    <row r="6" spans="1:18">
      <c r="A6" s="32" t="s">
        <v>54</v>
      </c>
      <c r="B6" s="37">
        <f>B26</f>
        <v>7524.8710000000001</v>
      </c>
      <c r="C6" s="33"/>
      <c r="D6" s="37">
        <f>IF(ISERROR(TER_kantoor_gas_kWh/1000),0,TER_kantoor_gas_kWh/1000)*0.902</f>
        <v>17367.841962485116</v>
      </c>
      <c r="E6" s="33">
        <f>$C$26*'E Balans VL '!I12/100/3.6*1000000</f>
        <v>21.800655342122539</v>
      </c>
      <c r="F6" s="33">
        <f>$C$26*('E Balans VL '!L12+'E Balans VL '!N12)/100/3.6*1000000</f>
        <v>851.64961143811104</v>
      </c>
      <c r="G6" s="34"/>
      <c r="H6" s="33"/>
      <c r="I6" s="33"/>
      <c r="J6" s="33">
        <f>$C$26*('E Balans VL '!D12+'E Balans VL '!E12)/100/3.6*1000000</f>
        <v>0</v>
      </c>
      <c r="K6" s="33"/>
      <c r="L6" s="33"/>
      <c r="M6" s="33"/>
      <c r="N6" s="33">
        <f>$C$26*'E Balans VL '!Y12/100/3.6*1000000</f>
        <v>75.318414137488872</v>
      </c>
      <c r="O6" s="33"/>
      <c r="P6" s="33"/>
      <c r="R6" s="32"/>
    </row>
    <row r="7" spans="1:18">
      <c r="A7" s="32" t="s">
        <v>53</v>
      </c>
      <c r="B7" s="37">
        <f t="shared" ref="B7:B12" si="0">B27</f>
        <v>2582.98</v>
      </c>
      <c r="C7" s="33"/>
      <c r="D7" s="37">
        <f>IF(ISERROR(TER_horeca_gas_kWh/1000),0,TER_horeca_gas_kWh/1000)*0.902</f>
        <v>2771.4745291447439</v>
      </c>
      <c r="E7" s="33">
        <f>$C$27*'E Balans VL '!I9/100/3.6*1000000</f>
        <v>108.42628369650971</v>
      </c>
      <c r="F7" s="33">
        <f>$C$27*('E Balans VL '!L9+'E Balans VL '!N9)/100/3.6*1000000</f>
        <v>555.00622199367581</v>
      </c>
      <c r="G7" s="34"/>
      <c r="H7" s="33"/>
      <c r="I7" s="33"/>
      <c r="J7" s="33">
        <f>$C$27*('E Balans VL '!D9+'E Balans VL '!E9)/100/3.6*1000000</f>
        <v>0</v>
      </c>
      <c r="K7" s="33"/>
      <c r="L7" s="33"/>
      <c r="M7" s="33"/>
      <c r="N7" s="33">
        <f>$C$27*'E Balans VL '!Y9/100/3.6*1000000</f>
        <v>0.6656113570204325</v>
      </c>
      <c r="O7" s="33"/>
      <c r="P7" s="33"/>
      <c r="R7" s="32"/>
    </row>
    <row r="8" spans="1:18">
      <c r="A8" s="6" t="s">
        <v>52</v>
      </c>
      <c r="B8" s="37">
        <f t="shared" si="0"/>
        <v>11601.825000000001</v>
      </c>
      <c r="C8" s="33"/>
      <c r="D8" s="37">
        <f>IF(ISERROR(TER_handel_gas_kWh/1000),0,TER_handel_gas_kWh/1000)*0.902</f>
        <v>5589.5546084622447</v>
      </c>
      <c r="E8" s="33">
        <f>$C$28*'E Balans VL '!I13/100/3.6*1000000</f>
        <v>124.61325642446251</v>
      </c>
      <c r="F8" s="33">
        <f>$C$28*('E Balans VL '!L13+'E Balans VL '!N13)/100/3.6*1000000</f>
        <v>1501.9520521458317</v>
      </c>
      <c r="G8" s="34"/>
      <c r="H8" s="33"/>
      <c r="I8" s="33"/>
      <c r="J8" s="33">
        <f>$C$28*('E Balans VL '!D13+'E Balans VL '!E13)/100/3.6*1000000</f>
        <v>0</v>
      </c>
      <c r="K8" s="33"/>
      <c r="L8" s="33"/>
      <c r="M8" s="33"/>
      <c r="N8" s="33">
        <f>$C$28*'E Balans VL '!Y13/100/3.6*1000000</f>
        <v>94.114637887188749</v>
      </c>
      <c r="O8" s="33"/>
      <c r="P8" s="33"/>
      <c r="R8" s="32"/>
    </row>
    <row r="9" spans="1:18">
      <c r="A9" s="32" t="s">
        <v>51</v>
      </c>
      <c r="B9" s="37">
        <f t="shared" si="0"/>
        <v>6273.0929999999998</v>
      </c>
      <c r="C9" s="33"/>
      <c r="D9" s="37">
        <f>IF(ISERROR(TER_gezond_gas_kWh/1000),0,TER_gezond_gas_kWh/1000)*0.902</f>
        <v>7720.5099683467797</v>
      </c>
      <c r="E9" s="33">
        <f>$C$29*'E Balans VL '!I10/100/3.6*1000000</f>
        <v>4.993787760785338</v>
      </c>
      <c r="F9" s="33">
        <f>$C$29*('E Balans VL '!L10+'E Balans VL '!N10)/100/3.6*1000000</f>
        <v>762.58510850912489</v>
      </c>
      <c r="G9" s="34"/>
      <c r="H9" s="33"/>
      <c r="I9" s="33"/>
      <c r="J9" s="33">
        <f>$C$29*('E Balans VL '!D10+'E Balans VL '!E10)/100/3.6*1000000</f>
        <v>0</v>
      </c>
      <c r="K9" s="33"/>
      <c r="L9" s="33"/>
      <c r="M9" s="33"/>
      <c r="N9" s="33">
        <f>$C$29*'E Balans VL '!Y10/100/3.6*1000000</f>
        <v>50.672383307205713</v>
      </c>
      <c r="O9" s="33"/>
      <c r="P9" s="33"/>
      <c r="R9" s="32"/>
    </row>
    <row r="10" spans="1:18">
      <c r="A10" s="32" t="s">
        <v>50</v>
      </c>
      <c r="B10" s="37">
        <f t="shared" si="0"/>
        <v>2650.3029999999999</v>
      </c>
      <c r="C10" s="33"/>
      <c r="D10" s="37">
        <f>IF(ISERROR(TER_ander_gas_kWh/1000),0,TER_ander_gas_kWh/1000)*0.902</f>
        <v>2690.0268938946738</v>
      </c>
      <c r="E10" s="33">
        <f>$C$30*'E Balans VL '!I14/100/3.6*1000000</f>
        <v>9.0827276100724088</v>
      </c>
      <c r="F10" s="33">
        <f>$C$30*('E Balans VL '!L14+'E Balans VL '!N14)/100/3.6*1000000</f>
        <v>591.96999457224831</v>
      </c>
      <c r="G10" s="34"/>
      <c r="H10" s="33"/>
      <c r="I10" s="33"/>
      <c r="J10" s="33">
        <f>$C$30*('E Balans VL '!D14+'E Balans VL '!E14)/100/3.6*1000000</f>
        <v>0</v>
      </c>
      <c r="K10" s="33"/>
      <c r="L10" s="33"/>
      <c r="M10" s="33"/>
      <c r="N10" s="33">
        <f>$C$30*'E Balans VL '!Y14/100/3.6*1000000</f>
        <v>1866.8879115222769</v>
      </c>
      <c r="O10" s="33"/>
      <c r="P10" s="33"/>
      <c r="R10" s="32"/>
    </row>
    <row r="11" spans="1:18">
      <c r="A11" s="32" t="s">
        <v>55</v>
      </c>
      <c r="B11" s="37">
        <f t="shared" si="0"/>
        <v>1273.2739999999999</v>
      </c>
      <c r="C11" s="33"/>
      <c r="D11" s="37">
        <f>IF(ISERROR(TER_onderwijs_gas_kWh/1000),0,TER_onderwijs_gas_kWh/1000)*0.902</f>
        <v>2143.41715847248</v>
      </c>
      <c r="E11" s="33">
        <f>$C$31*'E Balans VL '!I11/100/3.6*1000000</f>
        <v>0.88017510244697095</v>
      </c>
      <c r="F11" s="33">
        <f>$C$31*('E Balans VL '!L11+'E Balans VL '!N11)/100/3.6*1000000</f>
        <v>333.30614709986719</v>
      </c>
      <c r="G11" s="34"/>
      <c r="H11" s="33"/>
      <c r="I11" s="33"/>
      <c r="J11" s="33">
        <f>$C$31*('E Balans VL '!D11+'E Balans VL '!E11)/100/3.6*1000000</f>
        <v>0</v>
      </c>
      <c r="K11" s="33"/>
      <c r="L11" s="33"/>
      <c r="M11" s="33"/>
      <c r="N11" s="33">
        <f>$C$31*'E Balans VL '!Y11/100/3.6*1000000</f>
        <v>1.2674358179805991</v>
      </c>
      <c r="O11" s="33"/>
      <c r="P11" s="33"/>
      <c r="R11" s="32"/>
    </row>
    <row r="12" spans="1:18">
      <c r="A12" s="32" t="s">
        <v>260</v>
      </c>
      <c r="B12" s="37">
        <f t="shared" si="0"/>
        <v>2350.2109999999998</v>
      </c>
      <c r="C12" s="33"/>
      <c r="D12" s="37">
        <f>IF(ISERROR(TER_rest_gas_kWh/1000),0,TER_rest_gas_kWh/1000)*0.902</f>
        <v>6393.1916883283147</v>
      </c>
      <c r="E12" s="33">
        <f>$C$32*'E Balans VL '!I8/100/3.6*1000000</f>
        <v>21.248610980312247</v>
      </c>
      <c r="F12" s="33">
        <f>$C$32*('E Balans VL '!L8+'E Balans VL '!N8)/100/3.6*1000000</f>
        <v>346.4400178350221</v>
      </c>
      <c r="G12" s="34"/>
      <c r="H12" s="33"/>
      <c r="I12" s="33"/>
      <c r="J12" s="33">
        <f>$C$32*('E Balans VL '!D8+'E Balans VL '!E8)/100/3.6*1000000</f>
        <v>0</v>
      </c>
      <c r="K12" s="33"/>
      <c r="L12" s="33"/>
      <c r="M12" s="33"/>
      <c r="N12" s="33">
        <f>$C$32*'E Balans VL '!Y8/100/3.6*1000000</f>
        <v>200.44156045100112</v>
      </c>
      <c r="O12" s="33"/>
      <c r="P12" s="33"/>
      <c r="R12" s="32"/>
    </row>
    <row r="13" spans="1:18">
      <c r="A13" s="16" t="s">
        <v>494</v>
      </c>
      <c r="B13" s="247">
        <f ca="1">'lokale energieproductie'!N91+'lokale energieproductie'!N60</f>
        <v>643.49999999999989</v>
      </c>
      <c r="C13" s="247">
        <f ca="1">'lokale energieproductie'!O91+'lokale energieproductie'!O60</f>
        <v>935.35714285714266</v>
      </c>
      <c r="D13" s="310">
        <f ca="1">('lokale energieproductie'!P60+'lokale energieproductie'!P91)*(-1)</f>
        <v>-1855.7142857142856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34900.057000000001</v>
      </c>
      <c r="C16" s="21">
        <f t="shared" ca="1" si="1"/>
        <v>935.35714285714266</v>
      </c>
      <c r="D16" s="21">
        <f t="shared" ca="1" si="1"/>
        <v>42820.302523420069</v>
      </c>
      <c r="E16" s="21">
        <f t="shared" si="1"/>
        <v>291.04549691671173</v>
      </c>
      <c r="F16" s="21">
        <f t="shared" ca="1" si="1"/>
        <v>4942.9091535938815</v>
      </c>
      <c r="G16" s="21">
        <f t="shared" si="1"/>
        <v>0</v>
      </c>
      <c r="H16" s="21">
        <f t="shared" si="1"/>
        <v>0</v>
      </c>
      <c r="I16" s="21">
        <f t="shared" si="1"/>
        <v>0</v>
      </c>
      <c r="J16" s="21">
        <f t="shared" si="1"/>
        <v>0</v>
      </c>
      <c r="K16" s="21">
        <f t="shared" si="1"/>
        <v>0</v>
      </c>
      <c r="L16" s="21">
        <f t="shared" ca="1" si="1"/>
        <v>0</v>
      </c>
      <c r="M16" s="21">
        <f t="shared" si="1"/>
        <v>0</v>
      </c>
      <c r="N16" s="21">
        <f t="shared" ca="1" si="1"/>
        <v>2289.3679544801626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0.21009138078691511</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7332.2011646720421</v>
      </c>
      <c r="C20" s="23">
        <f t="shared" ref="C20:P20" ca="1" si="2">C16*C18</f>
        <v>222.073691251745</v>
      </c>
      <c r="D20" s="23">
        <f t="shared" ca="1" si="2"/>
        <v>8649.701109730855</v>
      </c>
      <c r="E20" s="23">
        <f t="shared" si="2"/>
        <v>66.067327800093565</v>
      </c>
      <c r="F20" s="23">
        <f t="shared" ca="1" si="2"/>
        <v>1319.7567440095663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7524.8710000000001</v>
      </c>
      <c r="C26" s="39">
        <f>IF(ISERROR(B26*3.6/1000000/'E Balans VL '!Z12*100),0,B26*3.6/1000000/'E Balans VL '!Z12*100)</f>
        <v>0.16529249113703215</v>
      </c>
      <c r="D26" s="237" t="s">
        <v>692</v>
      </c>
      <c r="F26" s="6"/>
    </row>
    <row r="27" spans="1:18">
      <c r="A27" s="231" t="s">
        <v>53</v>
      </c>
      <c r="B27" s="33">
        <f>IF(ISERROR(TER_horeca_ele_kWh/1000),0,TER_horeca_ele_kWh/1000)</f>
        <v>2582.98</v>
      </c>
      <c r="C27" s="39">
        <f>IF(ISERROR(B27*3.6/1000000/'E Balans VL '!Z9*100),0,B27*3.6/1000000/'E Balans VL '!Z9*100)</f>
        <v>0.20756819044874517</v>
      </c>
      <c r="D27" s="237" t="s">
        <v>692</v>
      </c>
      <c r="F27" s="6"/>
    </row>
    <row r="28" spans="1:18">
      <c r="A28" s="171" t="s">
        <v>52</v>
      </c>
      <c r="B28" s="33">
        <f>IF(ISERROR(TER_handel_ele_kWh/1000),0,TER_handel_ele_kWh/1000)</f>
        <v>11601.825000000001</v>
      </c>
      <c r="C28" s="39">
        <f>IF(ISERROR(B28*3.6/1000000/'E Balans VL '!Z13*100),0,B28*3.6/1000000/'E Balans VL '!Z13*100)</f>
        <v>0.34305786004487354</v>
      </c>
      <c r="D28" s="237" t="s">
        <v>692</v>
      </c>
      <c r="F28" s="6"/>
    </row>
    <row r="29" spans="1:18">
      <c r="A29" s="231" t="s">
        <v>51</v>
      </c>
      <c r="B29" s="33">
        <f>IF(ISERROR(TER_gezond_ele_kWh/1000),0,TER_gezond_ele_kWh/1000)</f>
        <v>6273.0929999999998</v>
      </c>
      <c r="C29" s="39">
        <f>IF(ISERROR(B29*3.6/1000000/'E Balans VL '!Z10*100),0,B29*3.6/1000000/'E Balans VL '!Z10*100)</f>
        <v>0.70681562411528431</v>
      </c>
      <c r="D29" s="237" t="s">
        <v>692</v>
      </c>
      <c r="F29" s="6"/>
    </row>
    <row r="30" spans="1:18">
      <c r="A30" s="231" t="s">
        <v>50</v>
      </c>
      <c r="B30" s="33">
        <f>IF(ISERROR(TER_ander_ele_kWh/1000),0,TER_ander_ele_kWh/1000)</f>
        <v>2650.3029999999999</v>
      </c>
      <c r="C30" s="39">
        <f>IF(ISERROR(B30*3.6/1000000/'E Balans VL '!Z14*100),0,B30*3.6/1000000/'E Balans VL '!Z14*100)</f>
        <v>0.20043788540166393</v>
      </c>
      <c r="D30" s="237" t="s">
        <v>692</v>
      </c>
      <c r="F30" s="6"/>
    </row>
    <row r="31" spans="1:18">
      <c r="A31" s="231" t="s">
        <v>55</v>
      </c>
      <c r="B31" s="33">
        <f>IF(ISERROR(TER_onderwijs_ele_kWh/1000),0,TER_onderwijs_ele_kWh/1000)</f>
        <v>1273.2739999999999</v>
      </c>
      <c r="C31" s="39">
        <f>IF(ISERROR(B31*3.6/1000000/'E Balans VL '!Z11*100),0,B31*3.6/1000000/'E Balans VL '!Z11*100)</f>
        <v>0.26430212461301833</v>
      </c>
      <c r="D31" s="237" t="s">
        <v>692</v>
      </c>
    </row>
    <row r="32" spans="1:18">
      <c r="A32" s="231" t="s">
        <v>260</v>
      </c>
      <c r="B32" s="33">
        <f>IF(ISERROR(TER_rest_ele_kWh/1000),0,TER_rest_ele_kWh/1000)</f>
        <v>2350.2109999999998</v>
      </c>
      <c r="C32" s="39">
        <f>IF(ISERROR(B32*3.6/1000000/'E Balans VL '!Z8*100),0,B32*3.6/1000000/'E Balans VL '!Z8*100)</f>
        <v>1.9799145092689353E-2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57655.136899999998</v>
      </c>
      <c r="C5" s="17">
        <f>IF(ISERROR('Eigen informatie GS &amp; warmtenet'!B59),0,'Eigen informatie GS &amp; warmtenet'!B59)</f>
        <v>0</v>
      </c>
      <c r="D5" s="30">
        <f>SUM(D6:D15)</f>
        <v>81143.536373392199</v>
      </c>
      <c r="E5" s="17">
        <f>SUM(E6:E15)</f>
        <v>2160.6526894859462</v>
      </c>
      <c r="F5" s="17">
        <f>SUM(F6:F15)</f>
        <v>9379.2864358679108</v>
      </c>
      <c r="G5" s="18"/>
      <c r="H5" s="17"/>
      <c r="I5" s="17"/>
      <c r="J5" s="17">
        <f>SUM(J6:J15)</f>
        <v>84.689572537490065</v>
      </c>
      <c r="K5" s="17"/>
      <c r="L5" s="17"/>
      <c r="M5" s="17"/>
      <c r="N5" s="17">
        <f>SUM(N6:N15)</f>
        <v>5351.6606953959208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211.5591</v>
      </c>
      <c r="C8" s="33"/>
      <c r="D8" s="37">
        <f>IF( ISERROR(IND_metaal_Gas_kWH/1000),0,IND_metaal_Gas_kWH/1000)*0.902</f>
        <v>0</v>
      </c>
      <c r="E8" s="33">
        <f>C30*'E Balans VL '!I18/100/3.6*1000000</f>
        <v>5.294583832012913</v>
      </c>
      <c r="F8" s="33">
        <f>C30*'E Balans VL '!L18/100/3.6*1000000+C30*'E Balans VL '!N18/100/3.6*1000000</f>
        <v>66.303674289083546</v>
      </c>
      <c r="G8" s="34"/>
      <c r="H8" s="33"/>
      <c r="I8" s="33"/>
      <c r="J8" s="40">
        <f>C30*'E Balans VL '!D18/100/3.6*1000000+C30*'E Balans VL '!E18/100/3.6*1000000</f>
        <v>0</v>
      </c>
      <c r="K8" s="33"/>
      <c r="L8" s="33"/>
      <c r="M8" s="33"/>
      <c r="N8" s="33">
        <f>C30*'E Balans VL '!Y18/100/3.6*1000000</f>
        <v>5.3149136357414832</v>
      </c>
      <c r="O8" s="33"/>
      <c r="P8" s="33"/>
      <c r="R8" s="32"/>
    </row>
    <row r="9" spans="1:18">
      <c r="A9" s="6" t="s">
        <v>33</v>
      </c>
      <c r="B9" s="37">
        <f t="shared" si="0"/>
        <v>3938.6889999999999</v>
      </c>
      <c r="C9" s="33"/>
      <c r="D9" s="37">
        <f>IF( ISERROR(IND_andere_gas_kWh/1000),0,IND_andere_gas_kWh/1000)*0.902</f>
        <v>1179.4498592916357</v>
      </c>
      <c r="E9" s="33">
        <f>C31*'E Balans VL '!I19/100/3.6*1000000</f>
        <v>1082.9779294516968</v>
      </c>
      <c r="F9" s="33">
        <f>C31*'E Balans VL '!L19/100/3.6*1000000+C31*'E Balans VL '!N19/100/3.6*1000000</f>
        <v>3104.3723130949647</v>
      </c>
      <c r="G9" s="34"/>
      <c r="H9" s="33"/>
      <c r="I9" s="33"/>
      <c r="J9" s="40">
        <f>C31*'E Balans VL '!D19/100/3.6*1000000+C31*'E Balans VL '!E19/100/3.6*1000000</f>
        <v>0</v>
      </c>
      <c r="K9" s="33"/>
      <c r="L9" s="33"/>
      <c r="M9" s="33"/>
      <c r="N9" s="33">
        <f>C31*'E Balans VL '!Y19/100/3.6*1000000</f>
        <v>1275.0575932923541</v>
      </c>
      <c r="O9" s="33"/>
      <c r="P9" s="33"/>
      <c r="R9" s="32"/>
    </row>
    <row r="10" spans="1:18">
      <c r="A10" s="6" t="s">
        <v>41</v>
      </c>
      <c r="B10" s="37">
        <f t="shared" si="0"/>
        <v>160.88229999999999</v>
      </c>
      <c r="C10" s="33"/>
      <c r="D10" s="37">
        <f>IF( ISERROR(IND_voed_gas_kWh/1000),0,IND_voed_gas_kWh/1000)*0.902</f>
        <v>380.66662348716045</v>
      </c>
      <c r="E10" s="33">
        <f>C32*'E Balans VL '!I20/100/3.6*1000000</f>
        <v>1.6401064179352018</v>
      </c>
      <c r="F10" s="33">
        <f>C32*'E Balans VL '!L20/100/3.6*1000000+C32*'E Balans VL '!N20/100/3.6*1000000</f>
        <v>303.90565847834506</v>
      </c>
      <c r="G10" s="34"/>
      <c r="H10" s="33"/>
      <c r="I10" s="33"/>
      <c r="J10" s="40">
        <f>C32*'E Balans VL '!D20/100/3.6*1000000+C32*'E Balans VL '!E20/100/3.6*1000000</f>
        <v>3.8504398482688647</v>
      </c>
      <c r="K10" s="33"/>
      <c r="L10" s="33"/>
      <c r="M10" s="33"/>
      <c r="N10" s="33">
        <f>C32*'E Balans VL '!Y20/100/3.6*1000000</f>
        <v>84.803503468577503</v>
      </c>
      <c r="O10" s="33"/>
      <c r="P10" s="33"/>
      <c r="R10" s="32"/>
    </row>
    <row r="11" spans="1:18">
      <c r="A11" s="6" t="s">
        <v>40</v>
      </c>
      <c r="B11" s="37">
        <f t="shared" si="0"/>
        <v>33769.834999999999</v>
      </c>
      <c r="C11" s="33"/>
      <c r="D11" s="37">
        <f>IF( ISERROR(IND_textiel_gas_kWh/1000),0,IND_textiel_gas_kWh/1000)*0.902</f>
        <v>18673.063992621297</v>
      </c>
      <c r="E11" s="33">
        <f>C33*'E Balans VL '!I21/100/3.6*1000000</f>
        <v>89.506583544336479</v>
      </c>
      <c r="F11" s="33">
        <f>C33*'E Balans VL '!L21/100/3.6*1000000+C33*'E Balans VL '!N21/100/3.6*1000000</f>
        <v>1508.195667278773</v>
      </c>
      <c r="G11" s="34"/>
      <c r="H11" s="33"/>
      <c r="I11" s="33"/>
      <c r="J11" s="40">
        <f>C33*'E Balans VL '!D21/100/3.6*1000000+C33*'E Balans VL '!E21/100/3.6*1000000</f>
        <v>0</v>
      </c>
      <c r="K11" s="33"/>
      <c r="L11" s="33"/>
      <c r="M11" s="33"/>
      <c r="N11" s="33">
        <f>C33*'E Balans VL '!Y21/100/3.6*1000000</f>
        <v>318.25655477487174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105.4092</v>
      </c>
      <c r="C13" s="33"/>
      <c r="D13" s="37">
        <f>IF( ISERROR(IND_papier_gas_kWh/1000),0,IND_papier_gas_kWh/1000)*0.902</f>
        <v>148.2652297127176</v>
      </c>
      <c r="E13" s="33">
        <f>C35*'E Balans VL '!I23/100/3.6*1000000</f>
        <v>0.218309568149675</v>
      </c>
      <c r="F13" s="33">
        <f>C35*'E Balans VL '!L23/100/3.6*1000000+C35*'E Balans VL '!N23/100/3.6*1000000</f>
        <v>2.0904904153637833</v>
      </c>
      <c r="G13" s="34"/>
      <c r="H13" s="33"/>
      <c r="I13" s="33"/>
      <c r="J13" s="40">
        <f>C35*'E Balans VL '!D23/100/3.6*1000000+C35*'E Balans VL '!E23/100/3.6*1000000</f>
        <v>0</v>
      </c>
      <c r="K13" s="33"/>
      <c r="L13" s="33"/>
      <c r="M13" s="33"/>
      <c r="N13" s="33">
        <f>C35*'E Balans VL '!Y23/100/3.6*1000000</f>
        <v>44.508810049831588</v>
      </c>
      <c r="O13" s="33"/>
      <c r="P13" s="33"/>
      <c r="R13" s="32"/>
    </row>
    <row r="14" spans="1:18">
      <c r="A14" s="6" t="s">
        <v>34</v>
      </c>
      <c r="B14" s="37">
        <f t="shared" si="0"/>
        <v>199.9263</v>
      </c>
      <c r="C14" s="33"/>
      <c r="D14" s="37">
        <f>IF( ISERROR(IND_chemie_gas_kWh/1000),0,IND_chemie_gas_kWh/1000)*0.902</f>
        <v>0</v>
      </c>
      <c r="E14" s="33">
        <f>C36*'E Balans VL '!I24/100/3.6*1000000</f>
        <v>0.74955655523032372</v>
      </c>
      <c r="F14" s="33">
        <f>C36*'E Balans VL '!L24/100/3.6*1000000+C36*'E Balans VL '!N24/100/3.6*1000000</f>
        <v>2.3259330813069083</v>
      </c>
      <c r="G14" s="34"/>
      <c r="H14" s="33"/>
      <c r="I14" s="33"/>
      <c r="J14" s="40">
        <f>C36*'E Balans VL '!D24/100/3.6*1000000+C36*'E Balans VL '!E24/100/3.6*1000000</f>
        <v>0</v>
      </c>
      <c r="K14" s="33"/>
      <c r="L14" s="33"/>
      <c r="M14" s="33"/>
      <c r="N14" s="33">
        <f>C36*'E Balans VL '!Y24/100/3.6*1000000</f>
        <v>3.4156448869687499</v>
      </c>
      <c r="O14" s="33"/>
      <c r="P14" s="33"/>
      <c r="R14" s="32"/>
    </row>
    <row r="15" spans="1:18">
      <c r="A15" s="6" t="s">
        <v>270</v>
      </c>
      <c r="B15" s="37">
        <f t="shared" si="0"/>
        <v>19268.835999999999</v>
      </c>
      <c r="C15" s="33"/>
      <c r="D15" s="37">
        <f>IF( ISERROR(IND_rest_gas_kWh/1000),0,IND_rest_gas_kWh/1000)*0.902</f>
        <v>60762.090668279387</v>
      </c>
      <c r="E15" s="33">
        <f>C37*'E Balans VL '!I15/100/3.6*1000000</f>
        <v>980.26562011658473</v>
      </c>
      <c r="F15" s="33">
        <f>C37*'E Balans VL '!L15/100/3.6*1000000+C37*'E Balans VL '!N15/100/3.6*1000000</f>
        <v>4392.092699230072</v>
      </c>
      <c r="G15" s="34"/>
      <c r="H15" s="33"/>
      <c r="I15" s="33"/>
      <c r="J15" s="40">
        <f>C37*'E Balans VL '!D15/100/3.6*1000000+C37*'E Balans VL '!E15/100/3.6*1000000</f>
        <v>80.839132689221202</v>
      </c>
      <c r="K15" s="33"/>
      <c r="L15" s="33"/>
      <c r="M15" s="33"/>
      <c r="N15" s="33">
        <f>C37*'E Balans VL '!Y15/100/3.6*1000000</f>
        <v>3620.3036752875755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57655.136899999998</v>
      </c>
      <c r="C18" s="21">
        <f>C5+C16</f>
        <v>0</v>
      </c>
      <c r="D18" s="21">
        <f>MAX((D5+D16),0)</f>
        <v>81143.536373392199</v>
      </c>
      <c r="E18" s="21">
        <f>MAX((E5+E16),0)</f>
        <v>2160.6526894859462</v>
      </c>
      <c r="F18" s="21">
        <f>MAX((F5+F16),0)</f>
        <v>9379.2864358679108</v>
      </c>
      <c r="G18" s="21"/>
      <c r="H18" s="21"/>
      <c r="I18" s="21"/>
      <c r="J18" s="21">
        <f>MAX((J5+J16),0)</f>
        <v>84.689572537490065</v>
      </c>
      <c r="K18" s="21"/>
      <c r="L18" s="21">
        <f>MAX((L5+L16),0)</f>
        <v>0</v>
      </c>
      <c r="M18" s="21"/>
      <c r="N18" s="21">
        <f>MAX((N5+N16),0)</f>
        <v>5351.6606953959208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0.21009138078691511</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12112.84732077962</v>
      </c>
      <c r="C22" s="23">
        <f ca="1">C18*C20</f>
        <v>0</v>
      </c>
      <c r="D22" s="23">
        <f>D18*D20</f>
        <v>16390.994347425225</v>
      </c>
      <c r="E22" s="23">
        <f>E18*E20</f>
        <v>490.46816051330978</v>
      </c>
      <c r="F22" s="23">
        <f>F18*F20</f>
        <v>2504.2694783767324</v>
      </c>
      <c r="G22" s="23"/>
      <c r="H22" s="23"/>
      <c r="I22" s="23"/>
      <c r="J22" s="23">
        <f>J18*J20</f>
        <v>29.980108678271481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211.5591</v>
      </c>
      <c r="C30" s="39">
        <f>IF(ISERROR(B30*3.6/1000000/'E Balans VL '!Z18*100),0,B30*3.6/1000000/'E Balans VL '!Z18*100)</f>
        <v>2.9611223715105845E-2</v>
      </c>
      <c r="D30" s="237" t="s">
        <v>692</v>
      </c>
    </row>
    <row r="31" spans="1:18">
      <c r="A31" s="6" t="s">
        <v>33</v>
      </c>
      <c r="B31" s="37">
        <f>IF( ISERROR(IND_ander_ele_kWh/1000),0,IND_ander_ele_kWh/1000)</f>
        <v>3938.6889999999999</v>
      </c>
      <c r="C31" s="39">
        <f>IF(ISERROR(B31*3.6/1000000/'E Balans VL '!Z19*100),0,B31*3.6/1000000/'E Balans VL '!Z19*100)</f>
        <v>0.17239577858386634</v>
      </c>
      <c r="D31" s="237" t="s">
        <v>692</v>
      </c>
    </row>
    <row r="32" spans="1:18">
      <c r="A32" s="171" t="s">
        <v>41</v>
      </c>
      <c r="B32" s="37">
        <f>IF( ISERROR(IND_voed_ele_kWh/1000),0,IND_voed_ele_kWh/1000)</f>
        <v>160.88229999999999</v>
      </c>
      <c r="C32" s="39">
        <f>IF(ISERROR(B32*3.6/1000000/'E Balans VL '!Z20*100),0,B32*3.6/1000000/'E Balans VL '!Z20*100)</f>
        <v>3.9829114842345172E-2</v>
      </c>
      <c r="D32" s="237" t="s">
        <v>692</v>
      </c>
    </row>
    <row r="33" spans="1:5">
      <c r="A33" s="171" t="s">
        <v>40</v>
      </c>
      <c r="B33" s="37">
        <f>IF( ISERROR(IND_textiel_ele_kWh/1000),0,IND_textiel_ele_kWh/1000)</f>
        <v>33769.834999999999</v>
      </c>
      <c r="C33" s="39">
        <f>IF(ISERROR(B33*3.6/1000000/'E Balans VL '!Z21*100),0,B33*3.6/1000000/'E Balans VL '!Z21*100)</f>
        <v>3.8052655433760068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105.4092</v>
      </c>
      <c r="C35" s="39">
        <f>IF(ISERROR(B35*3.6/1000000/'E Balans VL '!Z22*100),0,B35*3.6/1000000/'E Balans VL '!Z22*100)</f>
        <v>2.9910830495766105E-3</v>
      </c>
      <c r="D35" s="237" t="s">
        <v>692</v>
      </c>
    </row>
    <row r="36" spans="1:5">
      <c r="A36" s="171" t="s">
        <v>34</v>
      </c>
      <c r="B36" s="37">
        <f>IF( ISERROR(IND_chemie_ele_kWh/1000),0,IND_chemie_ele_kWh/1000)</f>
        <v>199.9263</v>
      </c>
      <c r="C36" s="39">
        <f>IF(ISERROR(B36*3.6/1000000/'E Balans VL '!Z24*100),0,B36*3.6/1000000/'E Balans VL '!Z24*100)</f>
        <v>5.0978154951072403E-3</v>
      </c>
      <c r="D36" s="237" t="s">
        <v>692</v>
      </c>
    </row>
    <row r="37" spans="1:5">
      <c r="A37" s="171" t="s">
        <v>270</v>
      </c>
      <c r="B37" s="37">
        <f>IF( ISERROR(IND_rest_ele_kWh/1000),0,IND_rest_ele_kWh/1000)</f>
        <v>19268.835999999999</v>
      </c>
      <c r="C37" s="39">
        <f>IF(ISERROR(B37*3.6/1000000/'E Balans VL '!Z15*100),0,B37*3.6/1000000/'E Balans VL '!Z15*100)</f>
        <v>0.14287511997567634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412.18025</v>
      </c>
      <c r="C5" s="17">
        <f>'Eigen informatie GS &amp; warmtenet'!B60</f>
        <v>0</v>
      </c>
      <c r="D5" s="30">
        <f>IF(ISERROR(SUM(LB_lb_gas_kWh,LB_rest_gas_kWh)/1000),0,SUM(LB_lb_gas_kWh,LB_rest_gas_kWh)/1000)*0.902</f>
        <v>131.45551023181773</v>
      </c>
      <c r="E5" s="17">
        <f>B17*'E Balans VL '!I25/3.6*1000000/100</f>
        <v>3.8177861124578207</v>
      </c>
      <c r="F5" s="17">
        <f>B17*('E Balans VL '!L25/3.6*1000000+'E Balans VL '!N25/3.6*1000000)/100</f>
        <v>1045.779814507046</v>
      </c>
      <c r="G5" s="18"/>
      <c r="H5" s="17"/>
      <c r="I5" s="17"/>
      <c r="J5" s="17">
        <f>('E Balans VL '!D25+'E Balans VL '!E25)/3.6*1000000*landbouw!B17/100</f>
        <v>63.191832270015382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412.18025</v>
      </c>
      <c r="C8" s="21">
        <f>C5+C6</f>
        <v>0</v>
      </c>
      <c r="D8" s="21">
        <f>MAX((D5+D6),0)</f>
        <v>131.45551023181773</v>
      </c>
      <c r="E8" s="21">
        <f>MAX((E5+E6),0)</f>
        <v>3.8177861124578207</v>
      </c>
      <c r="F8" s="21">
        <f>MAX((F5+F6),0)</f>
        <v>1045.779814507046</v>
      </c>
      <c r="G8" s="21"/>
      <c r="H8" s="21"/>
      <c r="I8" s="21"/>
      <c r="J8" s="21">
        <f>MAX((J5+J6),0)</f>
        <v>63.191832270015382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0.21009138078691511</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86.595517855595872</v>
      </c>
      <c r="C12" s="23">
        <f ca="1">C8*C10</f>
        <v>0</v>
      </c>
      <c r="D12" s="23">
        <f>D8*D10</f>
        <v>26.554013066827181</v>
      </c>
      <c r="E12" s="23">
        <f>E8*E10</f>
        <v>0.86663744752792538</v>
      </c>
      <c r="F12" s="23">
        <f>F8*F10</f>
        <v>279.2232104733813</v>
      </c>
      <c r="G12" s="23"/>
      <c r="H12" s="23"/>
      <c r="I12" s="23"/>
      <c r="J12" s="23">
        <f>J8*J10</f>
        <v>22.369908623585445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5.8603291818045466E-2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149.86820810824267</v>
      </c>
      <c r="C26" s="247">
        <f>B26*'GWP N2O_CH4'!B5</f>
        <v>3147.232370273096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24.564156379055117</v>
      </c>
      <c r="C27" s="247">
        <f>B27*'GWP N2O_CH4'!B5</f>
        <v>515.84728396015748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2.0102453630133907</v>
      </c>
      <c r="C28" s="247">
        <f>B28*'GWP N2O_CH4'!B4</f>
        <v>623.17606253415113</v>
      </c>
      <c r="D28" s="50"/>
    </row>
    <row r="29" spans="1:4">
      <c r="A29" s="41" t="s">
        <v>277</v>
      </c>
      <c r="B29" s="247">
        <f>B34*'ha_N2O bodem landbouw'!B4</f>
        <v>9.6384100868901346</v>
      </c>
      <c r="C29" s="247">
        <f>B29*'GWP N2O_CH4'!B4</f>
        <v>2987.9071269359415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2.161725579627518E-3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3.7241351708933608E-5</v>
      </c>
      <c r="C5" s="464" t="s">
        <v>211</v>
      </c>
      <c r="D5" s="449">
        <f>SUM(D6:D11)</f>
        <v>1.0176736969390161E-4</v>
      </c>
      <c r="E5" s="449">
        <f>SUM(E6:E11)</f>
        <v>6.4459924668415318E-4</v>
      </c>
      <c r="F5" s="462" t="s">
        <v>211</v>
      </c>
      <c r="G5" s="449">
        <f>SUM(G6:G11)</f>
        <v>0.33347190970246166</v>
      </c>
      <c r="H5" s="449">
        <f>SUM(H6:H11)</f>
        <v>3.8419052172409977E-2</v>
      </c>
      <c r="I5" s="464" t="s">
        <v>211</v>
      </c>
      <c r="J5" s="464" t="s">
        <v>211</v>
      </c>
      <c r="K5" s="464" t="s">
        <v>211</v>
      </c>
      <c r="L5" s="464" t="s">
        <v>211</v>
      </c>
      <c r="M5" s="449">
        <f>SUM(M6:M11)</f>
        <v>2.0472473085768446E-2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2.8454459375579858E-5</v>
      </c>
      <c r="C6" s="450"/>
      <c r="D6" s="893">
        <f>vkm_2011_GW_PW*SUMIFS(TableVerdeelsleutelVkm[CNG],TableVerdeelsleutelVkm[Voertuigtype],"Lichte voertuigen")*SUMIFS(TableECFTransport[EnergieConsumptieFactor (PJ per km)],TableECFTransport[Index],CONCATENATE($A6,"_CNG_CNG"))</f>
        <v>6.5818297241922088E-5</v>
      </c>
      <c r="E6" s="893">
        <f>vkm_2011_GW_PW*SUMIFS(TableVerdeelsleutelVkm[LPG],TableVerdeelsleutelVkm[Voertuigtype],"Lichte voertuigen")*SUMIFS(TableECFTransport[EnergieConsumptieFactor (PJ per km)],TableECFTransport[Index],CONCATENATE($A6,"_LPG_LPG"))</f>
        <v>4.285690050830206E-4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8.9032040136822158E-2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2.5096292212489414E-2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5.9226688154375385E-3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0.17863458838105437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6.108978507107542E-5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1.0335023484641668E-2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8.7868923333537503E-6</v>
      </c>
      <c r="C8" s="450"/>
      <c r="D8" s="452">
        <f>vkm_2011_NGW_PW*SUMIFS(TableVerdeelsleutelVkm[CNG],TableVerdeelsleutelVkm[Voertuigtype],"Lichte voertuigen")*SUMIFS(TableECFTransport[EnergieConsumptieFactor (PJ per km)],TableECFTransport[Index],CONCATENATE($A8,"_CNG_CNG"))</f>
        <v>3.5949072451979513E-5</v>
      </c>
      <c r="E8" s="452">
        <f>vkm_2011_NGW_PW*SUMIFS(TableVerdeelsleutelVkm[LPG],TableVerdeelsleutelVkm[Voertuigtype],"Lichte voertuigen")*SUMIFS(TableECFTransport[EnergieConsumptieFactor (PJ per km)],TableECFTransport[Index],CONCATENATE($A8,"_LPG_LPG"))</f>
        <v>2.160302416011326E-4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4.1952755556575905E-2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1.325395177540682E-2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2.8347904823467079E-3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2.3852525628009224E-2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7.7183994426728601E-6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1.3799903033425321E-3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10.344819919148225</v>
      </c>
      <c r="C14" s="21"/>
      <c r="D14" s="21">
        <f t="shared" ref="D14:M14" si="0">((D5)*10^9/3600)+D12</f>
        <v>28.268713803861559</v>
      </c>
      <c r="E14" s="21">
        <f t="shared" si="0"/>
        <v>179.05534630115366</v>
      </c>
      <c r="F14" s="21"/>
      <c r="G14" s="21">
        <f t="shared" si="0"/>
        <v>92631.086028461577</v>
      </c>
      <c r="H14" s="21">
        <f t="shared" si="0"/>
        <v>10671.958936780547</v>
      </c>
      <c r="I14" s="21"/>
      <c r="J14" s="21"/>
      <c r="K14" s="21"/>
      <c r="L14" s="21"/>
      <c r="M14" s="21">
        <f t="shared" si="0"/>
        <v>5686.7980793801244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0.21009138078691511</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2.1733575008058343</v>
      </c>
      <c r="C18" s="23"/>
      <c r="D18" s="23">
        <f t="shared" ref="D18:M18" si="1">D14*D16</f>
        <v>5.7102801883800351</v>
      </c>
      <c r="E18" s="23">
        <f t="shared" si="1"/>
        <v>40.645563610361883</v>
      </c>
      <c r="F18" s="23"/>
      <c r="G18" s="23">
        <f t="shared" si="1"/>
        <v>24732.499969599241</v>
      </c>
      <c r="H18" s="23">
        <f t="shared" si="1"/>
        <v>2657.3177752583565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2.6310419998507636E-3</v>
      </c>
      <c r="H50" s="321">
        <f t="shared" si="2"/>
        <v>0</v>
      </c>
      <c r="I50" s="321">
        <f t="shared" si="2"/>
        <v>0</v>
      </c>
      <c r="J50" s="321">
        <f t="shared" si="2"/>
        <v>0</v>
      </c>
      <c r="K50" s="321">
        <f t="shared" si="2"/>
        <v>0</v>
      </c>
      <c r="L50" s="321">
        <f t="shared" si="2"/>
        <v>0</v>
      </c>
      <c r="M50" s="321">
        <f t="shared" si="2"/>
        <v>1.5004065534973332E-4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2.6310419998507636E-3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1.5004065534973332E-4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730.84499995854537</v>
      </c>
      <c r="H54" s="21">
        <f t="shared" si="3"/>
        <v>0</v>
      </c>
      <c r="I54" s="21">
        <f t="shared" si="3"/>
        <v>0</v>
      </c>
      <c r="J54" s="21">
        <f t="shared" si="3"/>
        <v>0</v>
      </c>
      <c r="K54" s="21">
        <f t="shared" si="3"/>
        <v>0</v>
      </c>
      <c r="L54" s="21">
        <f t="shared" si="3"/>
        <v>0</v>
      </c>
      <c r="M54" s="21">
        <f t="shared" si="3"/>
        <v>41.677959819370372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0.21009138078691511</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195.13561498893162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36742.315999999999</v>
      </c>
      <c r="D10" s="1025">
        <f ca="1">tertiair!C16</f>
        <v>935.35714285714266</v>
      </c>
      <c r="E10" s="1025">
        <f ca="1">tertiair!D16</f>
        <v>42820.302523420069</v>
      </c>
      <c r="F10" s="1025">
        <f>tertiair!E16</f>
        <v>291.04549691671173</v>
      </c>
      <c r="G10" s="1025">
        <f ca="1">tertiair!F16</f>
        <v>4942.9091535938815</v>
      </c>
      <c r="H10" s="1025">
        <f>tertiair!G16</f>
        <v>0</v>
      </c>
      <c r="I10" s="1025">
        <f>tertiair!H16</f>
        <v>0</v>
      </c>
      <c r="J10" s="1025">
        <f>tertiair!I16</f>
        <v>0</v>
      </c>
      <c r="K10" s="1025">
        <f>tertiair!J16</f>
        <v>0</v>
      </c>
      <c r="L10" s="1025">
        <f>tertiair!K16</f>
        <v>0</v>
      </c>
      <c r="M10" s="1025">
        <f ca="1">tertiair!L16</f>
        <v>0</v>
      </c>
      <c r="N10" s="1025">
        <f>tertiair!M16</f>
        <v>0</v>
      </c>
      <c r="O10" s="1025">
        <f ca="1">tertiair!N16</f>
        <v>2289.3679544801626</v>
      </c>
      <c r="P10" s="1025">
        <f>tertiair!O16</f>
        <v>0</v>
      </c>
      <c r="Q10" s="1026">
        <f>tertiair!P16</f>
        <v>0</v>
      </c>
      <c r="R10" s="701">
        <f ca="1">SUM(C10:Q10)</f>
        <v>88021.298271267966</v>
      </c>
      <c r="S10" s="67"/>
    </row>
    <row r="11" spans="1:19" s="474" customFormat="1">
      <c r="A11" s="810" t="s">
        <v>225</v>
      </c>
      <c r="B11" s="815"/>
      <c r="C11" s="1025">
        <f>huishoudens!B8</f>
        <v>37886.855468430665</v>
      </c>
      <c r="D11" s="1025">
        <f>huishoudens!C8</f>
        <v>0</v>
      </c>
      <c r="E11" s="1025">
        <f>huishoudens!D8</f>
        <v>91728.59394408614</v>
      </c>
      <c r="F11" s="1025">
        <f>huishoudens!E8</f>
        <v>4068.5247613788661</v>
      </c>
      <c r="G11" s="1025">
        <f>huishoudens!F8</f>
        <v>15294.222720861724</v>
      </c>
      <c r="H11" s="1025">
        <f>huishoudens!G8</f>
        <v>0</v>
      </c>
      <c r="I11" s="1025">
        <f>huishoudens!H8</f>
        <v>0</v>
      </c>
      <c r="J11" s="1025">
        <f>huishoudens!I8</f>
        <v>0</v>
      </c>
      <c r="K11" s="1025">
        <f>huishoudens!J8</f>
        <v>5124.8844007136022</v>
      </c>
      <c r="L11" s="1025">
        <f>huishoudens!K8</f>
        <v>0</v>
      </c>
      <c r="M11" s="1025">
        <f>huishoudens!L8</f>
        <v>0</v>
      </c>
      <c r="N11" s="1025">
        <f>huishoudens!M8</f>
        <v>0</v>
      </c>
      <c r="O11" s="1025">
        <f>huishoudens!N8</f>
        <v>19356.264645768544</v>
      </c>
      <c r="P11" s="1025">
        <f>huishoudens!O8</f>
        <v>117.25</v>
      </c>
      <c r="Q11" s="1026">
        <f>huishoudens!P8</f>
        <v>343.2</v>
      </c>
      <c r="R11" s="701">
        <f>SUM(C11:Q11)</f>
        <v>173919.79594123954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57655.136899999998</v>
      </c>
      <c r="D13" s="1025">
        <f>industrie!C18</f>
        <v>0</v>
      </c>
      <c r="E13" s="1025">
        <f>industrie!D18</f>
        <v>81143.536373392199</v>
      </c>
      <c r="F13" s="1025">
        <f>industrie!E18</f>
        <v>2160.6526894859462</v>
      </c>
      <c r="G13" s="1025">
        <f>industrie!F18</f>
        <v>9379.2864358679108</v>
      </c>
      <c r="H13" s="1025">
        <f>industrie!G18</f>
        <v>0</v>
      </c>
      <c r="I13" s="1025">
        <f>industrie!H18</f>
        <v>0</v>
      </c>
      <c r="J13" s="1025">
        <f>industrie!I18</f>
        <v>0</v>
      </c>
      <c r="K13" s="1025">
        <f>industrie!J18</f>
        <v>84.689572537490065</v>
      </c>
      <c r="L13" s="1025">
        <f>industrie!K18</f>
        <v>0</v>
      </c>
      <c r="M13" s="1025">
        <f>industrie!L18</f>
        <v>0</v>
      </c>
      <c r="N13" s="1025">
        <f>industrie!M18</f>
        <v>0</v>
      </c>
      <c r="O13" s="1025">
        <f>industrie!N18</f>
        <v>5351.6606953959208</v>
      </c>
      <c r="P13" s="1025">
        <f>industrie!O18</f>
        <v>0</v>
      </c>
      <c r="Q13" s="1026">
        <f>industrie!P18</f>
        <v>0</v>
      </c>
      <c r="R13" s="701">
        <f>SUM(C13:Q13)</f>
        <v>155774.96266667949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132284.30836843065</v>
      </c>
      <c r="D16" s="733">
        <f t="shared" ref="D16:R16" ca="1" si="0">SUM(D9:D15)</f>
        <v>935.35714285714266</v>
      </c>
      <c r="E16" s="733">
        <f t="shared" ca="1" si="0"/>
        <v>215692.4328408984</v>
      </c>
      <c r="F16" s="733">
        <f t="shared" si="0"/>
        <v>6520.2229477815245</v>
      </c>
      <c r="G16" s="733">
        <f t="shared" ca="1" si="0"/>
        <v>29616.418310323515</v>
      </c>
      <c r="H16" s="733">
        <f t="shared" si="0"/>
        <v>0</v>
      </c>
      <c r="I16" s="733">
        <f t="shared" si="0"/>
        <v>0</v>
      </c>
      <c r="J16" s="733">
        <f t="shared" si="0"/>
        <v>0</v>
      </c>
      <c r="K16" s="733">
        <f t="shared" si="0"/>
        <v>5209.573973251092</v>
      </c>
      <c r="L16" s="733">
        <f t="shared" si="0"/>
        <v>0</v>
      </c>
      <c r="M16" s="733">
        <f t="shared" ca="1" si="0"/>
        <v>0</v>
      </c>
      <c r="N16" s="733">
        <f t="shared" si="0"/>
        <v>0</v>
      </c>
      <c r="O16" s="733">
        <f t="shared" ca="1" si="0"/>
        <v>26997.293295644628</v>
      </c>
      <c r="P16" s="733">
        <f t="shared" si="0"/>
        <v>117.25</v>
      </c>
      <c r="Q16" s="733">
        <f t="shared" si="0"/>
        <v>343.2</v>
      </c>
      <c r="R16" s="733">
        <f t="shared" ca="1" si="0"/>
        <v>417716.056879187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730.84499995854537</v>
      </c>
      <c r="I19" s="1025">
        <f>transport!H54</f>
        <v>0</v>
      </c>
      <c r="J19" s="1025">
        <f>transport!I54</f>
        <v>0</v>
      </c>
      <c r="K19" s="1025">
        <f>transport!J54</f>
        <v>0</v>
      </c>
      <c r="L19" s="1025">
        <f>transport!K54</f>
        <v>0</v>
      </c>
      <c r="M19" s="1025">
        <f>transport!L54</f>
        <v>0</v>
      </c>
      <c r="N19" s="1025">
        <f>transport!M54</f>
        <v>41.677959819370372</v>
      </c>
      <c r="O19" s="1025">
        <f>transport!N54</f>
        <v>0</v>
      </c>
      <c r="P19" s="1025">
        <f>transport!O54</f>
        <v>0</v>
      </c>
      <c r="Q19" s="1026">
        <f>transport!P54</f>
        <v>0</v>
      </c>
      <c r="R19" s="701">
        <f>SUM(C19:Q19)</f>
        <v>772.52295977791573</v>
      </c>
      <c r="S19" s="67"/>
    </row>
    <row r="20" spans="1:19" s="474" customFormat="1">
      <c r="A20" s="810" t="s">
        <v>307</v>
      </c>
      <c r="B20" s="815"/>
      <c r="C20" s="1025">
        <f>transport!B14</f>
        <v>10.344819919148225</v>
      </c>
      <c r="D20" s="1025">
        <f>transport!C14</f>
        <v>0</v>
      </c>
      <c r="E20" s="1025">
        <f>transport!D14</f>
        <v>28.268713803861559</v>
      </c>
      <c r="F20" s="1025">
        <f>transport!E14</f>
        <v>179.05534630115366</v>
      </c>
      <c r="G20" s="1025">
        <f>transport!F14</f>
        <v>0</v>
      </c>
      <c r="H20" s="1025">
        <f>transport!G14</f>
        <v>92631.086028461577</v>
      </c>
      <c r="I20" s="1025">
        <f>transport!H14</f>
        <v>10671.958936780547</v>
      </c>
      <c r="J20" s="1025">
        <f>transport!I14</f>
        <v>0</v>
      </c>
      <c r="K20" s="1025">
        <f>transport!J14</f>
        <v>0</v>
      </c>
      <c r="L20" s="1025">
        <f>transport!K14</f>
        <v>0</v>
      </c>
      <c r="M20" s="1025">
        <f>transport!L14</f>
        <v>0</v>
      </c>
      <c r="N20" s="1025">
        <f>transport!M14</f>
        <v>5686.7980793801244</v>
      </c>
      <c r="O20" s="1025">
        <f>transport!N14</f>
        <v>0</v>
      </c>
      <c r="P20" s="1025">
        <f>transport!O14</f>
        <v>0</v>
      </c>
      <c r="Q20" s="1026">
        <f>transport!P14</f>
        <v>0</v>
      </c>
      <c r="R20" s="701">
        <f>SUM(C20:Q20)</f>
        <v>109207.51192464642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10.344819919148225</v>
      </c>
      <c r="D22" s="813">
        <f t="shared" ref="D22:R22" si="1">SUM(D18:D21)</f>
        <v>0</v>
      </c>
      <c r="E22" s="813">
        <f t="shared" si="1"/>
        <v>28.268713803861559</v>
      </c>
      <c r="F22" s="813">
        <f t="shared" si="1"/>
        <v>179.05534630115366</v>
      </c>
      <c r="G22" s="813">
        <f t="shared" si="1"/>
        <v>0</v>
      </c>
      <c r="H22" s="813">
        <f t="shared" si="1"/>
        <v>93361.93102842012</v>
      </c>
      <c r="I22" s="813">
        <f t="shared" si="1"/>
        <v>10671.958936780547</v>
      </c>
      <c r="J22" s="813">
        <f t="shared" si="1"/>
        <v>0</v>
      </c>
      <c r="K22" s="813">
        <f t="shared" si="1"/>
        <v>0</v>
      </c>
      <c r="L22" s="813">
        <f t="shared" si="1"/>
        <v>0</v>
      </c>
      <c r="M22" s="813">
        <f t="shared" si="1"/>
        <v>0</v>
      </c>
      <c r="N22" s="813">
        <f t="shared" si="1"/>
        <v>5728.4760391994951</v>
      </c>
      <c r="O22" s="813">
        <f t="shared" si="1"/>
        <v>0</v>
      </c>
      <c r="P22" s="813">
        <f t="shared" si="1"/>
        <v>0</v>
      </c>
      <c r="Q22" s="813">
        <f t="shared" si="1"/>
        <v>0</v>
      </c>
      <c r="R22" s="813">
        <f t="shared" si="1"/>
        <v>109980.03488442433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412.18025</v>
      </c>
      <c r="D24" s="1025">
        <f>+landbouw!C8</f>
        <v>0</v>
      </c>
      <c r="E24" s="1025">
        <f>+landbouw!D8</f>
        <v>131.45551023181773</v>
      </c>
      <c r="F24" s="1025">
        <f>+landbouw!E8</f>
        <v>3.8177861124578207</v>
      </c>
      <c r="G24" s="1025">
        <f>+landbouw!F8</f>
        <v>1045.779814507046</v>
      </c>
      <c r="H24" s="1025">
        <f>+landbouw!G8</f>
        <v>0</v>
      </c>
      <c r="I24" s="1025">
        <f>+landbouw!H8</f>
        <v>0</v>
      </c>
      <c r="J24" s="1025">
        <f>+landbouw!I8</f>
        <v>0</v>
      </c>
      <c r="K24" s="1025">
        <f>+landbouw!J8</f>
        <v>63.191832270015382</v>
      </c>
      <c r="L24" s="1025">
        <f>+landbouw!K8</f>
        <v>0</v>
      </c>
      <c r="M24" s="1025">
        <f>+landbouw!L8</f>
        <v>0</v>
      </c>
      <c r="N24" s="1025">
        <f>+landbouw!M8</f>
        <v>0</v>
      </c>
      <c r="O24" s="1025">
        <f>+landbouw!N8</f>
        <v>0</v>
      </c>
      <c r="P24" s="1025">
        <f>+landbouw!O8</f>
        <v>0</v>
      </c>
      <c r="Q24" s="1026">
        <f>+landbouw!P8</f>
        <v>0</v>
      </c>
      <c r="R24" s="701">
        <f>SUM(C24:Q24)</f>
        <v>1656.4251931213369</v>
      </c>
      <c r="S24" s="67"/>
    </row>
    <row r="25" spans="1:19" s="474" customFormat="1" ht="15" thickBot="1">
      <c r="A25" s="832" t="s">
        <v>864</v>
      </c>
      <c r="B25" s="1028"/>
      <c r="C25" s="1029">
        <f>IF(Onbekend_ele_kWh="---",0,Onbekend_ele_kWh)/1000+IF(REST_rest_ele_kWh="---",0,REST_rest_ele_kWh)/1000</f>
        <v>1567.8209999999999</v>
      </c>
      <c r="D25" s="1029"/>
      <c r="E25" s="1029">
        <f>IF(onbekend_gas_kWh="---",0,onbekend_gas_kWh)/1000+IF(REST_rest_gas_kWh="---",0,REST_rest_gas_kWh)/1000</f>
        <v>6672.4935257043908</v>
      </c>
      <c r="F25" s="1029"/>
      <c r="G25" s="1029"/>
      <c r="H25" s="1029"/>
      <c r="I25" s="1029"/>
      <c r="J25" s="1029"/>
      <c r="K25" s="1029"/>
      <c r="L25" s="1029"/>
      <c r="M25" s="1029"/>
      <c r="N25" s="1029"/>
      <c r="O25" s="1029"/>
      <c r="P25" s="1029"/>
      <c r="Q25" s="1030"/>
      <c r="R25" s="701">
        <f>SUM(C25:Q25)</f>
        <v>8240.3145257043907</v>
      </c>
      <c r="S25" s="67"/>
    </row>
    <row r="26" spans="1:19" s="474" customFormat="1" ht="15.75" thickBot="1">
      <c r="A26" s="706" t="s">
        <v>865</v>
      </c>
      <c r="B26" s="818"/>
      <c r="C26" s="813">
        <f>SUM(C24:C25)</f>
        <v>1980.0012499999998</v>
      </c>
      <c r="D26" s="813">
        <f t="shared" ref="D26:R26" si="2">SUM(D24:D25)</f>
        <v>0</v>
      </c>
      <c r="E26" s="813">
        <f t="shared" si="2"/>
        <v>6803.9490359362089</v>
      </c>
      <c r="F26" s="813">
        <f t="shared" si="2"/>
        <v>3.8177861124578207</v>
      </c>
      <c r="G26" s="813">
        <f t="shared" si="2"/>
        <v>1045.779814507046</v>
      </c>
      <c r="H26" s="813">
        <f t="shared" si="2"/>
        <v>0</v>
      </c>
      <c r="I26" s="813">
        <f t="shared" si="2"/>
        <v>0</v>
      </c>
      <c r="J26" s="813">
        <f t="shared" si="2"/>
        <v>0</v>
      </c>
      <c r="K26" s="813">
        <f t="shared" si="2"/>
        <v>63.191832270015382</v>
      </c>
      <c r="L26" s="813">
        <f t="shared" si="2"/>
        <v>0</v>
      </c>
      <c r="M26" s="813">
        <f t="shared" si="2"/>
        <v>0</v>
      </c>
      <c r="N26" s="813">
        <f t="shared" si="2"/>
        <v>0</v>
      </c>
      <c r="O26" s="813">
        <f t="shared" si="2"/>
        <v>0</v>
      </c>
      <c r="P26" s="813">
        <f t="shared" si="2"/>
        <v>0</v>
      </c>
      <c r="Q26" s="813">
        <f t="shared" si="2"/>
        <v>0</v>
      </c>
      <c r="R26" s="813">
        <f t="shared" si="2"/>
        <v>9896.7397188257273</v>
      </c>
      <c r="S26" s="67"/>
    </row>
    <row r="27" spans="1:19" s="474" customFormat="1" ht="17.25" thickTop="1" thickBot="1">
      <c r="A27" s="707" t="s">
        <v>116</v>
      </c>
      <c r="B27" s="806"/>
      <c r="C27" s="708">
        <f ca="1">C22+C16+C26</f>
        <v>134274.6544383498</v>
      </c>
      <c r="D27" s="708">
        <f t="shared" ref="D27:R27" ca="1" si="3">D22+D16+D26</f>
        <v>935.35714285714266</v>
      </c>
      <c r="E27" s="708">
        <f t="shared" ca="1" si="3"/>
        <v>222524.65059063848</v>
      </c>
      <c r="F27" s="708">
        <f t="shared" si="3"/>
        <v>6703.096080195136</v>
      </c>
      <c r="G27" s="708">
        <f t="shared" ca="1" si="3"/>
        <v>30662.19812483056</v>
      </c>
      <c r="H27" s="708">
        <f t="shared" si="3"/>
        <v>93361.93102842012</v>
      </c>
      <c r="I27" s="708">
        <f t="shared" si="3"/>
        <v>10671.958936780547</v>
      </c>
      <c r="J27" s="708">
        <f t="shared" si="3"/>
        <v>0</v>
      </c>
      <c r="K27" s="708">
        <f t="shared" si="3"/>
        <v>5272.7658055211077</v>
      </c>
      <c r="L27" s="708">
        <f t="shared" si="3"/>
        <v>0</v>
      </c>
      <c r="M27" s="708">
        <f t="shared" ca="1" si="3"/>
        <v>0</v>
      </c>
      <c r="N27" s="708">
        <f t="shared" si="3"/>
        <v>5728.4760391994951</v>
      </c>
      <c r="O27" s="708">
        <f t="shared" ca="1" si="3"/>
        <v>26997.293295644628</v>
      </c>
      <c r="P27" s="708">
        <f t="shared" si="3"/>
        <v>117.25</v>
      </c>
      <c r="Q27" s="708">
        <f t="shared" si="3"/>
        <v>343.2</v>
      </c>
      <c r="R27" s="708">
        <f t="shared" ca="1" si="3"/>
        <v>537592.83148243697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7719.2439017491633</v>
      </c>
      <c r="D40" s="1025">
        <f ca="1">tertiair!C20</f>
        <v>222.073691251745</v>
      </c>
      <c r="E40" s="1025">
        <f ca="1">tertiair!D20</f>
        <v>8649.701109730855</v>
      </c>
      <c r="F40" s="1025">
        <f>tertiair!E20</f>
        <v>66.067327800093565</v>
      </c>
      <c r="G40" s="1025">
        <f ca="1">tertiair!F20</f>
        <v>1319.7567440095663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17976.842774541423</v>
      </c>
    </row>
    <row r="41" spans="1:18">
      <c r="A41" s="823" t="s">
        <v>225</v>
      </c>
      <c r="B41" s="830"/>
      <c r="C41" s="1025">
        <f ca="1">huishoudens!B12</f>
        <v>7959.7017790368836</v>
      </c>
      <c r="D41" s="1025">
        <f ca="1">huishoudens!C12</f>
        <v>0</v>
      </c>
      <c r="E41" s="1025">
        <f>huishoudens!D12</f>
        <v>18529.175976705403</v>
      </c>
      <c r="F41" s="1025">
        <f>huishoudens!E12</f>
        <v>923.55512083300266</v>
      </c>
      <c r="G41" s="1025">
        <f>huishoudens!F12</f>
        <v>4083.5574664700807</v>
      </c>
      <c r="H41" s="1025">
        <f>huishoudens!G12</f>
        <v>0</v>
      </c>
      <c r="I41" s="1025">
        <f>huishoudens!H12</f>
        <v>0</v>
      </c>
      <c r="J41" s="1025">
        <f>huishoudens!I12</f>
        <v>0</v>
      </c>
      <c r="K41" s="1025">
        <f>huishoudens!J12</f>
        <v>1814.2090778526151</v>
      </c>
      <c r="L41" s="1025">
        <f>huishoudens!K12</f>
        <v>0</v>
      </c>
      <c r="M41" s="1025">
        <f>huishoudens!L12</f>
        <v>0</v>
      </c>
      <c r="N41" s="1025">
        <f>huishoudens!M12</f>
        <v>0</v>
      </c>
      <c r="O41" s="1025">
        <f>huishoudens!N12</f>
        <v>0</v>
      </c>
      <c r="P41" s="1025">
        <f>huishoudens!O12</f>
        <v>0</v>
      </c>
      <c r="Q41" s="775">
        <f>huishoudens!P12</f>
        <v>0</v>
      </c>
      <c r="R41" s="851">
        <f t="shared" ca="1" si="4"/>
        <v>33310.199420897989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12112.84732077962</v>
      </c>
      <c r="D43" s="1025">
        <f ca="1">industrie!C22</f>
        <v>0</v>
      </c>
      <c r="E43" s="1025">
        <f>industrie!D22</f>
        <v>16390.994347425225</v>
      </c>
      <c r="F43" s="1025">
        <f>industrie!E22</f>
        <v>490.46816051330978</v>
      </c>
      <c r="G43" s="1025">
        <f>industrie!F22</f>
        <v>2504.2694783767324</v>
      </c>
      <c r="H43" s="1025">
        <f>industrie!G22</f>
        <v>0</v>
      </c>
      <c r="I43" s="1025">
        <f>industrie!H22</f>
        <v>0</v>
      </c>
      <c r="J43" s="1025">
        <f>industrie!I22</f>
        <v>0</v>
      </c>
      <c r="K43" s="1025">
        <f>industrie!J22</f>
        <v>29.980108678271481</v>
      </c>
      <c r="L43" s="1025">
        <f>industrie!K22</f>
        <v>0</v>
      </c>
      <c r="M43" s="1025">
        <f>industrie!L22</f>
        <v>0</v>
      </c>
      <c r="N43" s="1025">
        <f>industrie!M22</f>
        <v>0</v>
      </c>
      <c r="O43" s="1025">
        <f>industrie!N22</f>
        <v>0</v>
      </c>
      <c r="P43" s="1025">
        <f>industrie!O22</f>
        <v>0</v>
      </c>
      <c r="Q43" s="775">
        <f>industrie!P22</f>
        <v>0</v>
      </c>
      <c r="R43" s="850">
        <f t="shared" ca="1" si="4"/>
        <v>31528.559415773158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27791.793001565668</v>
      </c>
      <c r="D46" s="733">
        <f t="shared" ref="D46:Q46" ca="1" si="5">SUM(D39:D45)</f>
        <v>222.073691251745</v>
      </c>
      <c r="E46" s="733">
        <f t="shared" ca="1" si="5"/>
        <v>43569.871433861481</v>
      </c>
      <c r="F46" s="733">
        <f t="shared" si="5"/>
        <v>1480.090609146406</v>
      </c>
      <c r="G46" s="733">
        <f t="shared" ca="1" si="5"/>
        <v>7907.583688856379</v>
      </c>
      <c r="H46" s="733">
        <f t="shared" si="5"/>
        <v>0</v>
      </c>
      <c r="I46" s="733">
        <f t="shared" si="5"/>
        <v>0</v>
      </c>
      <c r="J46" s="733">
        <f t="shared" si="5"/>
        <v>0</v>
      </c>
      <c r="K46" s="733">
        <f t="shared" si="5"/>
        <v>1844.1891865308867</v>
      </c>
      <c r="L46" s="733">
        <f t="shared" si="5"/>
        <v>0</v>
      </c>
      <c r="M46" s="733">
        <f t="shared" ca="1" si="5"/>
        <v>0</v>
      </c>
      <c r="N46" s="733">
        <f t="shared" si="5"/>
        <v>0</v>
      </c>
      <c r="O46" s="733">
        <f t="shared" ca="1" si="5"/>
        <v>0</v>
      </c>
      <c r="P46" s="733">
        <f t="shared" si="5"/>
        <v>0</v>
      </c>
      <c r="Q46" s="733">
        <f t="shared" si="5"/>
        <v>0</v>
      </c>
      <c r="R46" s="733">
        <f ca="1">SUM(R39:R45)</f>
        <v>82815.601611212565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195.13561498893162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195.13561498893162</v>
      </c>
    </row>
    <row r="50" spans="1:18">
      <c r="A50" s="826" t="s">
        <v>307</v>
      </c>
      <c r="B50" s="836"/>
      <c r="C50" s="704">
        <f ca="1">transport!B18</f>
        <v>2.1733575008058343</v>
      </c>
      <c r="D50" s="704">
        <f>transport!C18</f>
        <v>0</v>
      </c>
      <c r="E50" s="704">
        <f>transport!D18</f>
        <v>5.7102801883800351</v>
      </c>
      <c r="F50" s="704">
        <f>transport!E18</f>
        <v>40.645563610361883</v>
      </c>
      <c r="G50" s="704">
        <f>transport!F18</f>
        <v>0</v>
      </c>
      <c r="H50" s="704">
        <f>transport!G18</f>
        <v>24732.499969599241</v>
      </c>
      <c r="I50" s="704">
        <f>transport!H18</f>
        <v>2657.3177752583565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27438.346946157148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2.1733575008058343</v>
      </c>
      <c r="D52" s="733">
        <f t="shared" ref="D52:Q52" ca="1" si="6">SUM(D48:D51)</f>
        <v>0</v>
      </c>
      <c r="E52" s="733">
        <f t="shared" si="6"/>
        <v>5.7102801883800351</v>
      </c>
      <c r="F52" s="733">
        <f t="shared" si="6"/>
        <v>40.645563610361883</v>
      </c>
      <c r="G52" s="733">
        <f t="shared" si="6"/>
        <v>0</v>
      </c>
      <c r="H52" s="733">
        <f t="shared" si="6"/>
        <v>24927.635584588174</v>
      </c>
      <c r="I52" s="733">
        <f t="shared" si="6"/>
        <v>2657.3177752583565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27633.48256114608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86.595517855595872</v>
      </c>
      <c r="D54" s="704">
        <f ca="1">+landbouw!C12</f>
        <v>0</v>
      </c>
      <c r="E54" s="704">
        <f>+landbouw!D12</f>
        <v>26.554013066827181</v>
      </c>
      <c r="F54" s="704">
        <f>+landbouw!E12</f>
        <v>0.86663744752792538</v>
      </c>
      <c r="G54" s="704">
        <f>+landbouw!F12</f>
        <v>279.2232104733813</v>
      </c>
      <c r="H54" s="704">
        <f>+landbouw!G12</f>
        <v>0</v>
      </c>
      <c r="I54" s="704">
        <f>+landbouw!H12</f>
        <v>0</v>
      </c>
      <c r="J54" s="704">
        <f>+landbouw!I12</f>
        <v>0</v>
      </c>
      <c r="K54" s="704">
        <f>+landbouw!J12</f>
        <v>22.369908623585445</v>
      </c>
      <c r="L54" s="704">
        <f>+landbouw!K12</f>
        <v>0</v>
      </c>
      <c r="M54" s="704">
        <f>+landbouw!L12</f>
        <v>0</v>
      </c>
      <c r="N54" s="704">
        <f>+landbouw!M12</f>
        <v>0</v>
      </c>
      <c r="O54" s="704">
        <f>+landbouw!N12</f>
        <v>0</v>
      </c>
      <c r="P54" s="704">
        <f>+landbouw!O12</f>
        <v>0</v>
      </c>
      <c r="Q54" s="705">
        <f>+landbouw!P12</f>
        <v>0</v>
      </c>
      <c r="R54" s="732">
        <f ca="1">SUM(C54:Q54)</f>
        <v>415.60928746691769</v>
      </c>
    </row>
    <row r="55" spans="1:18" ht="15" thickBot="1">
      <c r="A55" s="826" t="s">
        <v>864</v>
      </c>
      <c r="B55" s="836"/>
      <c r="C55" s="704">
        <f ca="1">C25*'EF ele_warmte'!B12</f>
        <v>329.385678716722</v>
      </c>
      <c r="D55" s="704"/>
      <c r="E55" s="704">
        <f>E25*EF_CO2_aardgas</f>
        <v>1347.8436921922871</v>
      </c>
      <c r="F55" s="704"/>
      <c r="G55" s="704"/>
      <c r="H55" s="704"/>
      <c r="I55" s="704"/>
      <c r="J55" s="704"/>
      <c r="K55" s="704"/>
      <c r="L55" s="704"/>
      <c r="M55" s="704"/>
      <c r="N55" s="704"/>
      <c r="O55" s="704"/>
      <c r="P55" s="704"/>
      <c r="Q55" s="705"/>
      <c r="R55" s="732">
        <f ca="1">SUM(C55:Q55)</f>
        <v>1677.229370909009</v>
      </c>
    </row>
    <row r="56" spans="1:18" ht="15.75" thickBot="1">
      <c r="A56" s="824" t="s">
        <v>865</v>
      </c>
      <c r="B56" s="837"/>
      <c r="C56" s="733">
        <f ca="1">SUM(C54:C55)</f>
        <v>415.98119657231786</v>
      </c>
      <c r="D56" s="733">
        <f t="shared" ref="D56:Q56" ca="1" si="7">SUM(D54:D55)</f>
        <v>0</v>
      </c>
      <c r="E56" s="733">
        <f t="shared" si="7"/>
        <v>1374.3977052591142</v>
      </c>
      <c r="F56" s="733">
        <f t="shared" si="7"/>
        <v>0.86663744752792538</v>
      </c>
      <c r="G56" s="733">
        <f t="shared" si="7"/>
        <v>279.2232104733813</v>
      </c>
      <c r="H56" s="733">
        <f t="shared" si="7"/>
        <v>0</v>
      </c>
      <c r="I56" s="733">
        <f t="shared" si="7"/>
        <v>0</v>
      </c>
      <c r="J56" s="733">
        <f t="shared" si="7"/>
        <v>0</v>
      </c>
      <c r="K56" s="733">
        <f t="shared" si="7"/>
        <v>22.369908623585445</v>
      </c>
      <c r="L56" s="733">
        <f t="shared" si="7"/>
        <v>0</v>
      </c>
      <c r="M56" s="733">
        <f t="shared" si="7"/>
        <v>0</v>
      </c>
      <c r="N56" s="733">
        <f t="shared" si="7"/>
        <v>0</v>
      </c>
      <c r="O56" s="733">
        <f t="shared" si="7"/>
        <v>0</v>
      </c>
      <c r="P56" s="733">
        <f t="shared" si="7"/>
        <v>0</v>
      </c>
      <c r="Q56" s="734">
        <f t="shared" si="7"/>
        <v>0</v>
      </c>
      <c r="R56" s="735">
        <f ca="1">SUM(R54:R55)</f>
        <v>2092.8386583759266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28209.947555638792</v>
      </c>
      <c r="D61" s="741">
        <f t="shared" ref="D61:Q61" ca="1" si="8">D46+D52+D56</f>
        <v>222.073691251745</v>
      </c>
      <c r="E61" s="741">
        <f t="shared" ca="1" si="8"/>
        <v>44949.979419308977</v>
      </c>
      <c r="F61" s="741">
        <f t="shared" si="8"/>
        <v>1521.6028102042958</v>
      </c>
      <c r="G61" s="741">
        <f t="shared" ca="1" si="8"/>
        <v>8186.8068993297602</v>
      </c>
      <c r="H61" s="741">
        <f t="shared" si="8"/>
        <v>24927.635584588174</v>
      </c>
      <c r="I61" s="741">
        <f t="shared" si="8"/>
        <v>2657.3177752583565</v>
      </c>
      <c r="J61" s="741">
        <f t="shared" si="8"/>
        <v>0</v>
      </c>
      <c r="K61" s="741">
        <f t="shared" si="8"/>
        <v>1866.5590951544721</v>
      </c>
      <c r="L61" s="741">
        <f t="shared" si="8"/>
        <v>0</v>
      </c>
      <c r="M61" s="741">
        <f t="shared" ca="1" si="8"/>
        <v>0</v>
      </c>
      <c r="N61" s="741">
        <f t="shared" si="8"/>
        <v>0</v>
      </c>
      <c r="O61" s="741">
        <f t="shared" ca="1" si="8"/>
        <v>0</v>
      </c>
      <c r="P61" s="741">
        <f t="shared" si="8"/>
        <v>0</v>
      </c>
      <c r="Q61" s="741">
        <f t="shared" si="8"/>
        <v>0</v>
      </c>
      <c r="R61" s="741">
        <f ca="1">R46+R52+R56</f>
        <v>112541.92283073458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0.21009138078691514</v>
      </c>
      <c r="D63" s="782">
        <f t="shared" ca="1" si="9"/>
        <v>0.23742128121606954</v>
      </c>
      <c r="E63" s="1036">
        <f t="shared" ca="1" si="9"/>
        <v>0.20200000000000001</v>
      </c>
      <c r="F63" s="782">
        <f t="shared" si="9"/>
        <v>0.22699999999999998</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6675.6478266925678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643.49999999999989</v>
      </c>
      <c r="D76" s="1046">
        <f>'lokale energieproductie'!C8</f>
        <v>756.3395765472311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152.78059446254071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6675.6478266925678</v>
      </c>
      <c r="C78" s="756">
        <f>SUM(C72:C77)</f>
        <v>643.49999999999989</v>
      </c>
      <c r="D78" s="757">
        <f t="shared" ref="D78:H78" si="10">SUM(D76:D77)</f>
        <v>756.3395765472311</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152.78059446254071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935.35714285714266</v>
      </c>
      <c r="D87" s="778">
        <f>'lokale energieproductie'!C17</f>
        <v>1099.3747091670543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222.073691251745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935.35714285714266</v>
      </c>
      <c r="D90" s="756">
        <f t="shared" ref="D90:H90" si="12">SUM(D87:D89)</f>
        <v>1099.3747091670543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222.073691251745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6675.6478266925678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643.49999999999989</v>
      </c>
      <c r="C8" s="571">
        <f>B101</f>
        <v>756.3395765472311</v>
      </c>
      <c r="D8" s="1056"/>
      <c r="E8" s="1056">
        <f>E101</f>
        <v>0</v>
      </c>
      <c r="F8" s="1057"/>
      <c r="G8" s="572"/>
      <c r="H8" s="1056">
        <f>I101</f>
        <v>0</v>
      </c>
      <c r="I8" s="1056">
        <f>G101+F101</f>
        <v>0</v>
      </c>
      <c r="J8" s="1056">
        <f>H101+D101+C101</f>
        <v>0</v>
      </c>
      <c r="K8" s="1056"/>
      <c r="L8" s="1056"/>
      <c r="M8" s="1056"/>
      <c r="N8" s="573"/>
      <c r="O8" s="574">
        <f>C8*$C$12+D8*$D$12+E8*$E$12+F8*$F$12+G8*$G$12+H8*$H$12+I8*$I$12+J8*$J$12</f>
        <v>152.78059446254071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7319.1478266925678</v>
      </c>
      <c r="C10" s="584">
        <f t="shared" ref="C10:L10" si="0">SUM(C8:C9)</f>
        <v>756.3395765472311</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152.78059446254071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935.35714285714266</v>
      </c>
      <c r="C17" s="596">
        <f>B102</f>
        <v>1099.3747091670543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222.073691251745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935.35714285714266</v>
      </c>
      <c r="C20" s="583">
        <f>SUM(C17:C19)</f>
        <v>1099.3747091670543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222.073691251745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45041</v>
      </c>
      <c r="C28" s="797">
        <v>9600</v>
      </c>
      <c r="D28" s="654" t="s">
        <v>907</v>
      </c>
      <c r="E28" s="653" t="s">
        <v>908</v>
      </c>
      <c r="F28" s="653" t="s">
        <v>909</v>
      </c>
      <c r="G28" s="653" t="s">
        <v>910</v>
      </c>
      <c r="H28" s="653" t="s">
        <v>910</v>
      </c>
      <c r="I28" s="653" t="s">
        <v>911</v>
      </c>
      <c r="J28" s="796">
        <v>41031</v>
      </c>
      <c r="K28" s="796">
        <v>41091</v>
      </c>
      <c r="L28" s="653" t="s">
        <v>912</v>
      </c>
      <c r="M28" s="653">
        <v>1</v>
      </c>
      <c r="N28" s="653">
        <v>4.5</v>
      </c>
      <c r="O28" s="653">
        <v>22.5</v>
      </c>
      <c r="P28" s="653">
        <v>30</v>
      </c>
      <c r="Q28" s="653">
        <v>0</v>
      </c>
      <c r="R28" s="653">
        <v>0</v>
      </c>
      <c r="S28" s="653">
        <v>0</v>
      </c>
      <c r="T28" s="653">
        <v>0</v>
      </c>
      <c r="U28" s="653">
        <v>0</v>
      </c>
      <c r="V28" s="653">
        <v>0</v>
      </c>
      <c r="W28" s="653">
        <v>0</v>
      </c>
      <c r="X28" s="653">
        <v>1300</v>
      </c>
      <c r="Y28" s="653" t="s">
        <v>54</v>
      </c>
      <c r="Z28" s="655" t="s">
        <v>156</v>
      </c>
    </row>
    <row r="29" spans="1:26" s="607" customFormat="1" ht="51">
      <c r="A29" s="606"/>
      <c r="B29" s="797">
        <v>45041</v>
      </c>
      <c r="C29" s="797">
        <v>9600</v>
      </c>
      <c r="D29" s="654" t="s">
        <v>913</v>
      </c>
      <c r="E29" s="653" t="s">
        <v>914</v>
      </c>
      <c r="F29" s="653" t="s">
        <v>915</v>
      </c>
      <c r="G29" s="653" t="s">
        <v>916</v>
      </c>
      <c r="H29" s="653" t="s">
        <v>917</v>
      </c>
      <c r="I29" s="653" t="s">
        <v>918</v>
      </c>
      <c r="J29" s="796">
        <v>41151</v>
      </c>
      <c r="K29" s="796">
        <v>41585</v>
      </c>
      <c r="L29" s="653" t="s">
        <v>912</v>
      </c>
      <c r="M29" s="653">
        <v>142</v>
      </c>
      <c r="N29" s="653">
        <v>638.99999999999989</v>
      </c>
      <c r="O29" s="653">
        <v>912.85714285714266</v>
      </c>
      <c r="P29" s="653">
        <v>1825.7142857142856</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143</v>
      </c>
      <c r="N58" s="611">
        <f>SUM(N28:N57)</f>
        <v>643.49999999999989</v>
      </c>
      <c r="O58" s="611">
        <f t="shared" ref="O58:W58" si="2">SUM(O28:O57)</f>
        <v>935.35714285714266</v>
      </c>
      <c r="P58" s="611">
        <f t="shared" si="2"/>
        <v>1855.7142857142856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143</v>
      </c>
      <c r="N60" s="611">
        <f ca="1">SUMIF($Z$28:AD57,"tertiair",N28:N57)</f>
        <v>643.49999999999989</v>
      </c>
      <c r="O60" s="611">
        <f ca="1">SUMIF($Z$28:AE57,"tertiair",O28:O57)</f>
        <v>935.35714285714266</v>
      </c>
      <c r="P60" s="611">
        <f ca="1">SUMIF($Z$28:AF57,"tertiair",P28:P57)</f>
        <v>1855.7142857142856</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0.59242671009771986</v>
      </c>
      <c r="C98" s="636">
        <f>IF(ISERROR(N58/(O58+N58)),0,N58/(N58+O58))</f>
        <v>0.40757328990228009</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756.3395765472311</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1099.3747091670543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37886.855468430665</v>
      </c>
      <c r="C4" s="478">
        <f>huishoudens!C8</f>
        <v>0</v>
      </c>
      <c r="D4" s="478">
        <f>huishoudens!D8</f>
        <v>91728.59394408614</v>
      </c>
      <c r="E4" s="478">
        <f>huishoudens!E8</f>
        <v>4068.5247613788661</v>
      </c>
      <c r="F4" s="478">
        <f>huishoudens!F8</f>
        <v>15294.222720861724</v>
      </c>
      <c r="G4" s="478">
        <f>huishoudens!G8</f>
        <v>0</v>
      </c>
      <c r="H4" s="478">
        <f>huishoudens!H8</f>
        <v>0</v>
      </c>
      <c r="I4" s="478">
        <f>huishoudens!I8</f>
        <v>0</v>
      </c>
      <c r="J4" s="478">
        <f>huishoudens!J8</f>
        <v>5124.8844007136022</v>
      </c>
      <c r="K4" s="478">
        <f>huishoudens!K8</f>
        <v>0</v>
      </c>
      <c r="L4" s="478">
        <f>huishoudens!L8</f>
        <v>0</v>
      </c>
      <c r="M4" s="478">
        <f>huishoudens!M8</f>
        <v>0</v>
      </c>
      <c r="N4" s="478">
        <f>huishoudens!N8</f>
        <v>19356.264645768544</v>
      </c>
      <c r="O4" s="478">
        <f>huishoudens!O8</f>
        <v>117.25</v>
      </c>
      <c r="P4" s="479">
        <f>huishoudens!P8</f>
        <v>343.2</v>
      </c>
      <c r="Q4" s="480">
        <f>SUM(B4:P4)</f>
        <v>173919.79594123954</v>
      </c>
    </row>
    <row r="5" spans="1:17">
      <c r="A5" s="477" t="s">
        <v>156</v>
      </c>
      <c r="B5" s="478">
        <f ca="1">tertiair!B16</f>
        <v>34900.057000000001</v>
      </c>
      <c r="C5" s="478">
        <f ca="1">tertiair!C16</f>
        <v>935.35714285714266</v>
      </c>
      <c r="D5" s="478">
        <f ca="1">tertiair!D16</f>
        <v>42820.302523420069</v>
      </c>
      <c r="E5" s="478">
        <f>tertiair!E16</f>
        <v>291.04549691671173</v>
      </c>
      <c r="F5" s="478">
        <f ca="1">tertiair!F16</f>
        <v>4942.9091535938815</v>
      </c>
      <c r="G5" s="478">
        <f>tertiair!G16</f>
        <v>0</v>
      </c>
      <c r="H5" s="478">
        <f>tertiair!H16</f>
        <v>0</v>
      </c>
      <c r="I5" s="478">
        <f>tertiair!I16</f>
        <v>0</v>
      </c>
      <c r="J5" s="478">
        <f>tertiair!J16</f>
        <v>0</v>
      </c>
      <c r="K5" s="478">
        <f>tertiair!K16</f>
        <v>0</v>
      </c>
      <c r="L5" s="478">
        <f ca="1">tertiair!L16</f>
        <v>0</v>
      </c>
      <c r="M5" s="478">
        <f>tertiair!M16</f>
        <v>0</v>
      </c>
      <c r="N5" s="478">
        <f ca="1">tertiair!N16</f>
        <v>2289.3679544801626</v>
      </c>
      <c r="O5" s="478">
        <f>tertiair!O16</f>
        <v>0</v>
      </c>
      <c r="P5" s="479">
        <f>tertiair!P16</f>
        <v>0</v>
      </c>
      <c r="Q5" s="477">
        <f t="shared" ref="Q5:Q14" ca="1" si="0">SUM(B5:P5)</f>
        <v>86179.03927126796</v>
      </c>
    </row>
    <row r="6" spans="1:17">
      <c r="A6" s="477" t="s">
        <v>194</v>
      </c>
      <c r="B6" s="478">
        <f>'openbare verlichting'!B8</f>
        <v>1842.259</v>
      </c>
      <c r="C6" s="478"/>
      <c r="D6" s="478"/>
      <c r="E6" s="478"/>
      <c r="F6" s="478"/>
      <c r="G6" s="478"/>
      <c r="H6" s="478"/>
      <c r="I6" s="478"/>
      <c r="J6" s="478"/>
      <c r="K6" s="478"/>
      <c r="L6" s="478"/>
      <c r="M6" s="478"/>
      <c r="N6" s="478"/>
      <c r="O6" s="478"/>
      <c r="P6" s="479"/>
      <c r="Q6" s="477">
        <f t="shared" si="0"/>
        <v>1842.259</v>
      </c>
    </row>
    <row r="7" spans="1:17">
      <c r="A7" s="477" t="s">
        <v>112</v>
      </c>
      <c r="B7" s="478">
        <f>landbouw!B8</f>
        <v>412.18025</v>
      </c>
      <c r="C7" s="478">
        <f>landbouw!C8</f>
        <v>0</v>
      </c>
      <c r="D7" s="478">
        <f>landbouw!D8</f>
        <v>131.45551023181773</v>
      </c>
      <c r="E7" s="478">
        <f>landbouw!E8</f>
        <v>3.8177861124578207</v>
      </c>
      <c r="F7" s="478">
        <f>landbouw!F8</f>
        <v>1045.779814507046</v>
      </c>
      <c r="G7" s="478">
        <f>landbouw!G8</f>
        <v>0</v>
      </c>
      <c r="H7" s="478">
        <f>landbouw!H8</f>
        <v>0</v>
      </c>
      <c r="I7" s="478">
        <f>landbouw!I8</f>
        <v>0</v>
      </c>
      <c r="J7" s="478">
        <f>landbouw!J8</f>
        <v>63.191832270015382</v>
      </c>
      <c r="K7" s="478">
        <f>landbouw!K8</f>
        <v>0</v>
      </c>
      <c r="L7" s="478">
        <f>landbouw!L8</f>
        <v>0</v>
      </c>
      <c r="M7" s="478">
        <f>landbouw!M8</f>
        <v>0</v>
      </c>
      <c r="N7" s="478">
        <f>landbouw!N8</f>
        <v>0</v>
      </c>
      <c r="O7" s="478">
        <f>landbouw!O8</f>
        <v>0</v>
      </c>
      <c r="P7" s="479">
        <f>landbouw!P8</f>
        <v>0</v>
      </c>
      <c r="Q7" s="477">
        <f t="shared" si="0"/>
        <v>1656.4251931213369</v>
      </c>
    </row>
    <row r="8" spans="1:17">
      <c r="A8" s="477" t="s">
        <v>650</v>
      </c>
      <c r="B8" s="478">
        <f>industrie!B18</f>
        <v>57655.136899999998</v>
      </c>
      <c r="C8" s="478">
        <f>industrie!C18</f>
        <v>0</v>
      </c>
      <c r="D8" s="478">
        <f>industrie!D18</f>
        <v>81143.536373392199</v>
      </c>
      <c r="E8" s="478">
        <f>industrie!E18</f>
        <v>2160.6526894859462</v>
      </c>
      <c r="F8" s="478">
        <f>industrie!F18</f>
        <v>9379.2864358679108</v>
      </c>
      <c r="G8" s="478">
        <f>industrie!G18</f>
        <v>0</v>
      </c>
      <c r="H8" s="478">
        <f>industrie!H18</f>
        <v>0</v>
      </c>
      <c r="I8" s="478">
        <f>industrie!I18</f>
        <v>0</v>
      </c>
      <c r="J8" s="478">
        <f>industrie!J18</f>
        <v>84.689572537490065</v>
      </c>
      <c r="K8" s="478">
        <f>industrie!K18</f>
        <v>0</v>
      </c>
      <c r="L8" s="478">
        <f>industrie!L18</f>
        <v>0</v>
      </c>
      <c r="M8" s="478">
        <f>industrie!M18</f>
        <v>0</v>
      </c>
      <c r="N8" s="478">
        <f>industrie!N18</f>
        <v>5351.6606953959208</v>
      </c>
      <c r="O8" s="478">
        <f>industrie!O18</f>
        <v>0</v>
      </c>
      <c r="P8" s="479">
        <f>industrie!P18</f>
        <v>0</v>
      </c>
      <c r="Q8" s="477">
        <f t="shared" si="0"/>
        <v>155774.96266667949</v>
      </c>
    </row>
    <row r="9" spans="1:17" s="483" customFormat="1">
      <c r="A9" s="481" t="s">
        <v>571</v>
      </c>
      <c r="B9" s="482">
        <f>transport!B14</f>
        <v>10.344819919148225</v>
      </c>
      <c r="C9" s="482">
        <f>transport!C14</f>
        <v>0</v>
      </c>
      <c r="D9" s="482">
        <f>transport!D14</f>
        <v>28.268713803861559</v>
      </c>
      <c r="E9" s="482">
        <f>transport!E14</f>
        <v>179.05534630115366</v>
      </c>
      <c r="F9" s="482">
        <f>transport!F14</f>
        <v>0</v>
      </c>
      <c r="G9" s="482">
        <f>transport!G14</f>
        <v>92631.086028461577</v>
      </c>
      <c r="H9" s="482">
        <f>transport!H14</f>
        <v>10671.958936780547</v>
      </c>
      <c r="I9" s="482">
        <f>transport!I14</f>
        <v>0</v>
      </c>
      <c r="J9" s="482">
        <f>transport!J14</f>
        <v>0</v>
      </c>
      <c r="K9" s="482">
        <f>transport!K14</f>
        <v>0</v>
      </c>
      <c r="L9" s="482">
        <f>transport!L14</f>
        <v>0</v>
      </c>
      <c r="M9" s="482">
        <f>transport!M14</f>
        <v>5686.7980793801244</v>
      </c>
      <c r="N9" s="482">
        <f>transport!N14</f>
        <v>0</v>
      </c>
      <c r="O9" s="482">
        <f>transport!O14</f>
        <v>0</v>
      </c>
      <c r="P9" s="482">
        <f>transport!P14</f>
        <v>0</v>
      </c>
      <c r="Q9" s="481">
        <f>SUM(B9:P9)</f>
        <v>109207.51192464642</v>
      </c>
    </row>
    <row r="10" spans="1:17">
      <c r="A10" s="477" t="s">
        <v>561</v>
      </c>
      <c r="B10" s="478">
        <f>transport!B54</f>
        <v>0</v>
      </c>
      <c r="C10" s="478">
        <f>transport!C54</f>
        <v>0</v>
      </c>
      <c r="D10" s="478">
        <f>transport!D54</f>
        <v>0</v>
      </c>
      <c r="E10" s="478">
        <f>transport!E54</f>
        <v>0</v>
      </c>
      <c r="F10" s="478">
        <f>transport!F54</f>
        <v>0</v>
      </c>
      <c r="G10" s="478">
        <f>transport!G54</f>
        <v>730.84499995854537</v>
      </c>
      <c r="H10" s="478">
        <f>transport!H54</f>
        <v>0</v>
      </c>
      <c r="I10" s="478">
        <f>transport!I54</f>
        <v>0</v>
      </c>
      <c r="J10" s="478">
        <f>transport!J54</f>
        <v>0</v>
      </c>
      <c r="K10" s="478">
        <f>transport!K54</f>
        <v>0</v>
      </c>
      <c r="L10" s="478">
        <f>transport!L54</f>
        <v>0</v>
      </c>
      <c r="M10" s="478">
        <f>transport!M54</f>
        <v>41.677959819370372</v>
      </c>
      <c r="N10" s="478">
        <f>transport!N54</f>
        <v>0</v>
      </c>
      <c r="O10" s="478">
        <f>transport!O54</f>
        <v>0</v>
      </c>
      <c r="P10" s="479">
        <f>transport!P54</f>
        <v>0</v>
      </c>
      <c r="Q10" s="477">
        <f t="shared" si="0"/>
        <v>772.52295977791573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1567.8209999999999</v>
      </c>
      <c r="C14" s="485"/>
      <c r="D14" s="485">
        <f>'SEAP template'!E25</f>
        <v>6672.4935257043908</v>
      </c>
      <c r="E14" s="485"/>
      <c r="F14" s="485"/>
      <c r="G14" s="485"/>
      <c r="H14" s="485"/>
      <c r="I14" s="485"/>
      <c r="J14" s="485"/>
      <c r="K14" s="485"/>
      <c r="L14" s="485"/>
      <c r="M14" s="485"/>
      <c r="N14" s="485"/>
      <c r="O14" s="485"/>
      <c r="P14" s="486"/>
      <c r="Q14" s="477">
        <f t="shared" si="0"/>
        <v>8240.3145257043907</v>
      </c>
    </row>
    <row r="15" spans="1:17" s="487" customFormat="1">
      <c r="A15" s="1051" t="s">
        <v>565</v>
      </c>
      <c r="B15" s="991">
        <f ca="1">SUM(B4:B14)</f>
        <v>134274.65443834983</v>
      </c>
      <c r="C15" s="991">
        <f t="shared" ref="C15:Q15" ca="1" si="1">SUM(C4:C14)</f>
        <v>935.35714285714266</v>
      </c>
      <c r="D15" s="991">
        <f t="shared" ca="1" si="1"/>
        <v>222524.65059063851</v>
      </c>
      <c r="E15" s="991">
        <f t="shared" si="1"/>
        <v>6703.096080195136</v>
      </c>
      <c r="F15" s="991">
        <f t="shared" ca="1" si="1"/>
        <v>30662.19812483056</v>
      </c>
      <c r="G15" s="991">
        <f t="shared" si="1"/>
        <v>93361.93102842012</v>
      </c>
      <c r="H15" s="991">
        <f t="shared" si="1"/>
        <v>10671.958936780547</v>
      </c>
      <c r="I15" s="991">
        <f t="shared" si="1"/>
        <v>0</v>
      </c>
      <c r="J15" s="991">
        <f t="shared" si="1"/>
        <v>5272.7658055211077</v>
      </c>
      <c r="K15" s="991">
        <f t="shared" si="1"/>
        <v>0</v>
      </c>
      <c r="L15" s="991">
        <f t="shared" ca="1" si="1"/>
        <v>0</v>
      </c>
      <c r="M15" s="991">
        <f t="shared" si="1"/>
        <v>5728.4760391994951</v>
      </c>
      <c r="N15" s="991">
        <f t="shared" ca="1" si="1"/>
        <v>26997.293295644628</v>
      </c>
      <c r="O15" s="991">
        <f t="shared" si="1"/>
        <v>117.25</v>
      </c>
      <c r="P15" s="991">
        <f t="shared" si="1"/>
        <v>343.2</v>
      </c>
      <c r="Q15" s="991">
        <f t="shared" ca="1" si="1"/>
        <v>537592.83148243709</v>
      </c>
    </row>
    <row r="17" spans="1:17">
      <c r="A17" s="488" t="s">
        <v>566</v>
      </c>
      <c r="B17" s="787">
        <f ca="1">huishoudens!B10</f>
        <v>0.21009138078691511</v>
      </c>
      <c r="C17" s="787">
        <f ca="1">huishoudens!C10</f>
        <v>0.23742128121606954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7959.7017790368836</v>
      </c>
      <c r="C22" s="478">
        <f t="shared" ref="C22:C32" ca="1" si="3">C4*$C$17</f>
        <v>0</v>
      </c>
      <c r="D22" s="478">
        <f t="shared" ref="D22:D32" si="4">D4*$D$17</f>
        <v>18529.175976705403</v>
      </c>
      <c r="E22" s="478">
        <f t="shared" ref="E22:E32" si="5">E4*$E$17</f>
        <v>923.55512083300266</v>
      </c>
      <c r="F22" s="478">
        <f t="shared" ref="F22:F32" si="6">F4*$F$17</f>
        <v>4083.5574664700807</v>
      </c>
      <c r="G22" s="478">
        <f t="shared" ref="G22:G32" si="7">G4*$G$17</f>
        <v>0</v>
      </c>
      <c r="H22" s="478">
        <f t="shared" ref="H22:H32" si="8">H4*$H$17</f>
        <v>0</v>
      </c>
      <c r="I22" s="478">
        <f t="shared" ref="I22:I32" si="9">I4*$I$17</f>
        <v>0</v>
      </c>
      <c r="J22" s="478">
        <f t="shared" ref="J22:J32" si="10">J4*$J$17</f>
        <v>1814.2090778526151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33310.199420897989</v>
      </c>
    </row>
    <row r="23" spans="1:17">
      <c r="A23" s="477" t="s">
        <v>156</v>
      </c>
      <c r="B23" s="478">
        <f t="shared" ca="1" si="2"/>
        <v>7332.2011646720421</v>
      </c>
      <c r="C23" s="478">
        <f t="shared" ca="1" si="3"/>
        <v>222.073691251745</v>
      </c>
      <c r="D23" s="478">
        <f t="shared" ca="1" si="4"/>
        <v>8649.701109730855</v>
      </c>
      <c r="E23" s="478">
        <f t="shared" si="5"/>
        <v>66.067327800093565</v>
      </c>
      <c r="F23" s="478">
        <f t="shared" ca="1" si="6"/>
        <v>1319.7567440095663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17589.800037464302</v>
      </c>
    </row>
    <row r="24" spans="1:17">
      <c r="A24" s="477" t="s">
        <v>194</v>
      </c>
      <c r="B24" s="478">
        <f t="shared" ca="1" si="2"/>
        <v>387.04273707712144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387.04273707712144</v>
      </c>
    </row>
    <row r="25" spans="1:17">
      <c r="A25" s="477" t="s">
        <v>112</v>
      </c>
      <c r="B25" s="478">
        <f t="shared" ca="1" si="2"/>
        <v>86.595517855595872</v>
      </c>
      <c r="C25" s="478">
        <f t="shared" ca="1" si="3"/>
        <v>0</v>
      </c>
      <c r="D25" s="478">
        <f t="shared" si="4"/>
        <v>26.554013066827181</v>
      </c>
      <c r="E25" s="478">
        <f t="shared" si="5"/>
        <v>0.86663744752792538</v>
      </c>
      <c r="F25" s="478">
        <f t="shared" si="6"/>
        <v>279.2232104733813</v>
      </c>
      <c r="G25" s="478">
        <f t="shared" si="7"/>
        <v>0</v>
      </c>
      <c r="H25" s="478">
        <f t="shared" si="8"/>
        <v>0</v>
      </c>
      <c r="I25" s="478">
        <f t="shared" si="9"/>
        <v>0</v>
      </c>
      <c r="J25" s="478">
        <f t="shared" si="10"/>
        <v>22.369908623585445</v>
      </c>
      <c r="K25" s="478">
        <f t="shared" si="11"/>
        <v>0</v>
      </c>
      <c r="L25" s="478">
        <f t="shared" si="12"/>
        <v>0</v>
      </c>
      <c r="M25" s="478">
        <f t="shared" si="13"/>
        <v>0</v>
      </c>
      <c r="N25" s="478">
        <f t="shared" si="14"/>
        <v>0</v>
      </c>
      <c r="O25" s="478">
        <f t="shared" si="15"/>
        <v>0</v>
      </c>
      <c r="P25" s="479">
        <f t="shared" si="16"/>
        <v>0</v>
      </c>
      <c r="Q25" s="477">
        <f t="shared" ca="1" si="17"/>
        <v>415.60928746691769</v>
      </c>
    </row>
    <row r="26" spans="1:17">
      <c r="A26" s="477" t="s">
        <v>650</v>
      </c>
      <c r="B26" s="478">
        <f t="shared" ca="1" si="2"/>
        <v>12112.84732077962</v>
      </c>
      <c r="C26" s="478">
        <f t="shared" ca="1" si="3"/>
        <v>0</v>
      </c>
      <c r="D26" s="478">
        <f t="shared" si="4"/>
        <v>16390.994347425225</v>
      </c>
      <c r="E26" s="478">
        <f t="shared" si="5"/>
        <v>490.46816051330978</v>
      </c>
      <c r="F26" s="478">
        <f t="shared" si="6"/>
        <v>2504.2694783767324</v>
      </c>
      <c r="G26" s="478">
        <f t="shared" si="7"/>
        <v>0</v>
      </c>
      <c r="H26" s="478">
        <f t="shared" si="8"/>
        <v>0</v>
      </c>
      <c r="I26" s="478">
        <f t="shared" si="9"/>
        <v>0</v>
      </c>
      <c r="J26" s="478">
        <f t="shared" si="10"/>
        <v>29.980108678271481</v>
      </c>
      <c r="K26" s="478">
        <f t="shared" si="11"/>
        <v>0</v>
      </c>
      <c r="L26" s="478">
        <f t="shared" si="12"/>
        <v>0</v>
      </c>
      <c r="M26" s="478">
        <f t="shared" si="13"/>
        <v>0</v>
      </c>
      <c r="N26" s="478">
        <f t="shared" si="14"/>
        <v>0</v>
      </c>
      <c r="O26" s="478">
        <f t="shared" si="15"/>
        <v>0</v>
      </c>
      <c r="P26" s="479">
        <f t="shared" si="16"/>
        <v>0</v>
      </c>
      <c r="Q26" s="477">
        <f t="shared" ca="1" si="17"/>
        <v>31528.559415773158</v>
      </c>
    </row>
    <row r="27" spans="1:17" s="483" customFormat="1">
      <c r="A27" s="481" t="s">
        <v>571</v>
      </c>
      <c r="B27" s="781">
        <f t="shared" ca="1" si="2"/>
        <v>2.1733575008058343</v>
      </c>
      <c r="C27" s="482">
        <f t="shared" ca="1" si="3"/>
        <v>0</v>
      </c>
      <c r="D27" s="482">
        <f t="shared" si="4"/>
        <v>5.7102801883800351</v>
      </c>
      <c r="E27" s="482">
        <f t="shared" si="5"/>
        <v>40.645563610361883</v>
      </c>
      <c r="F27" s="482">
        <f t="shared" si="6"/>
        <v>0</v>
      </c>
      <c r="G27" s="482">
        <f t="shared" si="7"/>
        <v>24732.499969599241</v>
      </c>
      <c r="H27" s="482">
        <f t="shared" si="8"/>
        <v>2657.3177752583565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27438.346946157148</v>
      </c>
    </row>
    <row r="28" spans="1:17">
      <c r="A28" s="477" t="s">
        <v>561</v>
      </c>
      <c r="B28" s="478">
        <f t="shared" ca="1" si="2"/>
        <v>0</v>
      </c>
      <c r="C28" s="478">
        <f t="shared" ca="1" si="3"/>
        <v>0</v>
      </c>
      <c r="D28" s="478">
        <f t="shared" si="4"/>
        <v>0</v>
      </c>
      <c r="E28" s="478">
        <f t="shared" si="5"/>
        <v>0</v>
      </c>
      <c r="F28" s="478">
        <f t="shared" si="6"/>
        <v>0</v>
      </c>
      <c r="G28" s="478">
        <f t="shared" si="7"/>
        <v>195.13561498893162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195.13561498893162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329.385678716722</v>
      </c>
      <c r="C32" s="478">
        <f t="shared" ca="1" si="3"/>
        <v>0</v>
      </c>
      <c r="D32" s="478">
        <f t="shared" si="4"/>
        <v>1347.8436921922871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1677.229370909009</v>
      </c>
    </row>
    <row r="33" spans="1:17" s="487" customFormat="1">
      <c r="A33" s="1051" t="s">
        <v>565</v>
      </c>
      <c r="B33" s="991">
        <f ca="1">SUM(B22:B32)</f>
        <v>28209.947555638792</v>
      </c>
      <c r="C33" s="991">
        <f t="shared" ref="C33:Q33" ca="1" si="18">SUM(C22:C32)</f>
        <v>222.073691251745</v>
      </c>
      <c r="D33" s="991">
        <f t="shared" ca="1" si="18"/>
        <v>44949.979419308977</v>
      </c>
      <c r="E33" s="991">
        <f t="shared" si="18"/>
        <v>1521.602810204296</v>
      </c>
      <c r="F33" s="991">
        <f t="shared" ca="1" si="18"/>
        <v>8186.8068993297602</v>
      </c>
      <c r="G33" s="991">
        <f t="shared" si="18"/>
        <v>24927.635584588174</v>
      </c>
      <c r="H33" s="991">
        <f t="shared" si="18"/>
        <v>2657.3177752583565</v>
      </c>
      <c r="I33" s="991">
        <f t="shared" si="18"/>
        <v>0</v>
      </c>
      <c r="J33" s="991">
        <f t="shared" si="18"/>
        <v>1866.5590951544721</v>
      </c>
      <c r="K33" s="991">
        <f t="shared" si="18"/>
        <v>0</v>
      </c>
      <c r="L33" s="991">
        <f t="shared" ca="1" si="18"/>
        <v>0</v>
      </c>
      <c r="M33" s="991">
        <f t="shared" si="18"/>
        <v>0</v>
      </c>
      <c r="N33" s="991">
        <f t="shared" ca="1" si="18"/>
        <v>0</v>
      </c>
      <c r="O33" s="991">
        <f t="shared" si="18"/>
        <v>0</v>
      </c>
      <c r="P33" s="991">
        <f t="shared" si="18"/>
        <v>0</v>
      </c>
      <c r="Q33" s="991">
        <f t="shared" ca="1" si="18"/>
        <v>112541.92283073459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6675.6478266925678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643.49999999999989</v>
      </c>
      <c r="D8" s="1068">
        <f>'SEAP template'!D76</f>
        <v>756.3395765472311</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152.78059446254071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6675.6478266925678</v>
      </c>
      <c r="C10" s="1072">
        <f>SUM(C4:C9)</f>
        <v>643.49999999999989</v>
      </c>
      <c r="D10" s="1072">
        <f t="shared" ref="D10:H10" si="0">SUM(D8:D9)</f>
        <v>756.3395765472311</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152.78059446254071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0.21009138078691511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935.35714285714266</v>
      </c>
      <c r="D17" s="1069">
        <f>'SEAP template'!D87</f>
        <v>1099.3747091670543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222.073691251745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935.35714285714266</v>
      </c>
      <c r="D20" s="1072">
        <f t="shared" ref="D20:H20" si="2">SUM(D17:D19)</f>
        <v>1099.3747091670543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222.073691251745</v>
      </c>
    </row>
    <row r="22" spans="1:16">
      <c r="A22" s="488" t="s">
        <v>888</v>
      </c>
      <c r="B22" s="787" t="s">
        <v>882</v>
      </c>
      <c r="C22" s="787">
        <f ca="1">'EF ele_warmte'!B22</f>
        <v>0.23742128121606954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0.21009138078691511</v>
      </c>
      <c r="C17" s="525">
        <f ca="1">'EF ele_warmte'!B22</f>
        <v>0.23742128121606954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3</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4.6900000000000004</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2019-08-12T08:09:57Z</dcterms:modified>
</cp:coreProperties>
</file>