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E4" i="48"/>
  <c r="J4"/>
  <c r="K11" i="14"/>
  <c r="I23" i="48"/>
  <c r="I33" s="1"/>
  <c r="I15"/>
  <c r="E7"/>
  <c r="E25" s="1"/>
  <c r="F24" i="14"/>
  <c r="F26" s="1"/>
  <c r="N20"/>
  <c r="M9" i="48"/>
  <c r="N22" i="14"/>
  <c r="N27" s="1"/>
  <c r="P46"/>
  <c r="P61" s="1"/>
  <c r="R18"/>
  <c r="Q63"/>
  <c r="C22"/>
  <c r="P15" i="48"/>
  <c r="P16" i="14"/>
  <c r="P27" s="1"/>
  <c r="P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G28"/>
  <c r="Q10"/>
  <c r="F10" i="14"/>
  <c r="E5" i="48"/>
  <c r="E23" s="1"/>
  <c r="G27"/>
  <c r="G15"/>
  <c r="H9"/>
  <c r="I20" i="14"/>
  <c r="I22" s="1"/>
  <c r="I27" s="1"/>
  <c r="I63" s="1"/>
  <c r="M27" i="48"/>
  <c r="M33" s="1"/>
  <c r="M15"/>
  <c r="E22"/>
  <c r="Q4"/>
  <c r="J22"/>
  <c r="O26"/>
  <c r="O33" s="1"/>
  <c r="O15"/>
  <c r="H22" i="14"/>
  <c r="H27" s="1"/>
  <c r="Q9" i="48"/>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J8" i="48"/>
  <c r="J26" s="1"/>
  <c r="J33" s="1"/>
  <c r="K13" i="14"/>
  <c r="K16" s="1"/>
  <c r="K27" s="1"/>
  <c r="F13"/>
  <c r="E8" i="48"/>
  <c r="H27"/>
  <c r="H33" s="1"/>
  <c r="H15"/>
  <c r="H63" i="14"/>
  <c r="F46"/>
  <c r="F61" s="1"/>
  <c r="F16"/>
  <c r="F27" s="1"/>
  <c r="G33" i="48"/>
  <c r="R20" i="14"/>
  <c r="R22" s="1"/>
  <c r="K46"/>
  <c r="K61" s="1"/>
  <c r="O13"/>
  <c r="N8" i="48"/>
  <c r="N26" s="1"/>
  <c r="F8"/>
  <c r="G13" i="14"/>
  <c r="E26" i="48" l="1"/>
  <c r="E33" s="1"/>
  <c r="E15"/>
  <c r="R13" i="14"/>
  <c r="J15" i="48"/>
  <c r="K6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<sst xmlns="http://schemas.openxmlformats.org/spreadsheetml/2006/main" count="2455" uniqueCount="924">
  <si>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</si>
  <si>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</si>
  <si>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</si>
  <si>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</si>
  <si>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</si>
  <si>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</si>
  <si>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</si>
  <si>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</si>
  <si>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</si>
  <si>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</si>
  <si>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</si>
  <si>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</si>
  <si>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</si>
  <si>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</si>
  <si>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</si>
  <si>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</si>
  <si>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</si>
  <si>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</si>
  <si>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</si>
  <si>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</si>
  <si>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</si>
  <si>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</si>
  <si>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</si>
  <si>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</si>
  <si>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</si>
  <si>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</si>
  <si>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</si>
  <si>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</si>
  <si>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</si>
  <si>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</si>
  <si>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</si>
  <si>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</si>
  <si>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</si>
  <si>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</si>
  <si>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</si>
  <si>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</si>
  <si>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</si>
  <si>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</si>
  <si>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</si>
  <si>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</si>
  <si>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</si>
  <si>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</si>
  <si>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</si>
  <si>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</si>
  <si>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</si>
  <si>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</si>
  <si>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</si>
  <si>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</si>
  <si>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</si>
  <si>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</si>
  <si>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</si>
  <si>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</si>
  <si>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</si>
  <si>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</si>
  <si>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</si>
  <si>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</si>
  <si>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</si>
  <si>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</si>
  <si>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</si>
  <si>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</si>
  <si>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</si>
  <si>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</si>
  <si>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</si>
  <si>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</si>
  <si>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</si>
  <si>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</si>
  <si>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</si>
  <si>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</si>
  <si>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</si>
  <si>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</si>
  <si>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</si>
  <si>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</si>
  <si>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</si>
  <si>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</si>
  <si>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</si>
  <si>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</si>
  <si>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</si>
  <si>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</si>
  <si>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</si>
  <si>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</si>
  <si>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</si>
  <si>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</si>
  <si>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</si>
  <si>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</si>
  <si>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</si>
  <si>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</si>
  <si>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</si>
  <si>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</si>
  <si>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</si>
  <si>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</si>
  <si>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</si>
  <si>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</si>
  <si>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</si>
  <si>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</si>
  <si>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</si>
  <si>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</si>
  <si>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</si>
  <si>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</si>
  <si>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</si>
  <si>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</si>
  <si>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</si>
  <si>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</si>
  <si>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</si>
  <si>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</si>
  <si>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</si>
  <si>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</si>
  <si>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</si>
  <si>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</si>
  <si>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</si>
  <si>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</si>
  <si>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</si>
  <si>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</si>
  <si>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</si>
  <si>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</si>
  <si>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</si>
  <si>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</si>
  <si>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</si>
  <si>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</si>
  <si>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</si>
  <si>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</si>
  <si>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</si>
  <si>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</si>
  <si>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</si>
  <si>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</si>
  <si>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</si>
  <si>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</si>
  <si>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</si>
  <si>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</si>
  <si>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</si>
  <si>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</si>
  <si>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</si>
  <si>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</si>
  <si>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</si>
  <si>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</si>
  <si>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</si>
  <si>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</si>
  <si>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</si>
  <si>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</si>
  <si>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</si>
  <si>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</si>
  <si>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</si>
  <si>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</si>
  <si>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</si>
  <si>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</si>
  <si>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</si>
  <si>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</si>
  <si>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</si>
  <si>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</si>
  <si>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</si>
  <si>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</si>
  <si>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</si>
  <si>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</si>
  <si>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</si>
  <si>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</si>
  <si>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</si>
  <si>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</si>
  <si>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</si>
  <si>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</si>
  <si>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</si>
  <si>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</si>
  <si>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</si>
  <si>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</si>
  <si>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</si>
  <si>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</si>
  <si>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</si>
  <si>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</si>
  <si>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</si>
  <si>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</si>
  <si>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</si>
  <si>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</si>
  <si>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</si>
  <si>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</si>
  <si>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</si>
  <si>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</si>
  <si>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</si>
  <si>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</si>
  <si>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</si>
  <si>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</si>
  <si>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</si>
  <si>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</si>
  <si>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</si>
  <si>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</si>
  <si>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</si>
  <si>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</si>
  <si>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</si>
  <si>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</si>
  <si>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</si>
  <si>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</si>
  <si>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</si>
  <si>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</si>
  <si>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</si>
  <si>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</si>
  <si>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</si>
  <si>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</si>
  <si>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</si>
  <si>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</si>
  <si>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</si>
  <si>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</si>
  <si>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</si>
  <si>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</si>
  <si>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</si>
  <si>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</si>
  <si>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</si>
  <si>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</si>
  <si>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</si>
  <si>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</si>
  <si>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</si>
  <si>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</si>
  <si>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</si>
  <si>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</si>
  <si>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</si>
  <si>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</si>
  <si>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</si>
  <si>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</si>
  <si>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</si>
  <si>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</si>
  <si>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</si>
  <si>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</si>
  <si>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</si>
  <si>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</si>
  <si>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</si>
  <si>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</si>
  <si>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</si>
  <si>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</si>
  <si>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</si>
  <si>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</si>
  <si>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</si>
  <si>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</si>
  <si>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</si>
  <si>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</si>
  <si>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</si>
  <si>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</si>
  <si>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</si>
  <si>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</si>
  <si>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</si>
  <si>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</si>
  <si>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</si>
  <si>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</si>
  <si>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</si>
  <si>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</si>
  <si>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</si>
  <si>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</si>
  <si>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</si>
  <si>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</si>
  <si>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</si>
  <si>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</si>
  <si>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</si>
  <si>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</si>
  <si>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</si>
  <si>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</si>
  <si>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</si>
  <si>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</si>
  <si>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</si>
  <si>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</si>
  <si>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</si>
  <si>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</si>
  <si>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</si>
  <si>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</si>
  <si>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</si>
  <si>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</si>
  <si>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</si>
  <si>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</si>
  <si>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</si>
  <si>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</si>
  <si>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</si>
  <si>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</si>
  <si>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</si>
  <si>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</si>
  <si>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</si>
  <si>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</si>
  <si>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</si>
  <si>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</si>
  <si>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</si>
  <si>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</si>
  <si>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</si>
  <si>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</si>
  <si>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</si>
  <si>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</si>
  <si>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</si>
  <si>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</si>
  <si>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</si>
  <si>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</si>
  <si>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</si>
  <si>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</si>
  <si>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</si>
  <si>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</si>
  <si>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</si>
  <si>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</si>
  <si>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</si>
  <si>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</si>
  <si>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</si>
  <si>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</si>
  <si>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</si>
  <si>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</si>
  <si>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</si>
  <si>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</si>
  <si>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</si>
  <si>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</si>
  <si>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</si>
  <si>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</si>
  <si>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</si>
  <si>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</si>
  <si>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</si>
  <si>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</si>
  <si>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</si>
  <si>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</si>
  <si>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</si>
  <si>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</si>
  <si>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</si>
  <si>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</si>
  <si>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</si>
  <si>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</si>
  <si>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</si>
  <si>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</si>
  <si>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</si>
  <si>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</si>
  <si>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</si>
  <si>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</si>
  <si>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</si>
  <si>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</si>
  <si>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</si>
  <si>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</si>
  <si>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</si>
  <si>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</si>
  <si>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</si>
  <si>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</si>
  <si>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</si>
  <si>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</si>
  <si>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</si>
  <si>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</si>
  <si>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</si>
  <si>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</si>
  <si>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</si>
  <si>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</si>
  <si>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</si>
  <si>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</si>
  <si>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</si>
  <si>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</si>
  <si>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</si>
  <si>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</si>
  <si>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</si>
  <si>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</si>
  <si>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</si>
  <si>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</si>
  <si>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</si>
  <si>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</si>
  <si>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</si>
  <si>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</si>
  <si>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</si>
  <si>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</si>
  <si>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</si>
  <si>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</si>
  <si>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</si>
  <si>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</si>
  <si>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</si>
  <si>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</si>
  <si>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</si>
  <si>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</si>
  <si>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</si>
  <si>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</si>
  <si>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</si>
  <si>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</si>
  <si>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</si>
  <si>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</si>
  <si>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</si>
  <si>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</si>
  <si>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</si>
  <si>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</si>
  <si>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</si>
  <si>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</si>
  <si>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</si>
  <si>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</si>
  <si>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</si>
  <si>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</si>
  <si>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</si>
  <si>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</si>
  <si>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</si>
  <si>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</si>
  <si>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</si>
  <si>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</si>
  <si>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</si>
  <si>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</si>
  <si>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</si>
  <si>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</si>
  <si>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</si>
  <si>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</si>
  <si>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</si>
  <si>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</si>
  <si>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</si>
  <si>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</si>
  <si>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</si>
  <si>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</si>
  <si>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</si>
  <si>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</si>
  <si>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</si>
  <si>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</si>
  <si>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</si>
  <si>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</si>
  <si>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</si>
  <si>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</si>
  <si>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</si>
  <si>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</si>
  <si>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</si>
  <si>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</si>
  <si>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</si>
  <si>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</si>
  <si>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</si>
  <si>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</si>
  <si>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</si>
  <si>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</si>
  <si>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</si>
  <si>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</si>
  <si>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</si>
  <si>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</si>
  <si>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</si>
  <si>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</si>
  <si>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</si>
  <si>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</si>
  <si>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</si>
  <si>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</si>
  <si>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</si>
  <si>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</si>
  <si>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</si>
  <si>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</si>
  <si>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</si>
  <si>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</si>
  <si>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</si>
  <si>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</si>
  <si>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</si>
  <si>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</si>
  <si>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</si>
  <si>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</si>
  <si>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</si>
  <si>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</si>
  <si>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</si>
  <si>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</si>
  <si>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</si>
  <si>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</si>
  <si>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</si>
  <si>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</si>
  <si>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</si>
  <si>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</si>
  <si>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</si>
  <si>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</si>
  <si>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</si>
  <si>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</si>
  <si>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</si>
  <si>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</si>
  <si>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</si>
  <si>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</si>
  <si>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</si>
  <si>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</si>
  <si>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</si>
  <si>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</si>
  <si>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</si>
  <si>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</si>
  <si>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</si>
  <si>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</si>
  <si>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</si>
  <si>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</si>
  <si>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</si>
  <si>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</si>
  <si>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</si>
  <si>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</si>
  <si>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</si>
  <si>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</si>
  <si>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</si>
  <si>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</si>
  <si>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</si>
  <si>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</si>
  <si>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</si>
  <si>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</si>
  <si>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</si>
  <si>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</si>
  <si>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</si>
  <si>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</si>
  <si>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</si>
  <si>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</si>
  <si>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</si>
  <si>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</si>
  <si>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</si>
  <si>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</si>
  <si>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</si>
  <si>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</si>
  <si>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</si>
  <si>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</si>
  <si>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</si>
  <si>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</si>
  <si>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</si>
  <si>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</si>
  <si>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</si>
  <si>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</si>
  <si>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</si>
  <si>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</si>
  <si>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</si>
  <si>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</si>
  <si>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</si>
  <si>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</si>
  <si>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</si>
  <si>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</si>
  <si>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</si>
  <si>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</si>
  <si>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</si>
  <si>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</si>
  <si>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</si>
  <si>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</si>
  <si>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</si>
  <si>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</si>
  <si>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</si>
  <si>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</si>
  <si>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</si>
  <si>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</si>
  <si>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</si>
  <si>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</si>
  <si>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</si>
  <si>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</si>
  <si>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</si>
  <si>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</si>
  <si>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</si>
  <si>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</si>
  <si>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</si>
  <si>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</si>
  <si>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</si>
  <si>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</si>
  <si>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</si>
  <si>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</si>
  <si>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</si>
  <si>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</si>
  <si>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</si>
  <si>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</si>
  <si>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</si>
  <si>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</si>
  <si>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</si>
  <si>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</si>
  <si>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</si>
  <si>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</si>
  <si>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</si>
  <si>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</si>
  <si>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</si>
  <si>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</si>
  <si>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</si>
  <si>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</si>
  <si>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</si>
  <si>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</si>
  <si>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</si>
  <si>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</si>
  <si>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</si>
  <si>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</si>
  <si>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</si>
  <si>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</si>
  <si>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</si>
  <si>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</si>
  <si>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</si>
  <si>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</si>
  <si>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</si>
  <si>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</si>
  <si>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</si>
  <si>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</si>
  <si>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</si>
  <si>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</si>
  <si>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</si>
  <si>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</si>
  <si>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</si>
  <si>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</si>
  <si>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</si>
  <si>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</si>
  <si>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</si>
  <si>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</si>
  <si>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</si>
  <si>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</si>
  <si>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</si>
  <si>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</si>
  <si>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</si>
  <si>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</si>
  <si>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</si>
  <si>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</si>
  <si>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</si>
  <si>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</si>
  <si>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</si>
  <si>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</si>
  <si>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</si>
  <si>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</si>
  <si>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</si>
  <si>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</si>
  <si>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</si>
  <si>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</si>
  <si>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</si>
  <si>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</si>
  <si>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</si>
  <si>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</si>
  <si>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</si>
  <si>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</si>
  <si>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</si>
  <si>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</si>
  <si>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</si>
  <si>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</si>
  <si>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</si>
  <si>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</si>
  <si>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</si>
  <si>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</si>
  <si>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</si>
  <si>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</si>
  <si>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</si>
  <si>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</si>
  <si>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</si>
  <si>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</si>
  <si>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</si>
  <si>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</si>
  <si>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</si>
  <si>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</si>
  <si>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</si>
  <si>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</si>
  <si>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</si>
  <si>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</si>
  <si>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</si>
  <si>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</si>
  <si>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</si>
  <si>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</si>
  <si>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</si>
  <si>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</si>
  <si>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</si>
  <si>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</si>
  <si>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</si>
  <si>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</si>
  <si>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</si>
  <si>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</si>
  <si>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</si>
  <si>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</si>
  <si>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</si>
  <si>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</si>
  <si>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</si>
  <si>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</si>
  <si>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</si>
  <si>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</si>
  <si>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</si>
  <si>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</si>
  <si>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</si>
  <si>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</si>
  <si>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</si>
  <si>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</si>
  <si>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</si>
  <si>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</si>
  <si>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</si>
  <si>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</si>
  <si>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</si>
  <si>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</si>
  <si>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</si>
  <si>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</si>
  <si>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</si>
  <si>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</si>
  <si>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</si>
  <si>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</si>
  <si>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</si>
  <si>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</si>
  <si>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</si>
  <si>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</si>
  <si>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</si>
  <si>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</si>
  <si>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</si>
  <si>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</si>
  <si>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</si>
  <si>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</si>
  <si>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</si>
  <si>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</si>
  <si>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</si>
  <si>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</si>
  <si>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</si>
  <si>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</si>
  <si>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</si>
  <si>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</si>
  <si>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</si>
  <si>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</si>
  <si>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</si>
  <si>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</si>
  <si>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</si>
  <si>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</si>
  <si>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</si>
  <si>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</si>
  <si>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</si>
  <si>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</si>
  <si>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</si>
  <si>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</si>
  <si>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</si>
  <si>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</si>
  <si>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</si>
  <si>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</si>
  <si>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</si>
  <si>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</si>
  <si>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</si>
  <si>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</si>
  <si>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</si>
  <si>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</si>
  <si>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</si>
  <si>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</si>
  <si>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</si>
  <si>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</si>
  <si>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</si>
  <si>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</si>
  <si>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</si>
  <si>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</si>
  <si>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</si>
  <si>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</si>
  <si>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</si>
  <si>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</si>
  <si>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</si>
  <si>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</si>
  <si>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</si>
  <si>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</si>
  <si>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</si>
  <si>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</si>
  <si>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</si>
  <si>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</si>
  <si>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</si>
  <si>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</si>
  <si>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</si>
  <si>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</si>
  <si>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</si>
  <si>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</si>
  <si>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</si>
  <si>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</si>
  <si>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</si>
  <si>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</si>
  <si>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</si>
  <si>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</si>
  <si>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</si>
  <si>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</si>
  <si>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</si>
  <si>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</si>
  <si>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</si>
  <si>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</si>
  <si>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</si>
  <si>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</si>
  <si>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</si>
  <si>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</si>
  <si>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</si>
  <si>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</si>
  <si>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</si>
  <si>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</si>
  <si>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</si>
  <si>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</si>
  <si>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</si>
  <si>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</si>
  <si>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</si>
  <si>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</si>
  <si>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</si>
  <si>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</si>
  <si>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</si>
  <si>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</si>
  <si>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</si>
  <si>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</si>
  <si>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</si>
  <si>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</si>
  <si>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</si>
  <si>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</si>
  <si>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</si>
  <si>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</si>
  <si>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</si>
  <si>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</si>
  <si>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</si>
  <si>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</si>
  <si>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</si>
  <si>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</si>
  <si>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</si>
  <si>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</si>
  <si>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</si>
  <si>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</si>
  <si>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</si>
  <si>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</si>
  <si>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</si>
  <si>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</si>
  <si>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</si>
  <si>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</si>
  <si>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</si>
  <si>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</si>
  <si>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</si>
  <si>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</si>
  <si>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</si>
  <si>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</si>
  <si>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</si>
  <si>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</si>
  <si>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</si>
  <si>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</si>
  <si>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</si>
  <si>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</si>
  <si>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</si>
  <si>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</si>
  <si>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</si>
  <si>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</si>
  <si>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</si>
  <si>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</si>
  <si>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</si>
  <si>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</si>
  <si>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</si>
  <si>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</si>
  <si>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</si>
  <si>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</si>
  <si>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</si>
  <si>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</si>
  <si>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</si>
  <si>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</si>
  <si>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</si>
  <si>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</si>
  <si>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</si>
  <si>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</si>
  <si>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</si>
  <si>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</si>
  <si>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</si>
  <si>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</si>
  <si>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</si>
  <si>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</si>
  <si>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</si>
  <si>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</si>
  <si>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</si>
  <si>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</si>
  <si>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</si>
  <si>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</si>
  <si>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</si>
  <si>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</si>
  <si>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</si>
  <si>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</si>
  <si>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</si>
  <si>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</si>
  <si>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</si>
  <si>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</si>
  <si>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</si>
  <si>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</si>
  <si>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</si>
  <si>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</si>
  <si>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</si>
  <si>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</si>
  <si>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</si>
  <si>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</si>
  <si>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</si>
  <si>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</si>
  <si>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</si>
  <si>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</si>
  <si>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</si>
  <si>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</si>
  <si>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</si>
  <si>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</si>
  <si>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</si>
  <si>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</si>
  <si>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</si>
  <si>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</si>
  <si>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</si>
  <si>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</si>
  <si>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</si>
  <si>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</si>
  <si>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</si>
  <si>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</si>
  <si>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</si>
  <si>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</si>
  <si>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</si>
  <si>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</si>
  <si>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</si>
  <si>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</si>
  <si>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</si>
  <si>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</si>
  <si>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</si>
  <si>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</si>
  <si>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</si>
  <si>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</si>
  <si>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</si>
  <si>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</si>
  <si>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</si>
  <si>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</si>
  <si>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</si>
  <si>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</si>
  <si>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</si>
  <si>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</si>
  <si>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</si>
  <si>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</si>
  <si>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</si>
  <si>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</si>
  <si>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</si>
  <si>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</si>
  <si>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</si>
  <si>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</si>
  <si>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</si>
  <si>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</si>
  <si>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</si>
  <si>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</si>
  <si>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</si>
  <si>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</si>
  <si>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</si>
  <si>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</si>
  <si>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</si>
  <si>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</si>
  <si>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</si>
  <si>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</si>
  <si>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</si>
  <si>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</si>
  <si>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</si>
  <si>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</si>
  <si>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</si>
  <si>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</si>
  <si>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</si>
  <si>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</si>
  <si>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</si>
  <si>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45035</t>
  </si>
  <si>
    <t>OUDENAARDE</t>
  </si>
  <si>
    <t>Paarden&amp;pony's 200 - 600 kg</t>
  </si>
  <si>
    <t>Paarden&amp;pony's &lt; 200 kg</t>
  </si>
  <si>
    <t>referentietaak LNE (2017); Jaarverslag De Lijn (2014)</t>
  </si>
  <si>
    <t>op basis van VEA (maart 2018) en Inventaris Hernieuwbare Energiebronnen (juni 2018)</t>
  </si>
  <si>
    <t>VEA (maart 2016)</t>
  </si>
  <si>
    <t>VEA (juni 2018)</t>
  </si>
  <si>
    <t>Marc Weyme</t>
  </si>
  <si>
    <t>Industriepark "De Bruwaan" 24 , 9700 Oudenaarde</t>
  </si>
  <si>
    <t>WKK-0262 EOC Belgium</t>
  </si>
  <si>
    <t>interne verbrandingsmotor</t>
  </si>
  <si>
    <t>WKK interne verbrandinsgmotor (gas)</t>
  </si>
  <si>
    <t>GASELWEST</t>
  </si>
  <si>
    <t>chemie</t>
  </si>
  <si>
    <t>Paul De Rycke</t>
  </si>
  <si>
    <t>Watermolenstraat 12 , 9700 Oudenaarde</t>
  </si>
  <si>
    <t>WKK-0393 Paul De Rycke</t>
  </si>
  <si>
    <t>stirlingmotor</t>
  </si>
  <si>
    <t>Raymond TSas</t>
  </si>
  <si>
    <t>Armenlos 6 , 9700 Oudenaarde</t>
  </si>
  <si>
    <t>WKK-0396 Raymond TSas</t>
  </si>
  <si>
    <t>Varkensbedrijf Nico Van Ryckeghem</t>
  </si>
  <si>
    <t>Rooigem 23 , 9700 Oudenaarde</t>
  </si>
  <si>
    <t>WKK-0572 Varkensbedrijf Nico Van Ryckeghem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</si>
</sst>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225937.20026316718</c:v>
                </c:pt>
                <c:pt idx="1">
                  <c:v>159027.13513408328</c:v>
                </c:pt>
                <c:pt idx="2">
                  <c:v>2437.6819999999998</c:v>
                </c:pt>
                <c:pt idx="3">
                  <c:v>7747.6387581942727</c:v>
                </c:pt>
                <c:pt idx="4">
                  <c:v>435806.92715706385</c:v>
                </c:pt>
                <c:pt idx="5">
                  <c:v>171894.06798969835</c:v>
                </c:pt>
                <c:pt idx="6">
                  <c:v>2586.6058682403736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16320"/>
        <c:axId val="143017856"/>
      </c:barChart>
      <c:catAx>
        <c:axId val="143016320"/>
        <c:scaling>
          <c:orientation val="minMax"/>
        </c:scaling>
        <c:axPos val="b"/>
        <c:numFmt formatCode="General" sourceLinked="0"/>
        <c:tickLblPos val="nextTo"/>
        <c:crossAx val="143017856"/>
        <c:crosses val="autoZero"/>
        <c:auto val="1"/>
        <c:lblAlgn val="ctr"/>
        <c:lblOffset val="100"/>
      </c:catAx>
      <c:valAx>
        <c:axId val="143017856"/>
        <c:scaling>
          <c:orientation val="minMax"/>
        </c:scaling>
        <c:axPos val="l"/>
        <c:majorGridlines/>
        <c:numFmt formatCode="#,##0" sourceLinked="1"/>
        <c:tickLblPos val="nextTo"/>
        <c:crossAx val="143016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225937.20026316718</c:v>
                </c:pt>
                <c:pt idx="1">
                  <c:v>159027.13513408328</c:v>
                </c:pt>
                <c:pt idx="2">
                  <c:v>2437.6819999999998</c:v>
                </c:pt>
                <c:pt idx="3">
                  <c:v>7747.6387581942727</c:v>
                </c:pt>
                <c:pt idx="4">
                  <c:v>435806.92715706385</c:v>
                </c:pt>
                <c:pt idx="5">
                  <c:v>171894.06798969835</c:v>
                </c:pt>
                <c:pt idx="6">
                  <c:v>2586.6058682403736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44995.89342748421</c:v>
                </c:pt>
                <c:pt idx="2">
                  <c:v>32021.930810314836</c:v>
                </c:pt>
                <c:pt idx="3">
                  <c:v>508.24904074472983</c:v>
                </c:pt>
                <c:pt idx="4">
                  <c:v>1946.2824604878849</c:v>
                </c:pt>
                <c:pt idx="5">
                  <c:v>86935.611306030725</c:v>
                </c:pt>
                <c:pt idx="6">
                  <c:v>43078.141982154557</c:v>
                </c:pt>
                <c:pt idx="7">
                  <c:v>653.3643051569195</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64160"/>
        <c:axId val="147170048"/>
      </c:barChart>
      <c:catAx>
        <c:axId val="147164160"/>
        <c:scaling>
          <c:orientation val="minMax"/>
        </c:scaling>
        <c:axPos val="b"/>
        <c:numFmt formatCode="General" sourceLinked="0"/>
        <c:tickLblPos val="nextTo"/>
        <c:crossAx val="147170048"/>
        <c:crosses val="autoZero"/>
        <c:auto val="1"/>
        <c:lblAlgn val="ctr"/>
        <c:lblOffset val="100"/>
      </c:catAx>
      <c:valAx>
        <c:axId val="147170048"/>
        <c:scaling>
          <c:orientation val="minMax"/>
        </c:scaling>
        <c:axPos val="l"/>
        <c:majorGridlines/>
        <c:numFmt formatCode="#,##0" sourceLinked="1"/>
        <c:tickLblPos val="nextTo"/>
        <c:crossAx val="147164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44995.89342748421</c:v>
                </c:pt>
                <c:pt idx="2">
                  <c:v>32021.930810314836</c:v>
                </c:pt>
                <c:pt idx="3">
                  <c:v>508.24904074472983</c:v>
                </c:pt>
                <c:pt idx="4">
                  <c:v>1946.2824604878849</c:v>
                </c:pt>
                <c:pt idx="5">
                  <c:v>86935.611306030725</c:v>
                </c:pt>
                <c:pt idx="6">
                  <c:v>43078.141982154557</c:v>
                </c:pt>
                <c:pt idx="7">
                  <c:v>653.3643051569195</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45035</v>
      </c>
      <c r="B6" s="416"/>
      <c r="C6" s="417"/>
    </row>
    <row r="7" spans="1:7" s="414" customFormat="1" ht="15.75" customHeight="1">
      <c r="A7" s="418" t="str">
        <f>txtMunicipality</f>
        <v>OUDENAARDE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0.20849685920670943</v>
      </c>
      <c r="C17" s="525">
        <f ca="1">'EF ele_warmte'!B22</f>
        <v>0.2375733654061262</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0.20849685920670943</v>
      </c>
      <c r="C29" s="526">
        <f ca="1">'EF ele_warmte'!B22</f>
        <v>0.2375733654061262</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45035</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13058</v>
      </c>
      <c r="C9" s="342">
        <v>13748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3785</v>
      </c>
    </row>
    <row r="15" spans="1:6">
      <c r="A15" s="348" t="s">
        <v>184</v>
      </c>
      <c r="B15" s="334">
        <v>32</v>
      </c>
    </row>
    <row r="16" spans="1:6">
      <c r="A16" s="348" t="s">
        <v>6</v>
      </c>
      <c r="B16" s="334">
        <v>1072</v>
      </c>
    </row>
    <row r="17" spans="1:6">
      <c r="A17" s="348" t="s">
        <v>7</v>
      </c>
      <c r="B17" s="334">
        <v>819</v>
      </c>
    </row>
    <row r="18" spans="1:6">
      <c r="A18" s="348" t="s">
        <v>8</v>
      </c>
      <c r="B18" s="334">
        <v>1207</v>
      </c>
    </row>
    <row r="19" spans="1:6">
      <c r="A19" s="348" t="s">
        <v>9</v>
      </c>
      <c r="B19" s="334">
        <v>1201</v>
      </c>
    </row>
    <row r="20" spans="1:6">
      <c r="A20" s="348" t="s">
        <v>10</v>
      </c>
      <c r="B20" s="334">
        <v>770</v>
      </c>
    </row>
    <row r="21" spans="1:6">
      <c r="A21" s="348" t="s">
        <v>11</v>
      </c>
      <c r="B21" s="334">
        <v>1839</v>
      </c>
    </row>
    <row r="22" spans="1:6">
      <c r="A22" s="348" t="s">
        <v>12</v>
      </c>
      <c r="B22" s="334">
        <v>5220</v>
      </c>
    </row>
    <row r="23" spans="1:6">
      <c r="A23" s="348" t="s">
        <v>13</v>
      </c>
      <c r="B23" s="334">
        <v>190</v>
      </c>
    </row>
    <row r="24" spans="1:6">
      <c r="A24" s="348" t="s">
        <v>14</v>
      </c>
      <c r="B24" s="334">
        <v>11</v>
      </c>
    </row>
    <row r="25" spans="1:6">
      <c r="A25" s="348" t="s">
        <v>15</v>
      </c>
      <c r="B25" s="334">
        <v>527</v>
      </c>
    </row>
    <row r="26" spans="1:6">
      <c r="A26" s="348" t="s">
        <v>16</v>
      </c>
      <c r="B26" s="334">
        <v>65</v>
      </c>
    </row>
    <row r="27" spans="1:6">
      <c r="A27" s="348" t="s">
        <v>17</v>
      </c>
      <c r="B27" s="334">
        <v>5</v>
      </c>
    </row>
    <row r="28" spans="1:6" s="356" customFormat="1">
      <c r="A28" s="355" t="s">
        <v>18</v>
      </c>
      <c r="B28" s="355">
        <v>215142</v>
      </c>
    </row>
    <row r="29" spans="1:6">
      <c r="A29" s="355" t="s">
        <v>901</v>
      </c>
      <c r="B29" s="355">
        <v>69</v>
      </c>
      <c r="C29" s="356"/>
      <c r="D29" s="356"/>
      <c r="E29" s="356"/>
      <c r="F29" s="356"/>
    </row>
    <row r="30" spans="1:6">
      <c r="A30" s="341" t="s">
        <v>902</v>
      </c>
      <c r="B30" s="341">
        <v>30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5</v>
      </c>
      <c r="F35" s="334">
        <v>30671.53</v>
      </c>
    </row>
    <row r="36" spans="1:6">
      <c r="A36" s="348" t="s">
        <v>25</v>
      </c>
      <c r="B36" s="348" t="s">
        <v>27</v>
      </c>
      <c r="C36" s="334">
        <v>0</v>
      </c>
      <c r="D36" s="334">
        <v>0</v>
      </c>
      <c r="E36" s="334">
        <v>7</v>
      </c>
      <c r="F36" s="334">
        <v>31885.43</v>
      </c>
    </row>
    <row r="37" spans="1:6">
      <c r="A37" s="348" t="s">
        <v>25</v>
      </c>
      <c r="B37" s="348" t="s">
        <v>28</v>
      </c>
      <c r="C37" s="334">
        <v>0</v>
      </c>
      <c r="D37" s="334">
        <v>0</v>
      </c>
      <c r="E37" s="334">
        <v>0</v>
      </c>
      <c r="F37" s="334">
        <v>0</v>
      </c>
    </row>
    <row r="38" spans="1:6">
      <c r="A38" s="348" t="s">
        <v>25</v>
      </c>
      <c r="B38" s="348" t="s">
        <v>29</v>
      </c>
      <c r="C38" s="334">
        <v>3</v>
      </c>
      <c r="D38" s="334">
        <v>110202.055069649</v>
      </c>
      <c r="E38" s="334">
        <v>1</v>
      </c>
      <c r="F38" s="334">
        <v>178975.9</v>
      </c>
    </row>
    <row r="39" spans="1:6">
      <c r="A39" s="348" t="s">
        <v>30</v>
      </c>
      <c r="B39" s="348" t="s">
        <v>31</v>
      </c>
      <c r="C39" s="334">
        <v>7737</v>
      </c>
      <c r="D39" s="334">
        <v>107456892.82248899</v>
      </c>
      <c r="E39" s="334">
        <v>12851</v>
      </c>
      <c r="F39" s="334">
        <v>50827966</v>
      </c>
    </row>
    <row r="40" spans="1:6">
      <c r="A40" s="348" t="s">
        <v>30</v>
      </c>
      <c r="B40" s="348" t="s">
        <v>29</v>
      </c>
      <c r="C40" s="334">
        <v>1</v>
      </c>
      <c r="D40" s="334">
        <v>39832.4743597044</v>
      </c>
      <c r="E40" s="334">
        <v>1</v>
      </c>
      <c r="F40" s="334">
        <v>18438.87</v>
      </c>
    </row>
    <row r="41" spans="1:6">
      <c r="A41" s="348" t="s">
        <v>32</v>
      </c>
      <c r="B41" s="348" t="s">
        <v>33</v>
      </c>
      <c r="C41" s="334">
        <v>151</v>
      </c>
      <c r="D41" s="334">
        <v>7966777.2262498103</v>
      </c>
      <c r="E41" s="334">
        <v>300</v>
      </c>
      <c r="F41" s="334">
        <v>11894448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12</v>
      </c>
      <c r="D44" s="334">
        <v>1061519.4128060399</v>
      </c>
      <c r="E44" s="334">
        <v>41</v>
      </c>
      <c r="F44" s="334">
        <v>3313800</v>
      </c>
    </row>
    <row r="45" spans="1:6">
      <c r="A45" s="348" t="s">
        <v>32</v>
      </c>
      <c r="B45" s="348" t="s">
        <v>37</v>
      </c>
      <c r="C45" s="334">
        <v>0</v>
      </c>
      <c r="D45" s="334">
        <v>0</v>
      </c>
      <c r="E45" s="334">
        <v>10</v>
      </c>
      <c r="F45" s="334">
        <v>8346563</v>
      </c>
    </row>
    <row r="46" spans="1:6">
      <c r="A46" s="348" t="s">
        <v>32</v>
      </c>
      <c r="B46" s="348" t="s">
        <v>38</v>
      </c>
      <c r="C46" s="334">
        <v>0</v>
      </c>
      <c r="D46" s="334">
        <v>0</v>
      </c>
      <c r="E46" s="334">
        <v>0</v>
      </c>
      <c r="F46" s="334">
        <v>0</v>
      </c>
    </row>
    <row r="47" spans="1:6">
      <c r="A47" s="348" t="s">
        <v>32</v>
      </c>
      <c r="B47" s="348" t="s">
        <v>39</v>
      </c>
      <c r="C47" s="334">
        <v>5</v>
      </c>
      <c r="D47" s="334">
        <v>420329.45728640398</v>
      </c>
      <c r="E47" s="334">
        <v>13</v>
      </c>
      <c r="F47" s="334">
        <v>1440615</v>
      </c>
    </row>
    <row r="48" spans="1:6">
      <c r="A48" s="348" t="s">
        <v>32</v>
      </c>
      <c r="B48" s="348" t="s">
        <v>29</v>
      </c>
      <c r="C48" s="334">
        <v>50</v>
      </c>
      <c r="D48" s="334">
        <v>177961473.48893601</v>
      </c>
      <c r="E48" s="334">
        <v>51</v>
      </c>
      <c r="F48" s="334">
        <v>113000000</v>
      </c>
    </row>
    <row r="49" spans="1:6">
      <c r="A49" s="348" t="s">
        <v>32</v>
      </c>
      <c r="B49" s="348" t="s">
        <v>40</v>
      </c>
      <c r="C49" s="334">
        <v>0</v>
      </c>
      <c r="D49" s="334">
        <v>0</v>
      </c>
      <c r="E49" s="334">
        <v>7</v>
      </c>
      <c r="F49" s="334">
        <v>12083987</v>
      </c>
    </row>
    <row r="50" spans="1:6">
      <c r="A50" s="348" t="s">
        <v>32</v>
      </c>
      <c r="B50" s="348" t="s">
        <v>41</v>
      </c>
      <c r="C50" s="334">
        <v>23</v>
      </c>
      <c r="D50" s="334">
        <v>18855619.517464899</v>
      </c>
      <c r="E50" s="334">
        <v>44</v>
      </c>
      <c r="F50" s="334">
        <v>8355416</v>
      </c>
    </row>
    <row r="51" spans="1:6">
      <c r="A51" s="348" t="s">
        <v>42</v>
      </c>
      <c r="B51" s="348" t="s">
        <v>43</v>
      </c>
      <c r="C51" s="334">
        <v>28</v>
      </c>
      <c r="D51" s="334">
        <v>526257.89310682099</v>
      </c>
      <c r="E51" s="334">
        <v>129</v>
      </c>
      <c r="F51" s="334">
        <v>1857122</v>
      </c>
    </row>
    <row r="52" spans="1:6">
      <c r="A52" s="348" t="s">
        <v>42</v>
      </c>
      <c r="B52" s="348" t="s">
        <v>29</v>
      </c>
      <c r="C52" s="334">
        <v>8</v>
      </c>
      <c r="D52" s="334">
        <v>155018.959489706</v>
      </c>
      <c r="E52" s="334">
        <v>9</v>
      </c>
      <c r="F52" s="334">
        <v>84136.5</v>
      </c>
    </row>
    <row r="53" spans="1:6">
      <c r="A53" s="348" t="s">
        <v>44</v>
      </c>
      <c r="B53" s="348" t="s">
        <v>45</v>
      </c>
      <c r="C53" s="334">
        <v>318</v>
      </c>
      <c r="D53" s="334">
        <v>14145915.482788</v>
      </c>
      <c r="E53" s="334">
        <v>603</v>
      </c>
      <c r="F53" s="334">
        <v>5508095</v>
      </c>
    </row>
    <row r="54" spans="1:6">
      <c r="A54" s="348" t="s">
        <v>46</v>
      </c>
      <c r="B54" s="348" t="s">
        <v>47</v>
      </c>
      <c r="C54" s="334">
        <v>0</v>
      </c>
      <c r="D54" s="334">
        <v>0</v>
      </c>
      <c r="E54" s="334">
        <v>1</v>
      </c>
      <c r="F54" s="334">
        <v>2437682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116</v>
      </c>
      <c r="D57" s="334">
        <v>7556993.6886839196</v>
      </c>
      <c r="E57" s="334">
        <v>266</v>
      </c>
      <c r="F57" s="334">
        <v>5875828</v>
      </c>
    </row>
    <row r="58" spans="1:6">
      <c r="A58" s="348" t="s">
        <v>49</v>
      </c>
      <c r="B58" s="348" t="s">
        <v>51</v>
      </c>
      <c r="C58" s="334">
        <v>65</v>
      </c>
      <c r="D58" s="334">
        <v>6214187.2833287604</v>
      </c>
      <c r="E58" s="334">
        <v>95</v>
      </c>
      <c r="F58" s="334">
        <v>4704477</v>
      </c>
    </row>
    <row r="59" spans="1:6">
      <c r="A59" s="348" t="s">
        <v>49</v>
      </c>
      <c r="B59" s="348" t="s">
        <v>52</v>
      </c>
      <c r="C59" s="334">
        <v>307</v>
      </c>
      <c r="D59" s="334">
        <v>10279602.053131601</v>
      </c>
      <c r="E59" s="334">
        <v>542</v>
      </c>
      <c r="F59" s="334">
        <v>21102200</v>
      </c>
    </row>
    <row r="60" spans="1:6">
      <c r="A60" s="348" t="s">
        <v>49</v>
      </c>
      <c r="B60" s="348" t="s">
        <v>53</v>
      </c>
      <c r="C60" s="334">
        <v>139</v>
      </c>
      <c r="D60" s="334">
        <v>6156312.50479024</v>
      </c>
      <c r="E60" s="334">
        <v>199</v>
      </c>
      <c r="F60" s="334">
        <v>5225553</v>
      </c>
    </row>
    <row r="61" spans="1:6">
      <c r="A61" s="348" t="s">
        <v>49</v>
      </c>
      <c r="B61" s="348" t="s">
        <v>54</v>
      </c>
      <c r="C61" s="334">
        <v>357</v>
      </c>
      <c r="D61" s="334">
        <v>67208418.240061998</v>
      </c>
      <c r="E61" s="334">
        <v>707</v>
      </c>
      <c r="F61" s="334">
        <v>9890215</v>
      </c>
    </row>
    <row r="62" spans="1:6">
      <c r="A62" s="348" t="s">
        <v>49</v>
      </c>
      <c r="B62" s="348" t="s">
        <v>55</v>
      </c>
      <c r="C62" s="334">
        <v>36</v>
      </c>
      <c r="D62" s="334">
        <v>4927420.4088216703</v>
      </c>
      <c r="E62" s="334">
        <v>49</v>
      </c>
      <c r="F62" s="334">
        <v>1786302</v>
      </c>
    </row>
    <row r="63" spans="1:6">
      <c r="A63" s="348" t="s">
        <v>49</v>
      </c>
      <c r="B63" s="348" t="s">
        <v>29</v>
      </c>
      <c r="C63" s="334">
        <v>85</v>
      </c>
      <c r="D63" s="334">
        <v>3294013.86229586</v>
      </c>
      <c r="E63" s="334">
        <v>90</v>
      </c>
      <c r="F63" s="334">
        <v>2301845</v>
      </c>
    </row>
    <row r="64" spans="1:6">
      <c r="A64" s="348" t="s">
        <v>56</v>
      </c>
      <c r="B64" s="348" t="s">
        <v>57</v>
      </c>
      <c r="C64" s="334">
        <v>0</v>
      </c>
      <c r="D64" s="334">
        <v>0</v>
      </c>
      <c r="E64" s="334">
        <v>0</v>
      </c>
      <c r="F64" s="334">
        <v>0</v>
      </c>
    </row>
    <row r="65" spans="1:6">
      <c r="A65" s="348" t="s">
        <v>56</v>
      </c>
      <c r="B65" s="348" t="s">
        <v>29</v>
      </c>
      <c r="C65" s="334">
        <v>5</v>
      </c>
      <c r="D65" s="334">
        <v>209700.484241606</v>
      </c>
      <c r="E65" s="334">
        <v>2</v>
      </c>
      <c r="F65" s="334">
        <v>6726.7650000000003</v>
      </c>
    </row>
    <row r="66" spans="1:6">
      <c r="A66" s="348" t="s">
        <v>56</v>
      </c>
      <c r="B66" s="348" t="s">
        <v>58</v>
      </c>
      <c r="C66" s="334">
        <v>3</v>
      </c>
      <c r="D66" s="334">
        <v>447602.219310652</v>
      </c>
      <c r="E66" s="334">
        <v>17</v>
      </c>
      <c r="F66" s="334">
        <v>635247.1</v>
      </c>
    </row>
    <row r="67" spans="1:6">
      <c r="A67" s="355" t="s">
        <v>56</v>
      </c>
      <c r="B67" s="355" t="s">
        <v>59</v>
      </c>
      <c r="C67" s="334">
        <v>0</v>
      </c>
      <c r="D67" s="334">
        <v>0</v>
      </c>
      <c r="E67" s="334">
        <v>0</v>
      </c>
      <c r="F67" s="334">
        <v>0</v>
      </c>
    </row>
    <row r="68" spans="1:6">
      <c r="A68" s="341" t="s">
        <v>56</v>
      </c>
      <c r="B68" s="341" t="s">
        <v>60</v>
      </c>
      <c r="C68" s="334">
        <v>8</v>
      </c>
      <c r="D68" s="334">
        <v>315307.48330053798</v>
      </c>
      <c r="E68" s="334">
        <v>30</v>
      </c>
      <c r="F68" s="334">
        <v>758502.8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158848082</v>
      </c>
      <c r="E73" s="476">
        <v>173768704.39472911</v>
      </c>
    </row>
    <row r="74" spans="1:6">
      <c r="A74" s="348" t="s">
        <v>64</v>
      </c>
      <c r="B74" s="348" t="s">
        <v>714</v>
      </c>
      <c r="C74" s="1311" t="s">
        <v>716</v>
      </c>
      <c r="D74" s="476">
        <v>17132931.578980722</v>
      </c>
      <c r="E74" s="476">
        <v>18351861.508711409</v>
      </c>
    </row>
    <row r="75" spans="1:6">
      <c r="A75" s="348" t="s">
        <v>65</v>
      </c>
      <c r="B75" s="348" t="s">
        <v>713</v>
      </c>
      <c r="C75" s="1311" t="s">
        <v>717</v>
      </c>
      <c r="D75" s="476">
        <v>33520128</v>
      </c>
      <c r="E75" s="476">
        <v>37058091.077599831</v>
      </c>
    </row>
    <row r="76" spans="1:6">
      <c r="A76" s="348" t="s">
        <v>65</v>
      </c>
      <c r="B76" s="348" t="s">
        <v>714</v>
      </c>
      <c r="C76" s="1311" t="s">
        <v>718</v>
      </c>
      <c r="D76" s="476">
        <v>622862.57898072002</v>
      </c>
      <c r="E76" s="476">
        <v>705206.75228192704</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691202.84203855996</v>
      </c>
      <c r="C83" s="476">
        <v>701305.30261834257</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4433.8974440062566</v>
      </c>
    </row>
    <row r="92" spans="1:6">
      <c r="A92" s="341" t="s">
        <v>69</v>
      </c>
      <c r="B92" s="342">
        <v>11617.379783882736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3773</v>
      </c>
    </row>
    <row r="98" spans="1:6">
      <c r="A98" s="348" t="s">
        <v>72</v>
      </c>
      <c r="B98" s="334">
        <v>0</v>
      </c>
    </row>
    <row r="99" spans="1:6">
      <c r="A99" s="348" t="s">
        <v>73</v>
      </c>
      <c r="B99" s="334">
        <v>254</v>
      </c>
    </row>
    <row r="100" spans="1:6">
      <c r="A100" s="348" t="s">
        <v>74</v>
      </c>
      <c r="B100" s="334">
        <v>1056</v>
      </c>
    </row>
    <row r="101" spans="1:6">
      <c r="A101" s="348" t="s">
        <v>75</v>
      </c>
      <c r="B101" s="334">
        <v>140</v>
      </c>
    </row>
    <row r="102" spans="1:6">
      <c r="A102" s="348" t="s">
        <v>76</v>
      </c>
      <c r="B102" s="334">
        <v>192</v>
      </c>
    </row>
    <row r="103" spans="1:6">
      <c r="A103" s="348" t="s">
        <v>77</v>
      </c>
      <c r="B103" s="334">
        <v>423</v>
      </c>
    </row>
    <row r="104" spans="1:6">
      <c r="A104" s="348" t="s">
        <v>78</v>
      </c>
      <c r="B104" s="334">
        <v>5315</v>
      </c>
    </row>
    <row r="105" spans="1:6">
      <c r="A105" s="341" t="s">
        <v>79</v>
      </c>
      <c r="B105" s="341">
        <v>8</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309" t="s">
        <v>663</v>
      </c>
      <c r="B111" s="1310">
        <v>2</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27</v>
      </c>
      <c r="C123" s="334">
        <v>41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325</v>
      </c>
    </row>
    <row r="130" spans="1:6">
      <c r="A130" s="348" t="s">
        <v>295</v>
      </c>
      <c r="B130" s="334">
        <v>3</v>
      </c>
    </row>
    <row r="131" spans="1:6">
      <c r="A131" s="348" t="s">
        <v>296</v>
      </c>
      <c r="B131" s="334">
        <v>1</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278452.45155453356</v>
      </c>
      <c r="C3" s="43" t="s">
        <v>170</v>
      </c>
      <c r="D3" s="43"/>
      <c r="E3" s="154"/>
      <c r="F3" s="43"/>
      <c r="G3" s="43"/>
      <c r="H3" s="43"/>
      <c r="I3" s="43"/>
      <c r="J3" s="43"/>
      <c r="K3" s="96"/>
    </row>
    <row r="4" spans="1:11">
      <c r="A4" s="384" t="s">
        <v>171</v>
      </c>
      <c r="B4" s="49">
        <f>IF(ISERROR('SEAP template'!B78+'SEAP template'!C78),0,'SEAP template'!B78+'SEAP template'!C78)</f>
        <v>20021.627227888992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943.2494113402131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0.20849685920670943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1355.1354458026442</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5704.0714285714284</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0.2375733654061262</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2437.6819999999998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2437.6819999999998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0.20849685920670943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508.24904074472983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50846.404869999998</v>
      </c>
      <c r="C5" s="17">
        <f>IF(ISERROR('Eigen informatie GS &amp; warmtenet'!B57),0,'Eigen informatie GS &amp; warmtenet'!B57)</f>
        <v>0</v>
      </c>
      <c r="D5" s="30">
        <f>(SUM(HH_hh_gas_kWh,HH_rest_gas_kWh)/1000)*0.902</f>
        <v>96962.046217757525</v>
      </c>
      <c r="E5" s="17">
        <f>B46*B57</f>
        <v>9139.9662374298987</v>
      </c>
      <c r="F5" s="17">
        <f>B51*B62</f>
        <v>42992.692712031247</v>
      </c>
      <c r="G5" s="18"/>
      <c r="H5" s="17"/>
      <c r="I5" s="17"/>
      <c r="J5" s="17">
        <f>B50*B61+C50*C61</f>
        <v>932.11692943658511</v>
      </c>
      <c r="K5" s="17"/>
      <c r="L5" s="17"/>
      <c r="M5" s="17"/>
      <c r="N5" s="17">
        <f>B48*B59+C48*C59</f>
        <v>19104.562519172334</v>
      </c>
      <c r="O5" s="17">
        <f>B69*B70*B71</f>
        <v>572.18000000000006</v>
      </c>
      <c r="P5" s="17">
        <f>B77*B78*B79/1000-B77*B78*B79/1000/B80</f>
        <v>953.33333333333326</v>
      </c>
    </row>
    <row r="6" spans="1:16">
      <c r="A6" s="16" t="s">
        <v>631</v>
      </c>
      <c r="B6" s="789">
        <f>kWh_PV_kleiner_dan_10kW</f>
        <v>4433.8974440062566</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55280.302314006258</v>
      </c>
      <c r="C8" s="21">
        <f>C5</f>
        <v>0</v>
      </c>
      <c r="D8" s="21">
        <f>D5</f>
        <v>96962.046217757525</v>
      </c>
      <c r="E8" s="21">
        <f>E5</f>
        <v>9139.9662374298987</v>
      </c>
      <c r="F8" s="21">
        <f>F5</f>
        <v>42992.692712031247</v>
      </c>
      <c r="G8" s="21"/>
      <c r="H8" s="21"/>
      <c r="I8" s="21"/>
      <c r="J8" s="21">
        <f>J5</f>
        <v>932.11692943658511</v>
      </c>
      <c r="K8" s="21"/>
      <c r="L8" s="21">
        <f>L5</f>
        <v>0</v>
      </c>
      <c r="M8" s="21">
        <f>M5</f>
        <v>0</v>
      </c>
      <c r="N8" s="21">
        <f>N5</f>
        <v>19104.562519172334</v>
      </c>
      <c r="O8" s="21">
        <f>O5</f>
        <v>572.18000000000006</v>
      </c>
      <c r="P8" s="21">
        <f>P5</f>
        <v>953.33333333333326</v>
      </c>
    </row>
    <row r="9" spans="1:16">
      <c r="B9" s="19"/>
      <c r="C9" s="19"/>
      <c r="D9" s="258"/>
      <c r="E9" s="19"/>
      <c r="F9" s="19"/>
      <c r="G9" s="19"/>
      <c r="H9" s="19"/>
      <c r="I9" s="19"/>
      <c r="J9" s="19"/>
      <c r="K9" s="19"/>
      <c r="L9" s="19"/>
      <c r="M9" s="19"/>
      <c r="N9" s="19"/>
      <c r="O9" s="19"/>
      <c r="P9" s="19"/>
    </row>
    <row r="10" spans="1:16">
      <c r="A10" s="24" t="s">
        <v>214</v>
      </c>
      <c r="B10" s="25">
        <f ca="1">'EF ele_warmte'!B12</f>
        <v>0.20849685920670943</v>
      </c>
      <c r="C10" s="25">
        <f ca="1">'EF ele_warmte'!B22</f>
        <v>0.2375733654061262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11525.769408467697</v>
      </c>
      <c r="C12" s="23">
        <f ca="1">C10*C8</f>
        <v>0</v>
      </c>
      <c r="D12" s="23">
        <f>D8*D10</f>
        <v>19586.333335987023</v>
      </c>
      <c r="E12" s="23">
        <f>E10*E8</f>
        <v>2074.7723358965873</v>
      </c>
      <c r="F12" s="23">
        <f>F10*F8</f>
        <v>11479.048954112344</v>
      </c>
      <c r="G12" s="23"/>
      <c r="H12" s="23"/>
      <c r="I12" s="23"/>
      <c r="J12" s="23">
        <f>J10*J8</f>
        <v>329.96939302055114</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3773</v>
      </c>
      <c r="C18" s="166" t="s">
        <v>111</v>
      </c>
      <c r="D18" s="228"/>
      <c r="E18" s="15"/>
    </row>
    <row r="19" spans="1:7">
      <c r="A19" s="171" t="s">
        <v>72</v>
      </c>
      <c r="B19" s="37">
        <f>aantalw2001_ander</f>
        <v>0</v>
      </c>
      <c r="C19" s="166" t="s">
        <v>111</v>
      </c>
      <c r="D19" s="229"/>
      <c r="E19" s="15"/>
    </row>
    <row r="20" spans="1:7">
      <c r="A20" s="171" t="s">
        <v>73</v>
      </c>
      <c r="B20" s="37">
        <f>aantalw2001_propaan</f>
        <v>254</v>
      </c>
      <c r="C20" s="167">
        <f>IF(ISERROR(B20/SUM($B$20,$B$21,$B$22)*100),0,B20/SUM($B$20,$B$21,$B$22)*100)</f>
        <v>17.517241379310345</v>
      </c>
      <c r="D20" s="229"/>
      <c r="E20" s="15"/>
    </row>
    <row r="21" spans="1:7">
      <c r="A21" s="171" t="s">
        <v>74</v>
      </c>
      <c r="B21" s="37">
        <f>aantalw2001_elektriciteit</f>
        <v>1056</v>
      </c>
      <c r="C21" s="167">
        <f>IF(ISERROR(B21/SUM($B$20,$B$21,$B$22)*100),0,B21/SUM($B$20,$B$21,$B$22)*100)</f>
        <v>72.827586206896555</v>
      </c>
      <c r="D21" s="229"/>
      <c r="E21" s="15"/>
    </row>
    <row r="22" spans="1:7">
      <c r="A22" s="171" t="s">
        <v>75</v>
      </c>
      <c r="B22" s="37">
        <f>aantalw2001_hout</f>
        <v>140</v>
      </c>
      <c r="C22" s="167">
        <f>IF(ISERROR(B22/SUM($B$20,$B$21,$B$22)*100),0,B22/SUM($B$20,$B$21,$B$22)*100)</f>
        <v>9.6551724137931032</v>
      </c>
      <c r="D22" s="229"/>
      <c r="E22" s="15"/>
    </row>
    <row r="23" spans="1:7">
      <c r="A23" s="171" t="s">
        <v>76</v>
      </c>
      <c r="B23" s="37">
        <f>aantalw2001_niet_gespec</f>
        <v>192</v>
      </c>
      <c r="C23" s="166" t="s">
        <v>111</v>
      </c>
      <c r="D23" s="228"/>
      <c r="E23" s="15"/>
    </row>
    <row r="24" spans="1:7">
      <c r="A24" s="171" t="s">
        <v>77</v>
      </c>
      <c r="B24" s="37">
        <f>aantalw2001_steenkool</f>
        <v>423</v>
      </c>
      <c r="C24" s="166" t="s">
        <v>111</v>
      </c>
      <c r="D24" s="229"/>
      <c r="E24" s="15"/>
    </row>
    <row r="25" spans="1:7">
      <c r="A25" s="171" t="s">
        <v>78</v>
      </c>
      <c r="B25" s="37">
        <f>aantalw2001_stookolie</f>
        <v>5315</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740</v>
      </c>
      <c r="B28" s="37">
        <f>aantalHuishoudens2011</f>
        <v>13058</v>
      </c>
      <c r="C28" s="36"/>
      <c r="D28" s="228"/>
    </row>
    <row r="29" spans="1:7" s="15" customFormat="1">
      <c r="A29" s="230" t="s">
        <v>741</v>
      </c>
      <c r="B29" s="37">
        <f>SUM(HH_hh_gas_aantal,HH_rest_gas_aantal)</f>
        <v>7738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7738</v>
      </c>
      <c r="C32" s="167">
        <f>IF(ISERROR(B32/SUM($B$32,$B$34,$B$35,$B$36,$B$38,$B$39)*100),0,B32/SUM($B$32,$B$34,$B$35,$B$36,$B$38,$B$39)*100)</f>
        <v>59.486469864698641</v>
      </c>
      <c r="D32" s="233"/>
      <c r="G32" s="15"/>
    </row>
    <row r="33" spans="1:7">
      <c r="A33" s="171" t="s">
        <v>72</v>
      </c>
      <c r="B33" s="34" t="s">
        <v>111</v>
      </c>
      <c r="C33" s="167"/>
      <c r="D33" s="233"/>
      <c r="G33" s="15"/>
    </row>
    <row r="34" spans="1:7">
      <c r="A34" s="171" t="s">
        <v>73</v>
      </c>
      <c r="B34" s="33">
        <f>IF((($B$28-$B$32-$B$39-$B$77-$B$38)*C20/100)&lt;0,0,($B$28-$B$32-$B$39-$B$77-$B$38)*C20/100)</f>
        <v>612.57793103448273</v>
      </c>
      <c r="C34" s="167">
        <f>IF(ISERROR(B34/SUM($B$32,$B$34,$B$35,$B$36,$B$38,$B$39)*100),0,B34/SUM($B$32,$B$34,$B$35,$B$36,$B$38,$B$39)*100)</f>
        <v>4.7092399372269584</v>
      </c>
      <c r="D34" s="233"/>
      <c r="G34" s="15"/>
    </row>
    <row r="35" spans="1:7">
      <c r="A35" s="171" t="s">
        <v>74</v>
      </c>
      <c r="B35" s="33">
        <f>IF((($B$28-$B$32-$B$39-$B$77-$B$38)*C21/100)&lt;0,0,($B$28-$B$32-$B$39-$B$77-$B$38)*C21/100)</f>
        <v>2546.7806896551724</v>
      </c>
      <c r="C35" s="167">
        <f>IF(ISERROR(B35/SUM($B$32,$B$34,$B$35,$B$36,$B$38,$B$39)*100),0,B35/SUM($B$32,$B$34,$B$35,$B$36,$B$38,$B$39)*100)</f>
        <v>19.578572337447511</v>
      </c>
      <c r="D35" s="233"/>
      <c r="G35" s="15"/>
    </row>
    <row r="36" spans="1:7">
      <c r="A36" s="171" t="s">
        <v>75</v>
      </c>
      <c r="B36" s="33">
        <f>IF((($B$28-$B$32-$B$39-$B$77-$B$38)*C22/100)&lt;0,0,($B$28-$B$32-$B$39-$B$77-$B$38)*C22/100)</f>
        <v>337.64137931034486</v>
      </c>
      <c r="C36" s="167">
        <f>IF(ISERROR(B36/SUM($B$32,$B$34,$B$35,$B$36,$B$38,$B$39)*100),0,B36/SUM($B$32,$B$34,$B$35,$B$36,$B$38,$B$39)*100)</f>
        <v>2.5956440598888748</v>
      </c>
      <c r="D36" s="233"/>
      <c r="G36" s="15"/>
    </row>
    <row r="37" spans="1:7">
      <c r="A37" s="171" t="s">
        <v>76</v>
      </c>
      <c r="B37" s="34" t="s">
        <v>111</v>
      </c>
      <c r="C37" s="167"/>
      <c r="D37" s="173"/>
      <c r="G37" s="15"/>
    </row>
    <row r="38" spans="1:7">
      <c r="A38" s="171" t="s">
        <v>77</v>
      </c>
      <c r="B38" s="33">
        <f>IF((B24-(B29-B18)*0.1)&lt;0,0,B24-(B29-B18)*0.1)</f>
        <v>26.5</v>
      </c>
      <c r="C38" s="167">
        <f>IF(ISERROR(B38/SUM($B$32,$B$34,$B$35,$B$36,$B$38,$B$39)*100),0,B38/SUM($B$32,$B$34,$B$35,$B$36,$B$38,$B$39)*100)</f>
        <v>0.20372078720787209</v>
      </c>
      <c r="D38" s="234"/>
      <c r="G38" s="15"/>
    </row>
    <row r="39" spans="1:7">
      <c r="A39" s="171" t="s">
        <v>78</v>
      </c>
      <c r="B39" s="33">
        <f>IF((B25-(B29-B18))&lt;0,0,B25-(B29-B18)*0.9)</f>
        <v>1746.5</v>
      </c>
      <c r="C39" s="167">
        <f>IF(ISERROR(B39/SUM($B$32,$B$34,$B$35,$B$36,$B$38,$B$39)*100),0,B39/SUM($B$32,$B$34,$B$35,$B$36,$B$38,$B$39)*100)</f>
        <v>13.426353013530134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7738</v>
      </c>
      <c r="C44" s="34" t="s">
        <v>111</v>
      </c>
      <c r="D44" s="174"/>
    </row>
    <row r="45" spans="1:7">
      <c r="A45" s="171" t="s">
        <v>72</v>
      </c>
      <c r="B45" s="33" t="str">
        <f t="shared" si="0"/>
        <v>-</v>
      </c>
      <c r="C45" s="34" t="s">
        <v>111</v>
      </c>
      <c r="D45" s="174"/>
    </row>
    <row r="46" spans="1:7">
      <c r="A46" s="171" t="s">
        <v>73</v>
      </c>
      <c r="B46" s="33">
        <f t="shared" si="0"/>
        <v>612.57793103448273</v>
      </c>
      <c r="C46" s="34" t="s">
        <v>111</v>
      </c>
      <c r="D46" s="174"/>
    </row>
    <row r="47" spans="1:7">
      <c r="A47" s="171" t="s">
        <v>74</v>
      </c>
      <c r="B47" s="33">
        <f t="shared" si="0"/>
        <v>2546.7806896551724</v>
      </c>
      <c r="C47" s="34" t="s">
        <v>111</v>
      </c>
      <c r="D47" s="174"/>
    </row>
    <row r="48" spans="1:7">
      <c r="A48" s="171" t="s">
        <v>75</v>
      </c>
      <c r="B48" s="33">
        <f t="shared" si="0"/>
        <v>337.64137931034486</v>
      </c>
      <c r="C48" s="33">
        <f>B48*10</f>
        <v>3376.4137931034484</v>
      </c>
      <c r="D48" s="234"/>
    </row>
    <row r="49" spans="1:6">
      <c r="A49" s="171" t="s">
        <v>76</v>
      </c>
      <c r="B49" s="33" t="str">
        <f t="shared" si="0"/>
        <v>-</v>
      </c>
      <c r="C49" s="34" t="s">
        <v>111</v>
      </c>
      <c r="D49" s="234"/>
    </row>
    <row r="50" spans="1:6">
      <c r="A50" s="171" t="s">
        <v>77</v>
      </c>
      <c r="B50" s="33">
        <f t="shared" si="0"/>
        <v>26.5</v>
      </c>
      <c r="C50" s="33">
        <f>B50*2</f>
        <v>53</v>
      </c>
      <c r="D50" s="234"/>
    </row>
    <row r="51" spans="1:6">
      <c r="A51" s="171" t="s">
        <v>78</v>
      </c>
      <c r="B51" s="33">
        <f t="shared" si="0"/>
        <v>1746.5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366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50886.420000000006</v>
      </c>
      <c r="C5" s="17">
        <f>IF(ISERROR('Eigen informatie GS &amp; warmtenet'!B58),0,'Eigen informatie GS &amp; warmtenet'!B58)</f>
        <v>0</v>
      </c>
      <c r="D5" s="30">
        <f>SUM(D6:D12)</f>
        <v>95284.527133084877</v>
      </c>
      <c r="E5" s="17">
        <f>SUM(E6:E12)</f>
        <v>520.59069131425213</v>
      </c>
      <c r="F5" s="17">
        <f>SUM(F6:F12)</f>
        <v>7665.256540186796</v>
      </c>
      <c r="G5" s="18"/>
      <c r="H5" s="17"/>
      <c r="I5" s="17"/>
      <c r="J5" s="17">
        <f>SUM(J6:J12)</f>
        <v>0</v>
      </c>
      <c r="K5" s="17"/>
      <c r="L5" s="17"/>
      <c r="M5" s="17"/>
      <c r="N5" s="17">
        <f>SUM(N6:N12)</f>
        <v>4646.5841028306795</v>
      </c>
      <c r="O5" s="17">
        <f>B38*B39*B40</f>
        <v>4.6900000000000004</v>
      </c>
      <c r="P5" s="17">
        <f>B46*B47*B48/1000-B46*B47*B48/1000/B49</f>
        <v>19.066666666666666</v>
      </c>
      <c r="R5" s="32"/>
    </row>
    <row r="6" spans="1:18">
      <c r="A6" s="32" t="s">
        <v>54</v>
      </c>
      <c r="B6" s="37">
        <f>B26</f>
        <v>9890.2150000000001</v>
      </c>
      <c r="C6" s="33"/>
      <c r="D6" s="37">
        <f>IF(ISERROR(TER_kantoor_gas_kWh/1000),0,TER_kantoor_gas_kWh/1000)*0.902</f>
        <v>60621.993252535933</v>
      </c>
      <c r="E6" s="33">
        <f>$C$26*'E Balans VL '!I12/100/3.6*1000000</f>
        <v>28.653403955295783</v>
      </c>
      <c r="F6" s="33">
        <f>$C$26*('E Balans VL '!L12+'E Balans VL '!N12)/100/3.6*1000000</f>
        <v>1119.3544396693815</v>
      </c>
      <c r="G6" s="34"/>
      <c r="H6" s="33"/>
      <c r="I6" s="33"/>
      <c r="J6" s="33">
        <f>$C$26*('E Balans VL '!D12+'E Balans VL '!E12)/100/3.6*1000000</f>
        <v>0</v>
      </c>
      <c r="K6" s="33"/>
      <c r="L6" s="33"/>
      <c r="M6" s="33"/>
      <c r="N6" s="33">
        <f>$C$26*'E Balans VL '!Y12/100/3.6*1000000</f>
        <v>98.993764714212972</v>
      </c>
      <c r="O6" s="33"/>
      <c r="P6" s="33"/>
      <c r="R6" s="32"/>
    </row>
    <row r="7" spans="1:18">
      <c r="A7" s="32" t="s">
        <v>53</v>
      </c>
      <c r="B7" s="37">
        <f t="shared" ref="B7:B12" si="0">B27</f>
        <v>5225.5529999999999</v>
      </c>
      <c r="C7" s="33"/>
      <c r="D7" s="37">
        <f>IF(ISERROR(TER_horeca_gas_kWh/1000),0,TER_horeca_gas_kWh/1000)*0.902</f>
        <v>5552.9938793207966</v>
      </c>
      <c r="E7" s="33">
        <f>$C$27*'E Balans VL '!I9/100/3.6*1000000</f>
        <v>219.35411503346813</v>
      </c>
      <c r="F7" s="33">
        <f>$C$27*('E Balans VL '!L9+'E Balans VL '!N9)/100/3.6*1000000</f>
        <v>1122.8172221069151</v>
      </c>
      <c r="G7" s="34"/>
      <c r="H7" s="33"/>
      <c r="I7" s="33"/>
      <c r="J7" s="33">
        <f>$C$27*('E Balans VL '!D9+'E Balans VL '!E9)/100/3.6*1000000</f>
        <v>0</v>
      </c>
      <c r="K7" s="33"/>
      <c r="L7" s="33"/>
      <c r="M7" s="33"/>
      <c r="N7" s="33">
        <f>$C$27*'E Balans VL '!Y9/100/3.6*1000000</f>
        <v>1.3465793089811737</v>
      </c>
      <c r="O7" s="33"/>
      <c r="P7" s="33"/>
      <c r="R7" s="32"/>
    </row>
    <row r="8" spans="1:18">
      <c r="A8" s="6" t="s">
        <v>52</v>
      </c>
      <c r="B8" s="37">
        <f t="shared" si="0"/>
        <v>21102.2</v>
      </c>
      <c r="C8" s="33"/>
      <c r="D8" s="37">
        <f>IF(ISERROR(TER_handel_gas_kWh/1000),0,TER_handel_gas_kWh/1000)*0.902</f>
        <v>9272.2010519247033</v>
      </c>
      <c r="E8" s="33">
        <f>$C$28*'E Balans VL '!I13/100/3.6*1000000</f>
        <v>226.65519086180765</v>
      </c>
      <c r="F8" s="33">
        <f>$C$28*('E Balans VL '!L13+'E Balans VL '!N13)/100/3.6*1000000</f>
        <v>2731.854048375299</v>
      </c>
      <c r="G8" s="34"/>
      <c r="H8" s="33"/>
      <c r="I8" s="33"/>
      <c r="J8" s="33">
        <f>$C$28*('E Balans VL '!D13+'E Balans VL '!E13)/100/3.6*1000000</f>
        <v>0</v>
      </c>
      <c r="K8" s="33"/>
      <c r="L8" s="33"/>
      <c r="M8" s="33"/>
      <c r="N8" s="33">
        <f>$C$28*'E Balans VL '!Y13/100/3.6*1000000</f>
        <v>171.18219863021841</v>
      </c>
      <c r="O8" s="33"/>
      <c r="P8" s="33"/>
      <c r="R8" s="32"/>
    </row>
    <row r="9" spans="1:18">
      <c r="A9" s="32" t="s">
        <v>51</v>
      </c>
      <c r="B9" s="37">
        <f t="shared" si="0"/>
        <v>4704.4769999999999</v>
      </c>
      <c r="C9" s="33"/>
      <c r="D9" s="37">
        <f>IF(ISERROR(TER_gezond_gas_kWh/1000),0,TER_gezond_gas_kWh/1000)*0.902</f>
        <v>5605.1969295625422</v>
      </c>
      <c r="E9" s="33">
        <f>$C$29*'E Balans VL '!I10/100/3.6*1000000</f>
        <v>3.7450679694205271</v>
      </c>
      <c r="F9" s="33">
        <f>$C$29*('E Balans VL '!L10+'E Balans VL '!N10)/100/3.6*1000000</f>
        <v>571.89716516615999</v>
      </c>
      <c r="G9" s="34"/>
      <c r="H9" s="33"/>
      <c r="I9" s="33"/>
      <c r="J9" s="33">
        <f>$C$29*('E Balans VL '!D10+'E Balans VL '!E10)/100/3.6*1000000</f>
        <v>0</v>
      </c>
      <c r="K9" s="33"/>
      <c r="L9" s="33"/>
      <c r="M9" s="33"/>
      <c r="N9" s="33">
        <f>$C$29*'E Balans VL '!Y10/100/3.6*1000000</f>
        <v>38.001518836709934</v>
      </c>
      <c r="O9" s="33"/>
      <c r="P9" s="33"/>
      <c r="R9" s="32"/>
    </row>
    <row r="10" spans="1:18">
      <c r="A10" s="32" t="s">
        <v>50</v>
      </c>
      <c r="B10" s="37">
        <f t="shared" si="0"/>
        <v>5875.8280000000004</v>
      </c>
      <c r="C10" s="33"/>
      <c r="D10" s="37">
        <f>IF(ISERROR(TER_ander_gas_kWh/1000),0,TER_ander_gas_kWh/1000)*0.902</f>
        <v>6816.4083071928953</v>
      </c>
      <c r="E10" s="33">
        <f>$C$30*'E Balans VL '!I14/100/3.6*1000000</f>
        <v>20.136771232435141</v>
      </c>
      <c r="F10" s="33">
        <f>$C$30*('E Balans VL '!L14+'E Balans VL '!N14)/100/3.6*1000000</f>
        <v>1312.4212096758235</v>
      </c>
      <c r="G10" s="34"/>
      <c r="H10" s="33"/>
      <c r="I10" s="33"/>
      <c r="J10" s="33">
        <f>$C$30*('E Balans VL '!D14+'E Balans VL '!E14)/100/3.6*1000000</f>
        <v>0</v>
      </c>
      <c r="K10" s="33"/>
      <c r="L10" s="33"/>
      <c r="M10" s="33"/>
      <c r="N10" s="33">
        <f>$C$30*'E Balans VL '!Y14/100/3.6*1000000</f>
        <v>4138.9653422209158</v>
      </c>
      <c r="O10" s="33"/>
      <c r="P10" s="33"/>
      <c r="R10" s="32"/>
    </row>
    <row r="11" spans="1:18">
      <c r="A11" s="32" t="s">
        <v>55</v>
      </c>
      <c r="B11" s="37">
        <f t="shared" si="0"/>
        <v>1786.3019999999999</v>
      </c>
      <c r="C11" s="33"/>
      <c r="D11" s="37">
        <f>IF(ISERROR(TER_onderwijs_gas_kWh/1000),0,TER_onderwijs_gas_kWh/1000)*0.902</f>
        <v>4444.5332087571469</v>
      </c>
      <c r="E11" s="33">
        <f>$C$31*'E Balans VL '!I11/100/3.6*1000000</f>
        <v>1.2348155588280518</v>
      </c>
      <c r="F11" s="33">
        <f>$C$31*('E Balans VL '!L11+'E Balans VL '!N11)/100/3.6*1000000</f>
        <v>467.60197504762283</v>
      </c>
      <c r="G11" s="34"/>
      <c r="H11" s="33"/>
      <c r="I11" s="33"/>
      <c r="J11" s="33">
        <f>$C$31*('E Balans VL '!D11+'E Balans VL '!E11)/100/3.6*1000000</f>
        <v>0</v>
      </c>
      <c r="K11" s="33"/>
      <c r="L11" s="33"/>
      <c r="M11" s="33"/>
      <c r="N11" s="33">
        <f>$C$31*'E Balans VL '!Y11/100/3.6*1000000</f>
        <v>1.7781114956642325</v>
      </c>
      <c r="O11" s="33"/>
      <c r="P11" s="33"/>
      <c r="R11" s="32"/>
    </row>
    <row r="12" spans="1:18">
      <c r="A12" s="32" t="s">
        <v>260</v>
      </c>
      <c r="B12" s="37">
        <f t="shared" si="0"/>
        <v>2301.8449999999998</v>
      </c>
      <c r="C12" s="33"/>
      <c r="D12" s="37">
        <f>IF(ISERROR(TER_rest_gas_kWh/1000),0,TER_rest_gas_kWh/1000)*0.902</f>
        <v>2971.2005037908657</v>
      </c>
      <c r="E12" s="33">
        <f>$C$32*'E Balans VL '!I8/100/3.6*1000000</f>
        <v>20.811326702996812</v>
      </c>
      <c r="F12" s="33">
        <f>$C$32*('E Balans VL '!L8+'E Balans VL '!N8)/100/3.6*1000000</f>
        <v>339.31048014559394</v>
      </c>
      <c r="G12" s="34"/>
      <c r="H12" s="33"/>
      <c r="I12" s="33"/>
      <c r="J12" s="33">
        <f>$C$32*('E Balans VL '!D8+'E Balans VL '!E8)/100/3.6*1000000</f>
        <v>0</v>
      </c>
      <c r="K12" s="33"/>
      <c r="L12" s="33"/>
      <c r="M12" s="33"/>
      <c r="N12" s="33">
        <f>$C$32*'E Balans VL '!Y8/100/3.6*1000000</f>
        <v>196.31658762397703</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50886.420000000006</v>
      </c>
      <c r="C16" s="21">
        <f t="shared" ca="1" si="1"/>
        <v>0</v>
      </c>
      <c r="D16" s="21">
        <f t="shared" ca="1" si="1"/>
        <v>95284.527133084877</v>
      </c>
      <c r="E16" s="21">
        <f t="shared" si="1"/>
        <v>520.59069131425213</v>
      </c>
      <c r="F16" s="21">
        <f t="shared" ca="1" si="1"/>
        <v>7665.256540186796</v>
      </c>
      <c r="G16" s="21">
        <f t="shared" si="1"/>
        <v>0</v>
      </c>
      <c r="H16" s="21">
        <f t="shared" si="1"/>
        <v>0</v>
      </c>
      <c r="I16" s="21">
        <f t="shared" si="1"/>
        <v>0</v>
      </c>
      <c r="J16" s="21">
        <f t="shared" si="1"/>
        <v>0</v>
      </c>
      <c r="K16" s="21">
        <f t="shared" si="1"/>
        <v>0</v>
      </c>
      <c r="L16" s="21">
        <f t="shared" ca="1" si="1"/>
        <v>0</v>
      </c>
      <c r="M16" s="21">
        <f t="shared" si="1"/>
        <v>0</v>
      </c>
      <c r="N16" s="21">
        <f t="shared" ca="1" si="1"/>
        <v>4646.5841028306795</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0.20849685920670943</v>
      </c>
      <c r="C18" s="25">
        <f ca="1">'EF ele_warmte'!B22</f>
        <v>0.2375733654061262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10609.658746273484</v>
      </c>
      <c r="C20" s="23">
        <f t="shared" ref="C20:P20" ca="1" si="2">C16*C18</f>
        <v>0</v>
      </c>
      <c r="D20" s="23">
        <f t="shared" ca="1" si="2"/>
        <v>19247.474480883146</v>
      </c>
      <c r="E20" s="23">
        <f t="shared" si="2"/>
        <v>118.17408692833524</v>
      </c>
      <c r="F20" s="23">
        <f t="shared" ca="1" si="2"/>
        <v>2046.6234962298747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9890.2150000000001</v>
      </c>
      <c r="C26" s="39">
        <f>IF(ISERROR(B26*3.6/1000000/'E Balans VL '!Z12*100),0,B26*3.6/1000000/'E Balans VL '!Z12*100)</f>
        <v>0.21725000670853264</v>
      </c>
      <c r="D26" s="237" t="s">
        <v>692</v>
      </c>
      <c r="F26" s="6"/>
    </row>
    <row r="27" spans="1:18">
      <c r="A27" s="231" t="s">
        <v>53</v>
      </c>
      <c r="B27" s="33">
        <f>IF(ISERROR(TER_horeca_ele_kWh/1000),0,TER_horeca_ele_kWh/1000)</f>
        <v>5225.5529999999999</v>
      </c>
      <c r="C27" s="39">
        <f>IF(ISERROR(B27*3.6/1000000/'E Balans VL '!Z9*100),0,B27*3.6/1000000/'E Balans VL '!Z9*100)</f>
        <v>0.41992527247753048</v>
      </c>
      <c r="D27" s="237" t="s">
        <v>692</v>
      </c>
      <c r="F27" s="6"/>
    </row>
    <row r="28" spans="1:18">
      <c r="A28" s="171" t="s">
        <v>52</v>
      </c>
      <c r="B28" s="33">
        <f>IF(ISERROR(TER_handel_ele_kWh/1000),0,TER_handel_ele_kWh/1000)</f>
        <v>21102.2</v>
      </c>
      <c r="C28" s="39">
        <f>IF(ISERROR(B28*3.6/1000000/'E Balans VL '!Z13*100),0,B28*3.6/1000000/'E Balans VL '!Z13*100)</f>
        <v>0.62397731169354198</v>
      </c>
      <c r="D28" s="237" t="s">
        <v>692</v>
      </c>
      <c r="F28" s="6"/>
    </row>
    <row r="29" spans="1:18">
      <c r="A29" s="231" t="s">
        <v>51</v>
      </c>
      <c r="B29" s="33">
        <f>IF(ISERROR(TER_gezond_ele_kWh/1000),0,TER_gezond_ele_kWh/1000)</f>
        <v>4704.4769999999999</v>
      </c>
      <c r="C29" s="39">
        <f>IF(ISERROR(B29*3.6/1000000/'E Balans VL '!Z10*100),0,B29*3.6/1000000/'E Balans VL '!Z10*100)</f>
        <v>0.53007309901048816</v>
      </c>
      <c r="D29" s="237" t="s">
        <v>692</v>
      </c>
      <c r="F29" s="6"/>
    </row>
    <row r="30" spans="1:18">
      <c r="A30" s="231" t="s">
        <v>50</v>
      </c>
      <c r="B30" s="33">
        <f>IF(ISERROR(TER_ander_ele_kWh/1000),0,TER_ander_ele_kWh/1000)</f>
        <v>5875.8280000000004</v>
      </c>
      <c r="C30" s="39">
        <f>IF(ISERROR(B30*3.6/1000000/'E Balans VL '!Z14*100),0,B30*3.6/1000000/'E Balans VL '!Z14*100)</f>
        <v>0.44437882736573459</v>
      </c>
      <c r="D30" s="237" t="s">
        <v>692</v>
      </c>
      <c r="F30" s="6"/>
    </row>
    <row r="31" spans="1:18">
      <c r="A31" s="231" t="s">
        <v>55</v>
      </c>
      <c r="B31" s="33">
        <f>IF(ISERROR(TER_onderwijs_ele_kWh/1000),0,TER_onderwijs_ele_kWh/1000)</f>
        <v>1786.3019999999999</v>
      </c>
      <c r="C31" s="39">
        <f>IF(ISERROR(B31*3.6/1000000/'E Balans VL '!Z11*100),0,B31*3.6/1000000/'E Balans VL '!Z11*100)</f>
        <v>0.37079482797927532</v>
      </c>
      <c r="D31" s="237" t="s">
        <v>692</v>
      </c>
    </row>
    <row r="32" spans="1:18">
      <c r="A32" s="231" t="s">
        <v>260</v>
      </c>
      <c r="B32" s="33">
        <f>IF(ISERROR(TER_rest_ele_kWh/1000),0,TER_rest_ele_kWh/1000)</f>
        <v>2301.8449999999998</v>
      </c>
      <c r="C32" s="39">
        <f>IF(ISERROR(B32*3.6/1000000/'E Balans VL '!Z8*100),0,B32*3.6/1000000/'E Balans VL '!Z8*100)</f>
        <v>1.9391689995443613E-2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158434.829</v>
      </c>
      <c r="C5" s="17">
        <f>IF(ISERROR('Eigen informatie GS &amp; warmtenet'!B59),0,'Eigen informatie GS &amp; warmtenet'!B59)</f>
        <v>0</v>
      </c>
      <c r="D5" s="30">
        <f>SUM(D6:D15)</f>
        <v>186051.67863067432</v>
      </c>
      <c r="E5" s="17">
        <f>SUM(E6:E15)</f>
        <v>9247.5485488733284</v>
      </c>
      <c r="F5" s="17">
        <f>SUM(F6:F15)</f>
        <v>52782.827390924416</v>
      </c>
      <c r="G5" s="18"/>
      <c r="H5" s="17"/>
      <c r="I5" s="17"/>
      <c r="J5" s="17">
        <f>SUM(J6:J15)</f>
        <v>686.42087478953158</v>
      </c>
      <c r="K5" s="17"/>
      <c r="L5" s="17"/>
      <c r="M5" s="17"/>
      <c r="N5" s="17">
        <f>SUM(N6:N15)</f>
        <v>30291.12271180228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3313.8</v>
      </c>
      <c r="C8" s="33"/>
      <c r="D8" s="37">
        <f>IF( ISERROR(IND_metaal_Gas_kWH/1000),0,IND_metaal_Gas_kWH/1000)*0.902</f>
        <v>957.4905103510481</v>
      </c>
      <c r="E8" s="33">
        <f>C30*'E Balans VL '!I18/100/3.6*1000000</f>
        <v>82.932815948472069</v>
      </c>
      <c r="F8" s="33">
        <f>C30*'E Balans VL '!L18/100/3.6*1000000+C30*'E Balans VL '!N18/100/3.6*1000000</f>
        <v>1038.5614036889228</v>
      </c>
      <c r="G8" s="34"/>
      <c r="H8" s="33"/>
      <c r="I8" s="33"/>
      <c r="J8" s="40">
        <f>C30*'E Balans VL '!D18/100/3.6*1000000+C30*'E Balans VL '!E18/100/3.6*1000000</f>
        <v>0</v>
      </c>
      <c r="K8" s="33"/>
      <c r="L8" s="33"/>
      <c r="M8" s="33"/>
      <c r="N8" s="33">
        <f>C30*'E Balans VL '!Y18/100/3.6*1000000</f>
        <v>83.251256060931098</v>
      </c>
      <c r="O8" s="33"/>
      <c r="P8" s="33"/>
      <c r="R8" s="32"/>
    </row>
    <row r="9" spans="1:18">
      <c r="A9" s="6" t="s">
        <v>33</v>
      </c>
      <c r="B9" s="37">
        <f t="shared" si="0"/>
        <v>11894.448</v>
      </c>
      <c r="C9" s="33"/>
      <c r="D9" s="37">
        <f>IF( ISERROR(IND_andere_gas_kWh/1000),0,IND_andere_gas_kWh/1000)*0.902</f>
        <v>7186.0330580773289</v>
      </c>
      <c r="E9" s="33">
        <f>C31*'E Balans VL '!I19/100/3.6*1000000</f>
        <v>3270.4853485540179</v>
      </c>
      <c r="F9" s="33">
        <f>C31*'E Balans VL '!L19/100/3.6*1000000+C31*'E Balans VL '!N19/100/3.6*1000000</f>
        <v>9374.8948065581644</v>
      </c>
      <c r="G9" s="34"/>
      <c r="H9" s="33"/>
      <c r="I9" s="33"/>
      <c r="J9" s="40">
        <f>C31*'E Balans VL '!D19/100/3.6*1000000+C31*'E Balans VL '!E19/100/3.6*1000000</f>
        <v>0</v>
      </c>
      <c r="K9" s="33"/>
      <c r="L9" s="33"/>
      <c r="M9" s="33"/>
      <c r="N9" s="33">
        <f>C31*'E Balans VL '!Y19/100/3.6*1000000</f>
        <v>3850.546778489253</v>
      </c>
      <c r="O9" s="33"/>
      <c r="P9" s="33"/>
      <c r="R9" s="32"/>
    </row>
    <row r="10" spans="1:18">
      <c r="A10" s="6" t="s">
        <v>41</v>
      </c>
      <c r="B10" s="37">
        <f t="shared" si="0"/>
        <v>8355.4159999999993</v>
      </c>
      <c r="C10" s="33"/>
      <c r="D10" s="37">
        <f>IF( ISERROR(IND_voed_gas_kWh/1000),0,IND_voed_gas_kWh/1000)*0.902</f>
        <v>17007.768804753341</v>
      </c>
      <c r="E10" s="33">
        <f>C32*'E Balans VL '!I20/100/3.6*1000000</f>
        <v>85.17886309506062</v>
      </c>
      <c r="F10" s="33">
        <f>C32*'E Balans VL '!L20/100/3.6*1000000+C32*'E Balans VL '!N20/100/3.6*1000000</f>
        <v>15783.328565917442</v>
      </c>
      <c r="G10" s="34"/>
      <c r="H10" s="33"/>
      <c r="I10" s="33"/>
      <c r="J10" s="40">
        <f>C32*'E Balans VL '!D20/100/3.6*1000000+C32*'E Balans VL '!E20/100/3.6*1000000</f>
        <v>199.97244392492672</v>
      </c>
      <c r="K10" s="33"/>
      <c r="L10" s="33"/>
      <c r="M10" s="33"/>
      <c r="N10" s="33">
        <f>C32*'E Balans VL '!Y20/100/3.6*1000000</f>
        <v>4404.2666579071038</v>
      </c>
      <c r="O10" s="33"/>
      <c r="P10" s="33"/>
      <c r="R10" s="32"/>
    </row>
    <row r="11" spans="1:18">
      <c r="A11" s="6" t="s">
        <v>40</v>
      </c>
      <c r="B11" s="37">
        <f t="shared" si="0"/>
        <v>12083.986999999999</v>
      </c>
      <c r="C11" s="33"/>
      <c r="D11" s="37">
        <f>IF( ISERROR(IND_textiel_gas_kWh/1000),0,IND_textiel_gas_kWh/1000)*0.902</f>
        <v>0</v>
      </c>
      <c r="E11" s="33">
        <f>C33*'E Balans VL '!I21/100/3.6*1000000</f>
        <v>32.028477247939641</v>
      </c>
      <c r="F11" s="33">
        <f>C33*'E Balans VL '!L21/100/3.6*1000000+C33*'E Balans VL '!N21/100/3.6*1000000</f>
        <v>539.68332498080053</v>
      </c>
      <c r="G11" s="34"/>
      <c r="H11" s="33"/>
      <c r="I11" s="33"/>
      <c r="J11" s="40">
        <f>C33*'E Balans VL '!D21/100/3.6*1000000+C33*'E Balans VL '!E21/100/3.6*1000000</f>
        <v>0</v>
      </c>
      <c r="K11" s="33"/>
      <c r="L11" s="33"/>
      <c r="M11" s="33"/>
      <c r="N11" s="33">
        <f>C33*'E Balans VL '!Y21/100/3.6*1000000</f>
        <v>113.88293933222765</v>
      </c>
      <c r="O11" s="33"/>
      <c r="P11" s="33"/>
      <c r="R11" s="32"/>
    </row>
    <row r="12" spans="1:18">
      <c r="A12" s="6" t="s">
        <v>37</v>
      </c>
      <c r="B12" s="37">
        <f t="shared" si="0"/>
        <v>8346.5630000000001</v>
      </c>
      <c r="C12" s="33"/>
      <c r="D12" s="37">
        <f>IF( ISERROR(IND_min_gas_kWh/1000),0,IND_min_gas_kWh/1000)*0.902</f>
        <v>0</v>
      </c>
      <c r="E12" s="33">
        <f>C34*'E Balans VL '!I22/100/3.6*1000000</f>
        <v>25.277963734747566</v>
      </c>
      <c r="F12" s="33">
        <f>C34*'E Balans VL '!L22/100/3.6*1000000+C34*'E Balans VL '!N22/100/3.6*1000000</f>
        <v>260.83726959156377</v>
      </c>
      <c r="G12" s="34"/>
      <c r="H12" s="33"/>
      <c r="I12" s="33"/>
      <c r="J12" s="40">
        <f>C34*'E Balans VL '!D22/100/3.6*1000000+C34*'E Balans VL '!E22/100/3.6*1000000</f>
        <v>12.376100087489135</v>
      </c>
      <c r="K12" s="33"/>
      <c r="L12" s="33"/>
      <c r="M12" s="33"/>
      <c r="N12" s="33">
        <f>C34*'E Balans VL '!Y22/100/3.6*1000000</f>
        <v>0</v>
      </c>
      <c r="O12" s="33"/>
      <c r="P12" s="33"/>
      <c r="R12" s="32"/>
    </row>
    <row r="13" spans="1:18">
      <c r="A13" s="6" t="s">
        <v>39</v>
      </c>
      <c r="B13" s="37">
        <f t="shared" si="0"/>
        <v>1440.615</v>
      </c>
      <c r="C13" s="33"/>
      <c r="D13" s="37">
        <f>IF( ISERROR(IND_papier_gas_kWh/1000),0,IND_papier_gas_kWh/1000)*0.902</f>
        <v>379.13717047233638</v>
      </c>
      <c r="E13" s="33">
        <f>C35*'E Balans VL '!I23/100/3.6*1000000</f>
        <v>2.9836109041710213</v>
      </c>
      <c r="F13" s="33">
        <f>C35*'E Balans VL '!L23/100/3.6*1000000+C35*'E Balans VL '!N23/100/3.6*1000000</f>
        <v>28.570483883088926</v>
      </c>
      <c r="G13" s="34"/>
      <c r="H13" s="33"/>
      <c r="I13" s="33"/>
      <c r="J13" s="40">
        <f>C35*'E Balans VL '!D23/100/3.6*1000000+C35*'E Balans VL '!E23/100/3.6*1000000</f>
        <v>0</v>
      </c>
      <c r="K13" s="33"/>
      <c r="L13" s="33"/>
      <c r="M13" s="33"/>
      <c r="N13" s="33">
        <f>C35*'E Balans VL '!Y23/100/3.6*1000000</f>
        <v>608.29661348286606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113000</v>
      </c>
      <c r="C15" s="33"/>
      <c r="D15" s="37">
        <f>IF( ISERROR(IND_rest_gas_kWh/1000),0,IND_rest_gas_kWh/1000)*0.902</f>
        <v>160521.24908702026</v>
      </c>
      <c r="E15" s="33">
        <f>C37*'E Balans VL '!I15/100/3.6*1000000</f>
        <v>5748.6614693889187</v>
      </c>
      <c r="F15" s="33">
        <f>C37*'E Balans VL '!L15/100/3.6*1000000+C37*'E Balans VL '!N15/100/3.6*1000000</f>
        <v>25756.95153630443</v>
      </c>
      <c r="G15" s="34"/>
      <c r="H15" s="33"/>
      <c r="I15" s="33"/>
      <c r="J15" s="40">
        <f>C37*'E Balans VL '!D15/100/3.6*1000000+C37*'E Balans VL '!E15/100/3.6*1000000</f>
        <v>474.07233077711578</v>
      </c>
      <c r="K15" s="33"/>
      <c r="L15" s="33"/>
      <c r="M15" s="33"/>
      <c r="N15" s="33">
        <f>C37*'E Balans VL '!Y15/100/3.6*1000000</f>
        <v>21230.878466529895</v>
      </c>
      <c r="O15" s="33"/>
      <c r="P15" s="33"/>
      <c r="R15" s="32"/>
    </row>
    <row r="16" spans="1:18">
      <c r="A16" s="16" t="s">
        <v>494</v>
      </c>
      <c r="B16" s="247">
        <f>'lokale energieproductie'!N90+'lokale energieproductie'!N59</f>
        <v>3937.5</v>
      </c>
      <c r="C16" s="247">
        <f>'lokale energieproductie'!O90+'lokale energieproductie'!O59</f>
        <v>5625</v>
      </c>
      <c r="D16" s="310">
        <f>('lokale energieproductie'!P59+'lokale energieproductie'!P90)*(-1)</f>
        <v>-11250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162372.329</v>
      </c>
      <c r="C18" s="21">
        <f>C5+C16</f>
        <v>5625</v>
      </c>
      <c r="D18" s="21">
        <f>MAX((D5+D16),0)</f>
        <v>174801.67863067432</v>
      </c>
      <c r="E18" s="21">
        <f>MAX((E5+E16),0)</f>
        <v>9247.5485488733284</v>
      </c>
      <c r="F18" s="21">
        <f>MAX((F5+F16),0)</f>
        <v>52782.827390924416</v>
      </c>
      <c r="G18" s="21"/>
      <c r="H18" s="21"/>
      <c r="I18" s="21"/>
      <c r="J18" s="21">
        <f>MAX((J5+J16),0)</f>
        <v>686.42087478953158</v>
      </c>
      <c r="K18" s="21"/>
      <c r="L18" s="21">
        <f>MAX((L5+L16),0)</f>
        <v>0</v>
      </c>
      <c r="M18" s="21"/>
      <c r="N18" s="21">
        <f>MAX((N5+N16),0)</f>
        <v>30291.12271180228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0.20849685920670943</v>
      </c>
      <c r="C20" s="25">
        <f ca="1">'EF ele_warmte'!B22</f>
        <v>0.2375733654061262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33854.120618578505</v>
      </c>
      <c r="C22" s="23">
        <f ca="1">C18*C20</f>
        <v>1336.3501804094599</v>
      </c>
      <c r="D22" s="23">
        <f>D18*D20</f>
        <v>35309.939083396217</v>
      </c>
      <c r="E22" s="23">
        <f>E18*E20</f>
        <v>2099.1935205942455</v>
      </c>
      <c r="F22" s="23">
        <f>F18*F20</f>
        <v>14093.014913376819</v>
      </c>
      <c r="G22" s="23"/>
      <c r="H22" s="23"/>
      <c r="I22" s="23"/>
      <c r="J22" s="23">
        <f>J18*J20</f>
        <v>242.99298967549416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3313.8</v>
      </c>
      <c r="C30" s="39">
        <f>IF(ISERROR(B30*3.6/1000000/'E Balans VL '!Z18*100),0,B30*3.6/1000000/'E Balans VL '!Z18*100)</f>
        <v>0.46382156639500627</v>
      </c>
      <c r="D30" s="237" t="s">
        <v>692</v>
      </c>
    </row>
    <row r="31" spans="1:18">
      <c r="A31" s="6" t="s">
        <v>33</v>
      </c>
      <c r="B31" s="37">
        <f>IF( ISERROR(IND_ander_ele_kWh/1000),0,IND_ander_ele_kWh/1000)</f>
        <v>11894.448</v>
      </c>
      <c r="C31" s="39">
        <f>IF(ISERROR(B31*3.6/1000000/'E Balans VL '!Z19*100),0,B31*3.6/1000000/'E Balans VL '!Z19*100)</f>
        <v>0.52061805940639438</v>
      </c>
      <c r="D31" s="237" t="s">
        <v>692</v>
      </c>
    </row>
    <row r="32" spans="1:18">
      <c r="A32" s="171" t="s">
        <v>41</v>
      </c>
      <c r="B32" s="37">
        <f>IF( ISERROR(IND_voed_ele_kWh/1000),0,IND_voed_ele_kWh/1000)</f>
        <v>8355.4159999999993</v>
      </c>
      <c r="C32" s="39">
        <f>IF(ISERROR(B32*3.6/1000000/'E Balans VL '!Z20*100),0,B32*3.6/1000000/'E Balans VL '!Z20*100)</f>
        <v>2.0685235319209649</v>
      </c>
      <c r="D32" s="237" t="s">
        <v>692</v>
      </c>
    </row>
    <row r="33" spans="1:5">
      <c r="A33" s="171" t="s">
        <v>40</v>
      </c>
      <c r="B33" s="37">
        <f>IF( ISERROR(IND_textiel_ele_kWh/1000),0,IND_textiel_ele_kWh/1000)</f>
        <v>12083.986999999999</v>
      </c>
      <c r="C33" s="39">
        <f>IF(ISERROR(B33*3.6/1000000/'E Balans VL '!Z21*100),0,B33*3.6/1000000/'E Balans VL '!Z21*100)</f>
        <v>1.3616524735078981</v>
      </c>
      <c r="D33" s="237" t="s">
        <v>692</v>
      </c>
    </row>
    <row r="34" spans="1:5">
      <c r="A34" s="171" t="s">
        <v>37</v>
      </c>
      <c r="B34" s="37">
        <f>IF( ISERROR(IND_min_ele_kWh/1000),0,IND_min_ele_kWh/1000)</f>
        <v>8346.5630000000001</v>
      </c>
      <c r="C34" s="39">
        <f>IF(ISERROR(B34*3.6/1000000/'E Balans VL '!Z22*100),0,B34*3.6/1000000/'E Balans VL '!Z22*100)</f>
        <v>0.23684140579307411</v>
      </c>
      <c r="D34" s="237" t="s">
        <v>692</v>
      </c>
    </row>
    <row r="35" spans="1:5">
      <c r="A35" s="171" t="s">
        <v>39</v>
      </c>
      <c r="B35" s="37">
        <f>IF( ISERROR(IND_papier_ele_kWh/1000),0,IND_papier_ele_kWh/1000)</f>
        <v>1440.615</v>
      </c>
      <c r="C35" s="39">
        <f>IF(ISERROR(B35*3.6/1000000/'E Balans VL '!Z22*100),0,B35*3.6/1000000/'E Balans VL '!Z22*100)</f>
        <v>4.08787763066773E-2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113000</v>
      </c>
      <c r="C37" s="39">
        <f>IF(ISERROR(B37*3.6/1000000/'E Balans VL '!Z15*100),0,B37*3.6/1000000/'E Balans VL '!Z15*100)</f>
        <v>0.83787565358132832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1941.2584999999999</v>
      </c>
      <c r="C5" s="17">
        <f>'Eigen informatie GS &amp; warmtenet'!B60</f>
        <v>0</v>
      </c>
      <c r="D5" s="30">
        <f>IF(ISERROR(SUM(LB_lb_gas_kWh,LB_rest_gas_kWh)/1000),0,SUM(LB_lb_gas_kWh,LB_rest_gas_kWh)/1000)*0.902</f>
        <v>614.51172104206739</v>
      </c>
      <c r="E5" s="17">
        <f>B17*'E Balans VL '!I25/3.6*1000000/100</f>
        <v>17.980749300799108</v>
      </c>
      <c r="F5" s="17">
        <f>B17*('E Balans VL '!L25/3.6*1000000+'E Balans VL '!N25/3.6*1000000)/100</f>
        <v>4925.3426238647444</v>
      </c>
      <c r="G5" s="18"/>
      <c r="H5" s="17"/>
      <c r="I5" s="17"/>
      <c r="J5" s="17">
        <f>('E Balans VL '!D25+'E Balans VL '!E25)/3.6*1000000*landbouw!B17/100</f>
        <v>297.61659255808996</v>
      </c>
      <c r="K5" s="17"/>
      <c r="L5" s="17">
        <f>L6*(-1)</f>
        <v>0</v>
      </c>
      <c r="M5" s="17"/>
      <c r="N5" s="17">
        <f>N6*(-1)</f>
        <v>0</v>
      </c>
      <c r="O5" s="17"/>
      <c r="P5" s="17"/>
      <c r="R5" s="32"/>
    </row>
    <row r="6" spans="1:18">
      <c r="A6" s="16" t="s">
        <v>494</v>
      </c>
      <c r="B6" s="17" t="s">
        <v>211</v>
      </c>
      <c r="C6" s="17">
        <f>'lokale energieproductie'!O92+'lokale energieproductie'!O61</f>
        <v>79.071428571428584</v>
      </c>
      <c r="D6" s="310">
        <f>('lokale energieproductie'!P61+'lokale energieproductie'!P92)*(-1)</f>
        <v>-128.14285714285717</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1941.2584999999999</v>
      </c>
      <c r="C8" s="21">
        <f>C5+C6</f>
        <v>79.071428571428584</v>
      </c>
      <c r="D8" s="21">
        <f>MAX((D5+D6),0)</f>
        <v>486.36886389921023</v>
      </c>
      <c r="E8" s="21">
        <f>MAX((E5+E6),0)</f>
        <v>17.980749300799108</v>
      </c>
      <c r="F8" s="21">
        <f>MAX((F5+F6),0)</f>
        <v>4925.3426238647444</v>
      </c>
      <c r="G8" s="21"/>
      <c r="H8" s="21"/>
      <c r="I8" s="21"/>
      <c r="J8" s="21">
        <f>MAX((J5+J6),0)</f>
        <v>297.61659255808996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0.20849685920670943</v>
      </c>
      <c r="C10" s="31">
        <f ca="1">'EF ele_warmte'!B22</f>
        <v>0.2375733654061262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404.74630015832793</v>
      </c>
      <c r="C12" s="23">
        <f ca="1">C8*C10</f>
        <v>18.78526539318441</v>
      </c>
      <c r="D12" s="23">
        <f>D8*D10</f>
        <v>98.246510507640465</v>
      </c>
      <c r="E12" s="23">
        <f>E8*E10</f>
        <v>4.0816300912813972</v>
      </c>
      <c r="F12" s="23">
        <f>F8*F10</f>
        <v>1315.0664805718868</v>
      </c>
      <c r="G12" s="23"/>
      <c r="H12" s="23"/>
      <c r="I12" s="23"/>
      <c r="J12" s="23">
        <f>J8*J10</f>
        <v>105.35627376556384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0.27600579690502203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375.77369288907931</v>
      </c>
      <c r="C26" s="247">
        <f>B26*'GWP N2O_CH4'!B5</f>
        <v>7891.247550670666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98.54216239701708</v>
      </c>
      <c r="C27" s="247">
        <f>B27*'GWP N2O_CH4'!B5</f>
        <v>2069.3854103373587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5.0920371309053643</v>
      </c>
      <c r="C28" s="247">
        <f>B28*'GWP N2O_CH4'!B4</f>
        <v>1578.5315105806628</v>
      </c>
      <c r="D28" s="50"/>
    </row>
    <row r="29" spans="1:4">
      <c r="A29" s="41" t="s">
        <v>277</v>
      </c>
      <c r="B29" s="247">
        <f>B34*'ha_N2O bodem landbouw'!B4</f>
        <v>25.055894353625796</v>
      </c>
      <c r="C29" s="247">
        <f>B29*'GWP N2O_CH4'!B4</f>
        <v>7767.327249623997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5.6195956860509311E-3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9.4913065898348062E-5</v>
      </c>
      <c r="C5" s="464" t="s">
        <v>211</v>
      </c>
      <c r="D5" s="449">
        <f>SUM(D6:D11)</f>
        <v>2.4895172385604983E-4</v>
      </c>
      <c r="E5" s="449">
        <f>SUM(E6:E11)</f>
        <v>1.5870527840417448E-3</v>
      </c>
      <c r="F5" s="462" t="s">
        <v>211</v>
      </c>
      <c r="G5" s="449">
        <f>SUM(G6:G11)</f>
        <v>0.49143456234664762</v>
      </c>
      <c r="H5" s="449">
        <f>SUM(H6:H11)</f>
        <v>9.4128291899066685E-2</v>
      </c>
      <c r="I5" s="464" t="s">
        <v>211</v>
      </c>
      <c r="J5" s="464" t="s">
        <v>211</v>
      </c>
      <c r="K5" s="464" t="s">
        <v>211</v>
      </c>
      <c r="L5" s="464" t="s">
        <v>211</v>
      </c>
      <c r="M5" s="449">
        <f>SUM(M6:M11)</f>
        <v>3.132487294340363E-2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7.8374480246461704E-5</v>
      </c>
      <c r="C6" s="450"/>
      <c r="D6" s="893">
        <f>vkm_2011_GW_PW*SUMIFS(TableVerdeelsleutelVkm[CNG],TableVerdeelsleutelVkm[Voertuigtype],"Lichte voertuigen")*SUMIFS(TableECFTransport[EnergieConsumptieFactor (PJ per km)],TableECFTransport[Index],CONCATENATE($A6,"_CNG_CNG"))</f>
        <v>1.8128880148290098E-4</v>
      </c>
      <c r="E6" s="893">
        <f>vkm_2011_GW_PW*SUMIFS(TableVerdeelsleutelVkm[LPG],TableVerdeelsleutelVkm[Voertuigtype],"Lichte voertuigen")*SUMIFS(TableECFTransport[EnergieConsumptieFactor (PJ per km)],TableECFTransport[Index],CONCATENATE($A6,"_LPG_LPG"))</f>
        <v>1.1804431980159684E-3</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0.24522834115042313</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6.9124801575222328E-2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1.6313298522206934E-2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0.15983045401169957</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5.4659112615744027E-5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9.2470977247038431E-3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1.6538585651886362E-5</v>
      </c>
      <c r="C8" s="450"/>
      <c r="D8" s="452">
        <f>vkm_2011_NGW_PW*SUMIFS(TableVerdeelsleutelVkm[CNG],TableVerdeelsleutelVkm[Voertuigtype],"Lichte voertuigen")*SUMIFS(TableECFTransport[EnergieConsumptieFactor (PJ per km)],TableECFTransport[Index],CONCATENATE($A8,"_CNG_CNG"))</f>
        <v>6.7662922373148878E-5</v>
      </c>
      <c r="E8" s="452">
        <f>vkm_2011_NGW_PW*SUMIFS(TableVerdeelsleutelVkm[LPG],TableVerdeelsleutelVkm[Voertuigtype],"Lichte voertuigen")*SUMIFS(TableECFTransport[EnergieConsumptieFactor (PJ per km)],TableECFTransport[Index],CONCATENATE($A8,"_LPG_LPG"))</f>
        <v>4.066095860257763E-4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7.8962984270487799E-2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2.4946432521026796E-2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5.3356093848425457E-3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7.4127829140370853E-3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2.3986902018113033E-6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4.2886731165030743E-4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26.364740527318908</v>
      </c>
      <c r="C14" s="21"/>
      <c r="D14" s="21">
        <f t="shared" ref="D14:M14" si="0">((D5)*10^9/3600)+D12</f>
        <v>69.153256626680502</v>
      </c>
      <c r="E14" s="21">
        <f t="shared" si="0"/>
        <v>440.84799556715132</v>
      </c>
      <c r="F14" s="21"/>
      <c r="G14" s="21">
        <f t="shared" si="0"/>
        <v>136509.60065184656</v>
      </c>
      <c r="H14" s="21">
        <f t="shared" si="0"/>
        <v>26146.747749740745</v>
      </c>
      <c r="I14" s="21"/>
      <c r="J14" s="21"/>
      <c r="K14" s="21"/>
      <c r="L14" s="21"/>
      <c r="M14" s="21">
        <f t="shared" si="0"/>
        <v>8701.3535953898972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0.20849685920670943</v>
      </c>
      <c r="C16" s="56">
        <f ca="1">'EF ele_warmte'!B22</f>
        <v>0.2375733654061262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5.4969655937458368</v>
      </c>
      <c r="C18" s="23"/>
      <c r="D18" s="23">
        <f t="shared" ref="D18:M18" si="1">D14*D16</f>
        <v>13.968957838589462</v>
      </c>
      <c r="E18" s="23">
        <f t="shared" si="1"/>
        <v>100.07249499374335</v>
      </c>
      <c r="F18" s="23"/>
      <c r="G18" s="23">
        <f t="shared" si="1"/>
        <v>36448.063374043035</v>
      </c>
      <c r="H18" s="23">
        <f t="shared" si="1"/>
        <v>6510.5401896854455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8.8094063616663294E-3</v>
      </c>
      <c r="H50" s="321">
        <f t="shared" si="2"/>
        <v>0</v>
      </c>
      <c r="I50" s="321">
        <f t="shared" si="2"/>
        <v>0</v>
      </c>
      <c r="J50" s="321">
        <f t="shared" si="2"/>
        <v>0</v>
      </c>
      <c r="K50" s="321">
        <f t="shared" si="2"/>
        <v>0</v>
      </c>
      <c r="L50" s="321">
        <f t="shared" si="2"/>
        <v>0</v>
      </c>
      <c r="M50" s="321">
        <f t="shared" si="2"/>
        <v>5.0237476399901573E-4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8.8094063616663294E-3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5.0237476399901573E-4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2447.0573226850915</v>
      </c>
      <c r="H54" s="21">
        <f t="shared" si="3"/>
        <v>0</v>
      </c>
      <c r="I54" s="21">
        <f t="shared" si="3"/>
        <v>0</v>
      </c>
      <c r="J54" s="21">
        <f t="shared" si="3"/>
        <v>0</v>
      </c>
      <c r="K54" s="21">
        <f t="shared" si="3"/>
        <v>0</v>
      </c>
      <c r="L54" s="21">
        <f t="shared" si="3"/>
        <v>0</v>
      </c>
      <c r="M54" s="21">
        <f t="shared" si="3"/>
        <v>139.54854555528215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0.20849685920670943</v>
      </c>
      <c r="C56" s="56">
        <f ca="1">'EF ele_warmte'!B22</f>
        <v>0.2375733654061262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653.3643051569195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53324.102000000006</v>
      </c>
      <c r="D10" s="1025">
        <f ca="1">tertiair!C16</f>
        <v>0</v>
      </c>
      <c r="E10" s="1025">
        <f ca="1">tertiair!D16</f>
        <v>95284.527133084877</v>
      </c>
      <c r="F10" s="1025">
        <f>tertiair!E16</f>
        <v>520.59069131425213</v>
      </c>
      <c r="G10" s="1025">
        <f ca="1">tertiair!F16</f>
        <v>7665.256540186796</v>
      </c>
      <c r="H10" s="1025">
        <f>tertiair!G16</f>
        <v>0</v>
      </c>
      <c r="I10" s="1025">
        <f>tertiair!H16</f>
        <v>0</v>
      </c>
      <c r="J10" s="1025">
        <f>tertiair!I16</f>
        <v>0</v>
      </c>
      <c r="K10" s="1025">
        <f>tertiair!J16</f>
        <v>0</v>
      </c>
      <c r="L10" s="1025">
        <f>tertiair!K16</f>
        <v>0</v>
      </c>
      <c r="M10" s="1025">
        <f ca="1">tertiair!L16</f>
        <v>0</v>
      </c>
      <c r="N10" s="1025">
        <f>tertiair!M16</f>
        <v>0</v>
      </c>
      <c r="O10" s="1025">
        <f ca="1">tertiair!N16</f>
        <v>4646.5841028306795</v>
      </c>
      <c r="P10" s="1025">
        <f>tertiair!O16</f>
        <v>4.6900000000000004</v>
      </c>
      <c r="Q10" s="1026">
        <f>tertiair!P16</f>
        <v>19.066666666666666</v>
      </c>
      <c r="R10" s="701">
        <f ca="1">SUM(C10:Q10)</f>
        <v>161464.81713408328</v>
      </c>
      <c r="S10" s="67"/>
    </row>
    <row r="11" spans="1:19" s="474" customFormat="1">
      <c r="A11" s="810" t="s">
        <v>225</v>
      </c>
      <c r="B11" s="815"/>
      <c r="C11" s="1025">
        <f>huishoudens!B8</f>
        <v>55280.302314006258</v>
      </c>
      <c r="D11" s="1025">
        <f>huishoudens!C8</f>
        <v>0</v>
      </c>
      <c r="E11" s="1025">
        <f>huishoudens!D8</f>
        <v>96962.046217757525</v>
      </c>
      <c r="F11" s="1025">
        <f>huishoudens!E8</f>
        <v>9139.9662374298987</v>
      </c>
      <c r="G11" s="1025">
        <f>huishoudens!F8</f>
        <v>42992.692712031247</v>
      </c>
      <c r="H11" s="1025">
        <f>huishoudens!G8</f>
        <v>0</v>
      </c>
      <c r="I11" s="1025">
        <f>huishoudens!H8</f>
        <v>0</v>
      </c>
      <c r="J11" s="1025">
        <f>huishoudens!I8</f>
        <v>0</v>
      </c>
      <c r="K11" s="1025">
        <f>huishoudens!J8</f>
        <v>932.11692943658511</v>
      </c>
      <c r="L11" s="1025">
        <f>huishoudens!K8</f>
        <v>0</v>
      </c>
      <c r="M11" s="1025">
        <f>huishoudens!L8</f>
        <v>0</v>
      </c>
      <c r="N11" s="1025">
        <f>huishoudens!M8</f>
        <v>0</v>
      </c>
      <c r="O11" s="1025">
        <f>huishoudens!N8</f>
        <v>19104.562519172334</v>
      </c>
      <c r="P11" s="1025">
        <f>huishoudens!O8</f>
        <v>572.18000000000006</v>
      </c>
      <c r="Q11" s="1026">
        <f>huishoudens!P8</f>
        <v>953.33333333333326</v>
      </c>
      <c r="R11" s="701">
        <f>SUM(C11:Q11)</f>
        <v>225937.20026316718</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162372.329</v>
      </c>
      <c r="D13" s="1025">
        <f>industrie!C18</f>
        <v>5625</v>
      </c>
      <c r="E13" s="1025">
        <f>industrie!D18</f>
        <v>174801.67863067432</v>
      </c>
      <c r="F13" s="1025">
        <f>industrie!E18</f>
        <v>9247.5485488733284</v>
      </c>
      <c r="G13" s="1025">
        <f>industrie!F18</f>
        <v>52782.827390924416</v>
      </c>
      <c r="H13" s="1025">
        <f>industrie!G18</f>
        <v>0</v>
      </c>
      <c r="I13" s="1025">
        <f>industrie!H18</f>
        <v>0</v>
      </c>
      <c r="J13" s="1025">
        <f>industrie!I18</f>
        <v>0</v>
      </c>
      <c r="K13" s="1025">
        <f>industrie!J18</f>
        <v>686.42087478953158</v>
      </c>
      <c r="L13" s="1025">
        <f>industrie!K18</f>
        <v>0</v>
      </c>
      <c r="M13" s="1025">
        <f>industrie!L18</f>
        <v>0</v>
      </c>
      <c r="N13" s="1025">
        <f>industrie!M18</f>
        <v>0</v>
      </c>
      <c r="O13" s="1025">
        <f>industrie!N18</f>
        <v>30291.12271180228</v>
      </c>
      <c r="P13" s="1025">
        <f>industrie!O18</f>
        <v>0</v>
      </c>
      <c r="Q13" s="1026">
        <f>industrie!P18</f>
        <v>0</v>
      </c>
      <c r="R13" s="701">
        <f>SUM(C13:Q13)</f>
        <v>435806.92715706385</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270976.73331400624</v>
      </c>
      <c r="D16" s="733">
        <f t="shared" ref="D16:R16" ca="1" si="0">SUM(D9:D15)</f>
        <v>5625</v>
      </c>
      <c r="E16" s="733">
        <f t="shared" ca="1" si="0"/>
        <v>367048.25198151672</v>
      </c>
      <c r="F16" s="733">
        <f t="shared" si="0"/>
        <v>18908.105477617479</v>
      </c>
      <c r="G16" s="733">
        <f t="shared" ca="1" si="0"/>
        <v>103440.77664314245</v>
      </c>
      <c r="H16" s="733">
        <f t="shared" si="0"/>
        <v>0</v>
      </c>
      <c r="I16" s="733">
        <f t="shared" si="0"/>
        <v>0</v>
      </c>
      <c r="J16" s="733">
        <f t="shared" si="0"/>
        <v>0</v>
      </c>
      <c r="K16" s="733">
        <f t="shared" si="0"/>
        <v>1618.5378042261168</v>
      </c>
      <c r="L16" s="733">
        <f t="shared" si="0"/>
        <v>0</v>
      </c>
      <c r="M16" s="733">
        <f t="shared" ca="1" si="0"/>
        <v>0</v>
      </c>
      <c r="N16" s="733">
        <f t="shared" si="0"/>
        <v>0</v>
      </c>
      <c r="O16" s="733">
        <f t="shared" ca="1" si="0"/>
        <v>54042.269333805292</v>
      </c>
      <c r="P16" s="733">
        <f t="shared" si="0"/>
        <v>576.87000000000012</v>
      </c>
      <c r="Q16" s="733">
        <f t="shared" si="0"/>
        <v>972.4</v>
      </c>
      <c r="R16" s="733">
        <f t="shared" ca="1" si="0"/>
        <v>823208.94455431425</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2447.0573226850915</v>
      </c>
      <c r="I19" s="1025">
        <f>transport!H54</f>
        <v>0</v>
      </c>
      <c r="J19" s="1025">
        <f>transport!I54</f>
        <v>0</v>
      </c>
      <c r="K19" s="1025">
        <f>transport!J54</f>
        <v>0</v>
      </c>
      <c r="L19" s="1025">
        <f>transport!K54</f>
        <v>0</v>
      </c>
      <c r="M19" s="1025">
        <f>transport!L54</f>
        <v>0</v>
      </c>
      <c r="N19" s="1025">
        <f>transport!M54</f>
        <v>139.54854555528215</v>
      </c>
      <c r="O19" s="1025">
        <f>transport!N54</f>
        <v>0</v>
      </c>
      <c r="P19" s="1025">
        <f>transport!O54</f>
        <v>0</v>
      </c>
      <c r="Q19" s="1026">
        <f>transport!P54</f>
        <v>0</v>
      </c>
      <c r="R19" s="701">
        <f>SUM(C19:Q19)</f>
        <v>2586.6058682403736</v>
      </c>
      <c r="S19" s="67"/>
    </row>
    <row r="20" spans="1:19" s="474" customFormat="1">
      <c r="A20" s="810" t="s">
        <v>307</v>
      </c>
      <c r="B20" s="815"/>
      <c r="C20" s="1025">
        <f>transport!B14</f>
        <v>26.364740527318908</v>
      </c>
      <c r="D20" s="1025">
        <f>transport!C14</f>
        <v>0</v>
      </c>
      <c r="E20" s="1025">
        <f>transport!D14</f>
        <v>69.153256626680502</v>
      </c>
      <c r="F20" s="1025">
        <f>transport!E14</f>
        <v>440.84799556715132</v>
      </c>
      <c r="G20" s="1025">
        <f>transport!F14</f>
        <v>0</v>
      </c>
      <c r="H20" s="1025">
        <f>transport!G14</f>
        <v>136509.60065184656</v>
      </c>
      <c r="I20" s="1025">
        <f>transport!H14</f>
        <v>26146.747749740745</v>
      </c>
      <c r="J20" s="1025">
        <f>transport!I14</f>
        <v>0</v>
      </c>
      <c r="K20" s="1025">
        <f>transport!J14</f>
        <v>0</v>
      </c>
      <c r="L20" s="1025">
        <f>transport!K14</f>
        <v>0</v>
      </c>
      <c r="M20" s="1025">
        <f>transport!L14</f>
        <v>0</v>
      </c>
      <c r="N20" s="1025">
        <f>transport!M14</f>
        <v>8701.3535953898972</v>
      </c>
      <c r="O20" s="1025">
        <f>transport!N14</f>
        <v>0</v>
      </c>
      <c r="P20" s="1025">
        <f>transport!O14</f>
        <v>0</v>
      </c>
      <c r="Q20" s="1026">
        <f>transport!P14</f>
        <v>0</v>
      </c>
      <c r="R20" s="701">
        <f>SUM(C20:Q20)</f>
        <v>171894.06798969835</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26.364740527318908</v>
      </c>
      <c r="D22" s="813">
        <f t="shared" ref="D22:R22" si="1">SUM(D18:D21)</f>
        <v>0</v>
      </c>
      <c r="E22" s="813">
        <f t="shared" si="1"/>
        <v>69.153256626680502</v>
      </c>
      <c r="F22" s="813">
        <f t="shared" si="1"/>
        <v>440.84799556715132</v>
      </c>
      <c r="G22" s="813">
        <f t="shared" si="1"/>
        <v>0</v>
      </c>
      <c r="H22" s="813">
        <f t="shared" si="1"/>
        <v>138956.65797453164</v>
      </c>
      <c r="I22" s="813">
        <f t="shared" si="1"/>
        <v>26146.747749740745</v>
      </c>
      <c r="J22" s="813">
        <f t="shared" si="1"/>
        <v>0</v>
      </c>
      <c r="K22" s="813">
        <f t="shared" si="1"/>
        <v>0</v>
      </c>
      <c r="L22" s="813">
        <f t="shared" si="1"/>
        <v>0</v>
      </c>
      <c r="M22" s="813">
        <f t="shared" si="1"/>
        <v>0</v>
      </c>
      <c r="N22" s="813">
        <f t="shared" si="1"/>
        <v>8840.9021409451798</v>
      </c>
      <c r="O22" s="813">
        <f t="shared" si="1"/>
        <v>0</v>
      </c>
      <c r="P22" s="813">
        <f t="shared" si="1"/>
        <v>0</v>
      </c>
      <c r="Q22" s="813">
        <f t="shared" si="1"/>
        <v>0</v>
      </c>
      <c r="R22" s="813">
        <f t="shared" si="1"/>
        <v>174480.67385793873</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1941.2584999999999</v>
      </c>
      <c r="D24" s="1025">
        <f>+landbouw!C8</f>
        <v>79.071428571428584</v>
      </c>
      <c r="E24" s="1025">
        <f>+landbouw!D8</f>
        <v>486.36886389921023</v>
      </c>
      <c r="F24" s="1025">
        <f>+landbouw!E8</f>
        <v>17.980749300799108</v>
      </c>
      <c r="G24" s="1025">
        <f>+landbouw!F8</f>
        <v>4925.3426238647444</v>
      </c>
      <c r="H24" s="1025">
        <f>+landbouw!G8</f>
        <v>0</v>
      </c>
      <c r="I24" s="1025">
        <f>+landbouw!H8</f>
        <v>0</v>
      </c>
      <c r="J24" s="1025">
        <f>+landbouw!I8</f>
        <v>0</v>
      </c>
      <c r="K24" s="1025">
        <f>+landbouw!J8</f>
        <v>297.61659255808996</v>
      </c>
      <c r="L24" s="1025">
        <f>+landbouw!K8</f>
        <v>0</v>
      </c>
      <c r="M24" s="1025">
        <f>+landbouw!L8</f>
        <v>0</v>
      </c>
      <c r="N24" s="1025">
        <f>+landbouw!M8</f>
        <v>0</v>
      </c>
      <c r="O24" s="1025">
        <f>+landbouw!N8</f>
        <v>0</v>
      </c>
      <c r="P24" s="1025">
        <f>+landbouw!O8</f>
        <v>0</v>
      </c>
      <c r="Q24" s="1026">
        <f>+landbouw!P8</f>
        <v>0</v>
      </c>
      <c r="R24" s="701">
        <f>SUM(C24:Q24)</f>
        <v>7747.6387581942727</v>
      </c>
      <c r="S24" s="67"/>
    </row>
    <row r="25" spans="1:19" s="474" customFormat="1" ht="15" thickBot="1">
      <c r="A25" s="832" t="s">
        <v>864</v>
      </c>
      <c r="B25" s="1028"/>
      <c r="C25" s="1029">
        <f>IF(Onbekend_ele_kWh="---",0,Onbekend_ele_kWh)/1000+IF(REST_rest_ele_kWh="---",0,REST_rest_ele_kWh)/1000</f>
        <v>5508.0950000000003</v>
      </c>
      <c r="D25" s="1029"/>
      <c r="E25" s="1029">
        <f>IF(onbekend_gas_kWh="---",0,onbekend_gas_kWh)/1000+IF(REST_rest_gas_kWh="---",0,REST_rest_gas_kWh)/1000</f>
        <v>14145.915482788001</v>
      </c>
      <c r="F25" s="1029"/>
      <c r="G25" s="1029"/>
      <c r="H25" s="1029"/>
      <c r="I25" s="1029"/>
      <c r="J25" s="1029"/>
      <c r="K25" s="1029"/>
      <c r="L25" s="1029"/>
      <c r="M25" s="1029"/>
      <c r="N25" s="1029"/>
      <c r="O25" s="1029"/>
      <c r="P25" s="1029"/>
      <c r="Q25" s="1030"/>
      <c r="R25" s="701">
        <f>SUM(C25:Q25)</f>
        <v>19654.010482788002</v>
      </c>
      <c r="S25" s="67"/>
    </row>
    <row r="26" spans="1:19" s="474" customFormat="1" ht="15.75" thickBot="1">
      <c r="A26" s="706" t="s">
        <v>865</v>
      </c>
      <c r="B26" s="818"/>
      <c r="C26" s="813">
        <f>SUM(C24:C25)</f>
        <v>7449.3535000000002</v>
      </c>
      <c r="D26" s="813">
        <f t="shared" ref="D26:R26" si="2">SUM(D24:D25)</f>
        <v>79.071428571428584</v>
      </c>
      <c r="E26" s="813">
        <f t="shared" si="2"/>
        <v>14632.284346687211</v>
      </c>
      <c r="F26" s="813">
        <f t="shared" si="2"/>
        <v>17.980749300799108</v>
      </c>
      <c r="G26" s="813">
        <f t="shared" si="2"/>
        <v>4925.3426238647444</v>
      </c>
      <c r="H26" s="813">
        <f t="shared" si="2"/>
        <v>0</v>
      </c>
      <c r="I26" s="813">
        <f t="shared" si="2"/>
        <v>0</v>
      </c>
      <c r="J26" s="813">
        <f t="shared" si="2"/>
        <v>0</v>
      </c>
      <c r="K26" s="813">
        <f t="shared" si="2"/>
        <v>297.61659255808996</v>
      </c>
      <c r="L26" s="813">
        <f t="shared" si="2"/>
        <v>0</v>
      </c>
      <c r="M26" s="813">
        <f t="shared" si="2"/>
        <v>0</v>
      </c>
      <c r="N26" s="813">
        <f t="shared" si="2"/>
        <v>0</v>
      </c>
      <c r="O26" s="813">
        <f t="shared" si="2"/>
        <v>0</v>
      </c>
      <c r="P26" s="813">
        <f t="shared" si="2"/>
        <v>0</v>
      </c>
      <c r="Q26" s="813">
        <f t="shared" si="2"/>
        <v>0</v>
      </c>
      <c r="R26" s="813">
        <f t="shared" si="2"/>
        <v>27401.649240982275</v>
      </c>
      <c r="S26" s="67"/>
    </row>
    <row r="27" spans="1:19" s="474" customFormat="1" ht="17.25" thickTop="1" thickBot="1">
      <c r="A27" s="707" t="s">
        <v>116</v>
      </c>
      <c r="B27" s="806"/>
      <c r="C27" s="708">
        <f ca="1">C22+C16+C26</f>
        <v>278452.45155453356</v>
      </c>
      <c r="D27" s="708">
        <f t="shared" ref="D27:R27" ca="1" si="3">D22+D16+D26</f>
        <v>5704.0714285714284</v>
      </c>
      <c r="E27" s="708">
        <f t="shared" ca="1" si="3"/>
        <v>381749.6895848306</v>
      </c>
      <c r="F27" s="708">
        <f t="shared" si="3"/>
        <v>19366.934222485426</v>
      </c>
      <c r="G27" s="708">
        <f t="shared" ca="1" si="3"/>
        <v>108366.11926700719</v>
      </c>
      <c r="H27" s="708">
        <f t="shared" si="3"/>
        <v>138956.65797453164</v>
      </c>
      <c r="I27" s="708">
        <f t="shared" si="3"/>
        <v>26146.747749740745</v>
      </c>
      <c r="J27" s="708">
        <f t="shared" si="3"/>
        <v>0</v>
      </c>
      <c r="K27" s="708">
        <f t="shared" si="3"/>
        <v>1916.1543967842067</v>
      </c>
      <c r="L27" s="708">
        <f t="shared" si="3"/>
        <v>0</v>
      </c>
      <c r="M27" s="708">
        <f t="shared" ca="1" si="3"/>
        <v>0</v>
      </c>
      <c r="N27" s="708">
        <f t="shared" si="3"/>
        <v>8840.9021409451798</v>
      </c>
      <c r="O27" s="708">
        <f t="shared" ca="1" si="3"/>
        <v>54042.269333805292</v>
      </c>
      <c r="P27" s="708">
        <f t="shared" si="3"/>
        <v>576.87000000000012</v>
      </c>
      <c r="Q27" s="708">
        <f t="shared" si="3"/>
        <v>972.4</v>
      </c>
      <c r="R27" s="708">
        <f t="shared" ca="1" si="3"/>
        <v>1025091.2676532352</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11117.907787018214</v>
      </c>
      <c r="D40" s="1025">
        <f ca="1">tertiair!C20</f>
        <v>0</v>
      </c>
      <c r="E40" s="1025">
        <f ca="1">tertiair!D20</f>
        <v>19247.474480883146</v>
      </c>
      <c r="F40" s="1025">
        <f>tertiair!E20</f>
        <v>118.17408692833524</v>
      </c>
      <c r="G40" s="1025">
        <f ca="1">tertiair!F20</f>
        <v>2046.6234962298747</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32530.179851059569</v>
      </c>
    </row>
    <row r="41" spans="1:18">
      <c r="A41" s="823" t="s">
        <v>225</v>
      </c>
      <c r="B41" s="830"/>
      <c r="C41" s="1025">
        <f ca="1">huishoudens!B12</f>
        <v>11525.769408467697</v>
      </c>
      <c r="D41" s="1025">
        <f ca="1">huishoudens!C12</f>
        <v>0</v>
      </c>
      <c r="E41" s="1025">
        <f>huishoudens!D12</f>
        <v>19586.333335987023</v>
      </c>
      <c r="F41" s="1025">
        <f>huishoudens!E12</f>
        <v>2074.7723358965873</v>
      </c>
      <c r="G41" s="1025">
        <f>huishoudens!F12</f>
        <v>11479.048954112344</v>
      </c>
      <c r="H41" s="1025">
        <f>huishoudens!G12</f>
        <v>0</v>
      </c>
      <c r="I41" s="1025">
        <f>huishoudens!H12</f>
        <v>0</v>
      </c>
      <c r="J41" s="1025">
        <f>huishoudens!I12</f>
        <v>0</v>
      </c>
      <c r="K41" s="1025">
        <f>huishoudens!J12</f>
        <v>329.96939302055114</v>
      </c>
      <c r="L41" s="1025">
        <f>huishoudens!K12</f>
        <v>0</v>
      </c>
      <c r="M41" s="1025">
        <f>huishoudens!L12</f>
        <v>0</v>
      </c>
      <c r="N41" s="1025">
        <f>huishoudens!M12</f>
        <v>0</v>
      </c>
      <c r="O41" s="1025">
        <f>huishoudens!N12</f>
        <v>0</v>
      </c>
      <c r="P41" s="1025">
        <f>huishoudens!O12</f>
        <v>0</v>
      </c>
      <c r="Q41" s="775">
        <f>huishoudens!P12</f>
        <v>0</v>
      </c>
      <c r="R41" s="851">
        <f t="shared" ca="1" si="4"/>
        <v>44995.89342748421</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33854.120618578505</v>
      </c>
      <c r="D43" s="1025">
        <f ca="1">industrie!C22</f>
        <v>1336.3501804094599</v>
      </c>
      <c r="E43" s="1025">
        <f>industrie!D22</f>
        <v>35309.939083396217</v>
      </c>
      <c r="F43" s="1025">
        <f>industrie!E22</f>
        <v>2099.1935205942455</v>
      </c>
      <c r="G43" s="1025">
        <f>industrie!F22</f>
        <v>14093.014913376819</v>
      </c>
      <c r="H43" s="1025">
        <f>industrie!G22</f>
        <v>0</v>
      </c>
      <c r="I43" s="1025">
        <f>industrie!H22</f>
        <v>0</v>
      </c>
      <c r="J43" s="1025">
        <f>industrie!I22</f>
        <v>0</v>
      </c>
      <c r="K43" s="1025">
        <f>industrie!J22</f>
        <v>242.99298967549416</v>
      </c>
      <c r="L43" s="1025">
        <f>industrie!K22</f>
        <v>0</v>
      </c>
      <c r="M43" s="1025">
        <f>industrie!L22</f>
        <v>0</v>
      </c>
      <c r="N43" s="1025">
        <f>industrie!M22</f>
        <v>0</v>
      </c>
      <c r="O43" s="1025">
        <f>industrie!N22</f>
        <v>0</v>
      </c>
      <c r="P43" s="1025">
        <f>industrie!O22</f>
        <v>0</v>
      </c>
      <c r="Q43" s="775">
        <f>industrie!P22</f>
        <v>0</v>
      </c>
      <c r="R43" s="850">
        <f t="shared" ca="1" si="4"/>
        <v>86935.611306030725</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56497.797814064412</v>
      </c>
      <c r="D46" s="733">
        <f t="shared" ref="D46:Q46" ca="1" si="5">SUM(D39:D45)</f>
        <v>1336.3501804094599</v>
      </c>
      <c r="E46" s="733">
        <f t="shared" ca="1" si="5"/>
        <v>74143.746900266386</v>
      </c>
      <c r="F46" s="733">
        <f t="shared" si="5"/>
        <v>4292.139943419168</v>
      </c>
      <c r="G46" s="733">
        <f t="shared" ca="1" si="5"/>
        <v>27618.687363719037</v>
      </c>
      <c r="H46" s="733">
        <f t="shared" si="5"/>
        <v>0</v>
      </c>
      <c r="I46" s="733">
        <f t="shared" si="5"/>
        <v>0</v>
      </c>
      <c r="J46" s="733">
        <f t="shared" si="5"/>
        <v>0</v>
      </c>
      <c r="K46" s="733">
        <f t="shared" si="5"/>
        <v>572.96238269604532</v>
      </c>
      <c r="L46" s="733">
        <f t="shared" si="5"/>
        <v>0</v>
      </c>
      <c r="M46" s="733">
        <f t="shared" ca="1" si="5"/>
        <v>0</v>
      </c>
      <c r="N46" s="733">
        <f t="shared" si="5"/>
        <v>0</v>
      </c>
      <c r="O46" s="733">
        <f t="shared" ca="1" si="5"/>
        <v>0</v>
      </c>
      <c r="P46" s="733">
        <f t="shared" si="5"/>
        <v>0</v>
      </c>
      <c r="Q46" s="733">
        <f t="shared" si="5"/>
        <v>0</v>
      </c>
      <c r="R46" s="733">
        <f ca="1">SUM(R39:R45)</f>
        <v>164461.68458457448</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653.3643051569195</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653.3643051569195</v>
      </c>
    </row>
    <row r="50" spans="1:18">
      <c r="A50" s="826" t="s">
        <v>307</v>
      </c>
      <c r="B50" s="836"/>
      <c r="C50" s="704">
        <f ca="1">transport!B18</f>
        <v>5.4969655937458368</v>
      </c>
      <c r="D50" s="704">
        <f>transport!C18</f>
        <v>0</v>
      </c>
      <c r="E50" s="704">
        <f>transport!D18</f>
        <v>13.968957838589462</v>
      </c>
      <c r="F50" s="704">
        <f>transport!E18</f>
        <v>100.07249499374335</v>
      </c>
      <c r="G50" s="704">
        <f>transport!F18</f>
        <v>0</v>
      </c>
      <c r="H50" s="704">
        <f>transport!G18</f>
        <v>36448.063374043035</v>
      </c>
      <c r="I50" s="704">
        <f>transport!H18</f>
        <v>6510.5401896854455</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43078.141982154557</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5.4969655937458368</v>
      </c>
      <c r="D52" s="733">
        <f t="shared" ref="D52:Q52" ca="1" si="6">SUM(D48:D51)</f>
        <v>0</v>
      </c>
      <c r="E52" s="733">
        <f t="shared" si="6"/>
        <v>13.968957838589462</v>
      </c>
      <c r="F52" s="733">
        <f t="shared" si="6"/>
        <v>100.07249499374335</v>
      </c>
      <c r="G52" s="733">
        <f t="shared" si="6"/>
        <v>0</v>
      </c>
      <c r="H52" s="733">
        <f t="shared" si="6"/>
        <v>37101.427679199951</v>
      </c>
      <c r="I52" s="733">
        <f t="shared" si="6"/>
        <v>6510.5401896854455</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43731.506287311473</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404.74630015832793</v>
      </c>
      <c r="D54" s="704">
        <f ca="1">+landbouw!C12</f>
        <v>18.78526539318441</v>
      </c>
      <c r="E54" s="704">
        <f>+landbouw!D12</f>
        <v>98.246510507640465</v>
      </c>
      <c r="F54" s="704">
        <f>+landbouw!E12</f>
        <v>4.0816300912813972</v>
      </c>
      <c r="G54" s="704">
        <f>+landbouw!F12</f>
        <v>1315.0664805718868</v>
      </c>
      <c r="H54" s="704">
        <f>+landbouw!G12</f>
        <v>0</v>
      </c>
      <c r="I54" s="704">
        <f>+landbouw!H12</f>
        <v>0</v>
      </c>
      <c r="J54" s="704">
        <f>+landbouw!I12</f>
        <v>0</v>
      </c>
      <c r="K54" s="704">
        <f>+landbouw!J12</f>
        <v>105.35627376556384</v>
      </c>
      <c r="L54" s="704">
        <f>+landbouw!K12</f>
        <v>0</v>
      </c>
      <c r="M54" s="704">
        <f>+landbouw!L12</f>
        <v>0</v>
      </c>
      <c r="N54" s="704">
        <f>+landbouw!M12</f>
        <v>0</v>
      </c>
      <c r="O54" s="704">
        <f>+landbouw!N12</f>
        <v>0</v>
      </c>
      <c r="P54" s="704">
        <f>+landbouw!O12</f>
        <v>0</v>
      </c>
      <c r="Q54" s="705">
        <f>+landbouw!P12</f>
        <v>0</v>
      </c>
      <c r="R54" s="732">
        <f ca="1">SUM(C54:Q54)</f>
        <v>1946.2824604878849</v>
      </c>
    </row>
    <row r="55" spans="1:18" ht="15" thickBot="1">
      <c r="A55" s="826" t="s">
        <v>864</v>
      </c>
      <c r="B55" s="836"/>
      <c r="C55" s="704">
        <f ca="1">C25*'EF ele_warmte'!B12</f>
        <v>1148.4205077121803</v>
      </c>
      <c r="D55" s="704"/>
      <c r="E55" s="704">
        <f>E25*EF_CO2_aardgas</f>
        <v>2857.4749275231766</v>
      </c>
      <c r="F55" s="704"/>
      <c r="G55" s="704"/>
      <c r="H55" s="704"/>
      <c r="I55" s="704"/>
      <c r="J55" s="704"/>
      <c r="K55" s="704"/>
      <c r="L55" s="704"/>
      <c r="M55" s="704"/>
      <c r="N55" s="704"/>
      <c r="O55" s="704"/>
      <c r="P55" s="704"/>
      <c r="Q55" s="705"/>
      <c r="R55" s="732">
        <f ca="1">SUM(C55:Q55)</f>
        <v>4005.8954352353567</v>
      </c>
    </row>
    <row r="56" spans="1:18" ht="15.75" thickBot="1">
      <c r="A56" s="824" t="s">
        <v>865</v>
      </c>
      <c r="B56" s="837"/>
      <c r="C56" s="733">
        <f ca="1">SUM(C54:C55)</f>
        <v>1553.1668078705084</v>
      </c>
      <c r="D56" s="733">
        <f t="shared" ref="D56:Q56" ca="1" si="7">SUM(D54:D55)</f>
        <v>18.78526539318441</v>
      </c>
      <c r="E56" s="733">
        <f t="shared" si="7"/>
        <v>2955.7214380308169</v>
      </c>
      <c r="F56" s="733">
        <f t="shared" si="7"/>
        <v>4.0816300912813972</v>
      </c>
      <c r="G56" s="733">
        <f t="shared" si="7"/>
        <v>1315.0664805718868</v>
      </c>
      <c r="H56" s="733">
        <f t="shared" si="7"/>
        <v>0</v>
      </c>
      <c r="I56" s="733">
        <f t="shared" si="7"/>
        <v>0</v>
      </c>
      <c r="J56" s="733">
        <f t="shared" si="7"/>
        <v>0</v>
      </c>
      <c r="K56" s="733">
        <f t="shared" si="7"/>
        <v>105.35627376556384</v>
      </c>
      <c r="L56" s="733">
        <f t="shared" si="7"/>
        <v>0</v>
      </c>
      <c r="M56" s="733">
        <f t="shared" si="7"/>
        <v>0</v>
      </c>
      <c r="N56" s="733">
        <f t="shared" si="7"/>
        <v>0</v>
      </c>
      <c r="O56" s="733">
        <f t="shared" si="7"/>
        <v>0</v>
      </c>
      <c r="P56" s="733">
        <f t="shared" si="7"/>
        <v>0</v>
      </c>
      <c r="Q56" s="734">
        <f t="shared" si="7"/>
        <v>0</v>
      </c>
      <c r="R56" s="735">
        <f ca="1">SUM(R54:R55)</f>
        <v>5952.1778957232418</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58056.461587528669</v>
      </c>
      <c r="D61" s="741">
        <f t="shared" ref="D61:Q61" ca="1" si="8">D46+D52+D56</f>
        <v>1355.1354458026442</v>
      </c>
      <c r="E61" s="741">
        <f t="shared" ca="1" si="8"/>
        <v>77113.437296135788</v>
      </c>
      <c r="F61" s="741">
        <f t="shared" si="8"/>
        <v>4396.2940685041922</v>
      </c>
      <c r="G61" s="741">
        <f t="shared" ca="1" si="8"/>
        <v>28933.753844290924</v>
      </c>
      <c r="H61" s="741">
        <f t="shared" si="8"/>
        <v>37101.427679199951</v>
      </c>
      <c r="I61" s="741">
        <f t="shared" si="8"/>
        <v>6510.5401896854455</v>
      </c>
      <c r="J61" s="741">
        <f t="shared" si="8"/>
        <v>0</v>
      </c>
      <c r="K61" s="741">
        <f t="shared" si="8"/>
        <v>678.31865646160918</v>
      </c>
      <c r="L61" s="741">
        <f t="shared" si="8"/>
        <v>0</v>
      </c>
      <c r="M61" s="741">
        <f t="shared" ca="1" si="8"/>
        <v>0</v>
      </c>
      <c r="N61" s="741">
        <f t="shared" si="8"/>
        <v>0</v>
      </c>
      <c r="O61" s="741">
        <f t="shared" ca="1" si="8"/>
        <v>0</v>
      </c>
      <c r="P61" s="741">
        <f t="shared" si="8"/>
        <v>0</v>
      </c>
      <c r="Q61" s="741">
        <f t="shared" si="8"/>
        <v>0</v>
      </c>
      <c r="R61" s="741">
        <f ca="1">R46+R52+R56</f>
        <v>214145.36876760918</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0.20849685920670946</v>
      </c>
      <c r="D63" s="782">
        <f t="shared" ca="1" si="9"/>
        <v>0.2375733654061262</v>
      </c>
      <c r="E63" s="1036">
        <f t="shared" ca="1" si="9"/>
        <v>0.20200000000000001</v>
      </c>
      <c r="F63" s="782">
        <f t="shared" si="9"/>
        <v>0.22700000000000004</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16051.277227888993</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3970.35</v>
      </c>
      <c r="D76" s="1046">
        <f>'lokale energieproductie'!C8</f>
        <v>4669.5515412881832</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943.2494113402131</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16051.277227888993</v>
      </c>
      <c r="C78" s="756">
        <f>SUM(C72:C77)</f>
        <v>3970.35</v>
      </c>
      <c r="D78" s="757">
        <f t="shared" ref="D78:H78" si="10">SUM(D76:D77)</f>
        <v>4669.5515412881832</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943.2494113402131</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5704.0714285714284</v>
      </c>
      <c r="D87" s="778">
        <f>'lokale energieproductie'!C17</f>
        <v>6708.5913158546737</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1355.1354458026442</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5704.0714285714284</v>
      </c>
      <c r="D90" s="756">
        <f t="shared" ref="D90:H90" si="12">SUM(D87:D89)</f>
        <v>6708.5913158546737</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1355.1354458026442</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16051.277227888993</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3970.35</v>
      </c>
      <c r="C8" s="571">
        <f>B101</f>
        <v>4669.5515412881832</v>
      </c>
      <c r="D8" s="1056"/>
      <c r="E8" s="1056">
        <f>E101</f>
        <v>0</v>
      </c>
      <c r="F8" s="1057"/>
      <c r="G8" s="572"/>
      <c r="H8" s="1056">
        <f>I101</f>
        <v>0</v>
      </c>
      <c r="I8" s="1056">
        <f>G101+F101</f>
        <v>0</v>
      </c>
      <c r="J8" s="1056">
        <f>H101+D101+C101</f>
        <v>0</v>
      </c>
      <c r="K8" s="1056"/>
      <c r="L8" s="1056"/>
      <c r="M8" s="1056"/>
      <c r="N8" s="573"/>
      <c r="O8" s="574">
        <f>C8*$C$12+D8*$D$12+E8*$E$12+F8*$F$12+G8*$G$12+H8*$H$12+I8*$I$12+J8*$J$12</f>
        <v>943.2494113402131</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20021.627227888992</v>
      </c>
      <c r="C10" s="584">
        <f t="shared" ref="C10:L10" si="0">SUM(C8:C9)</f>
        <v>4669.5515412881832</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943.2494113402131</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5704.0714285714284</v>
      </c>
      <c r="C17" s="596">
        <f>B102</f>
        <v>6708.5913158546737</v>
      </c>
      <c r="D17" s="597"/>
      <c r="E17" s="597">
        <f>E102</f>
        <v>0</v>
      </c>
      <c r="F17" s="1062"/>
      <c r="G17" s="598"/>
      <c r="H17" s="596">
        <f>I102</f>
        <v>0</v>
      </c>
      <c r="I17" s="597">
        <f>G102+F102</f>
        <v>0</v>
      </c>
      <c r="J17" s="597">
        <f>H102+D102+C102</f>
        <v>0</v>
      </c>
      <c r="K17" s="597"/>
      <c r="L17" s="597"/>
      <c r="M17" s="597"/>
      <c r="N17" s="1063"/>
      <c r="O17" s="599">
        <f>C17*$C$22+E17*$E$22+H17*$H$22+I17*$I$22+J17*$J$22+D17*$D$22+F17*$F$22+G17*$G$22+K17*$K$22+L17*$L$22</f>
        <v>1355.1354458026442</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5704.0714285714284</v>
      </c>
      <c r="C20" s="583">
        <f>SUM(C17:C19)</f>
        <v>6708.5913158546737</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1355.1354458026442</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45035</v>
      </c>
      <c r="C28" s="797">
        <v>9700</v>
      </c>
      <c r="D28" s="654" t="s">
        <v>907</v>
      </c>
      <c r="E28" s="653" t="s">
        <v>908</v>
      </c>
      <c r="F28" s="653" t="s">
        <v>909</v>
      </c>
      <c r="G28" s="653" t="s">
        <v>910</v>
      </c>
      <c r="H28" s="653" t="s">
        <v>911</v>
      </c>
      <c r="I28" s="653" t="s">
        <v>908</v>
      </c>
      <c r="J28" s="796">
        <v>40660</v>
      </c>
      <c r="K28" s="796">
        <v>40975</v>
      </c>
      <c r="L28" s="653" t="s">
        <v>912</v>
      </c>
      <c r="M28" s="653">
        <v>875</v>
      </c>
      <c r="N28" s="653">
        <v>3937.5</v>
      </c>
      <c r="O28" s="653">
        <v>5625</v>
      </c>
      <c r="P28" s="653">
        <v>11250</v>
      </c>
      <c r="Q28" s="653">
        <v>0</v>
      </c>
      <c r="R28" s="653">
        <v>0</v>
      </c>
      <c r="S28" s="653">
        <v>0</v>
      </c>
      <c r="T28" s="653">
        <v>0</v>
      </c>
      <c r="U28" s="653">
        <v>0</v>
      </c>
      <c r="V28" s="653">
        <v>0</v>
      </c>
      <c r="W28" s="653">
        <v>0</v>
      </c>
      <c r="X28" s="653">
        <v>300</v>
      </c>
      <c r="Y28" s="653" t="s">
        <v>913</v>
      </c>
      <c r="Z28" s="655" t="s">
        <v>389</v>
      </c>
    </row>
    <row r="29" spans="1:26" s="607" customFormat="1" ht="25.5">
      <c r="A29" s="606"/>
      <c r="B29" s="797">
        <v>45035</v>
      </c>
      <c r="C29" s="797">
        <v>9700</v>
      </c>
      <c r="D29" s="654" t="s">
        <v>914</v>
      </c>
      <c r="E29" s="653" t="s">
        <v>915</v>
      </c>
      <c r="F29" s="653" t="s">
        <v>916</v>
      </c>
      <c r="G29" s="653" t="s">
        <v>917</v>
      </c>
      <c r="H29" s="653" t="s">
        <v>917</v>
      </c>
      <c r="I29" s="653" t="s">
        <v>915</v>
      </c>
      <c r="J29" s="796">
        <v>40892</v>
      </c>
      <c r="K29" s="796">
        <v>41000</v>
      </c>
      <c r="L29" s="653" t="s">
        <v>912</v>
      </c>
      <c r="M29" s="653">
        <v>1</v>
      </c>
      <c r="N29" s="653">
        <v>4.5</v>
      </c>
      <c r="O29" s="653">
        <v>22.5</v>
      </c>
      <c r="P29" s="653">
        <v>30</v>
      </c>
      <c r="Q29" s="653">
        <v>0</v>
      </c>
      <c r="R29" s="653">
        <v>0</v>
      </c>
      <c r="S29" s="653">
        <v>0</v>
      </c>
      <c r="T29" s="653">
        <v>0</v>
      </c>
      <c r="U29" s="653">
        <v>0</v>
      </c>
      <c r="V29" s="653">
        <v>0</v>
      </c>
      <c r="W29" s="653">
        <v>0</v>
      </c>
      <c r="X29" s="653">
        <v>10</v>
      </c>
      <c r="Y29" s="653" t="s">
        <v>112</v>
      </c>
      <c r="Z29" s="655" t="s">
        <v>112</v>
      </c>
    </row>
    <row r="30" spans="1:26" s="607" customFormat="1" ht="25.5">
      <c r="A30" s="606"/>
      <c r="B30" s="797">
        <v>45035</v>
      </c>
      <c r="C30" s="797">
        <v>9700</v>
      </c>
      <c r="D30" s="654" t="s">
        <v>918</v>
      </c>
      <c r="E30" s="653" t="s">
        <v>919</v>
      </c>
      <c r="F30" s="653" t="s">
        <v>920</v>
      </c>
      <c r="G30" s="653" t="s">
        <v>917</v>
      </c>
      <c r="H30" s="653" t="s">
        <v>917</v>
      </c>
      <c r="I30" s="653" t="s">
        <v>919</v>
      </c>
      <c r="J30" s="796">
        <v>40512</v>
      </c>
      <c r="K30" s="796">
        <v>41122</v>
      </c>
      <c r="L30" s="653" t="s">
        <v>912</v>
      </c>
      <c r="M30" s="653">
        <v>1</v>
      </c>
      <c r="N30" s="653">
        <v>4.5</v>
      </c>
      <c r="O30" s="653">
        <v>22.5</v>
      </c>
      <c r="P30" s="653">
        <v>30</v>
      </c>
      <c r="Q30" s="653">
        <v>0</v>
      </c>
      <c r="R30" s="653">
        <v>0</v>
      </c>
      <c r="S30" s="653">
        <v>0</v>
      </c>
      <c r="T30" s="653">
        <v>0</v>
      </c>
      <c r="U30" s="653">
        <v>0</v>
      </c>
      <c r="V30" s="653">
        <v>0</v>
      </c>
      <c r="W30" s="653">
        <v>0</v>
      </c>
      <c r="X30" s="653">
        <v>10</v>
      </c>
      <c r="Y30" s="653" t="s">
        <v>112</v>
      </c>
      <c r="Z30" s="655" t="s">
        <v>112</v>
      </c>
    </row>
    <row r="31" spans="1:26" s="607" customFormat="1" ht="38.25">
      <c r="A31" s="606"/>
      <c r="B31" s="797">
        <v>45035</v>
      </c>
      <c r="C31" s="797">
        <v>9700</v>
      </c>
      <c r="D31" s="654" t="s">
        <v>921</v>
      </c>
      <c r="E31" s="653" t="s">
        <v>922</v>
      </c>
      <c r="F31" s="653" t="s">
        <v>923</v>
      </c>
      <c r="G31" s="653" t="s">
        <v>910</v>
      </c>
      <c r="H31" s="653" t="s">
        <v>911</v>
      </c>
      <c r="I31" s="653" t="s">
        <v>922</v>
      </c>
      <c r="J31" s="796">
        <v>41463</v>
      </c>
      <c r="K31" s="796">
        <v>41495</v>
      </c>
      <c r="L31" s="653" t="s">
        <v>912</v>
      </c>
      <c r="M31" s="653">
        <v>5.3</v>
      </c>
      <c r="N31" s="653">
        <v>23.85</v>
      </c>
      <c r="O31" s="653">
        <v>34.071428571428577</v>
      </c>
      <c r="P31" s="653">
        <v>68.142857142857153</v>
      </c>
      <c r="Q31" s="653">
        <v>0</v>
      </c>
      <c r="R31" s="653">
        <v>0</v>
      </c>
      <c r="S31" s="653">
        <v>0</v>
      </c>
      <c r="T31" s="653">
        <v>0</v>
      </c>
      <c r="U31" s="653">
        <v>0</v>
      </c>
      <c r="V31" s="653">
        <v>0</v>
      </c>
      <c r="W31" s="653">
        <v>0</v>
      </c>
      <c r="X31" s="653">
        <v>10</v>
      </c>
      <c r="Y31" s="653" t="s">
        <v>112</v>
      </c>
      <c r="Z31" s="655" t="s">
        <v>112</v>
      </c>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882.3</v>
      </c>
      <c r="N58" s="611">
        <f>SUM(N28:N57)</f>
        <v>3970.35</v>
      </c>
      <c r="O58" s="611">
        <f t="shared" ref="O58:W58" si="2">SUM(O28:O57)</f>
        <v>5704.0714285714284</v>
      </c>
      <c r="P58" s="611">
        <f t="shared" si="2"/>
        <v>11378.142857142857</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875</v>
      </c>
      <c r="N59" s="611">
        <f t="shared" si="3"/>
        <v>3937.5</v>
      </c>
      <c r="O59" s="611">
        <f t="shared" si="3"/>
        <v>5625</v>
      </c>
      <c r="P59" s="611">
        <f t="shared" si="3"/>
        <v>11250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7.3</v>
      </c>
      <c r="N61" s="616">
        <f t="shared" si="4"/>
        <v>32.85</v>
      </c>
      <c r="O61" s="616">
        <f t="shared" si="4"/>
        <v>79.071428571428584</v>
      </c>
      <c r="P61" s="616">
        <f t="shared" si="4"/>
        <v>128.14285714285717</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0.58960336498528154</v>
      </c>
      <c r="C98" s="636">
        <f>IF(ISERROR(N58/(O58+N58)),0,N58/(N58+O58))</f>
        <v>0.41039663501471851</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4669.5515412881832</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6708.5913158546737</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55280.302314006258</v>
      </c>
      <c r="C4" s="478">
        <f>huishoudens!C8</f>
        <v>0</v>
      </c>
      <c r="D4" s="478">
        <f>huishoudens!D8</f>
        <v>96962.046217757525</v>
      </c>
      <c r="E4" s="478">
        <f>huishoudens!E8</f>
        <v>9139.9662374298987</v>
      </c>
      <c r="F4" s="478">
        <f>huishoudens!F8</f>
        <v>42992.692712031247</v>
      </c>
      <c r="G4" s="478">
        <f>huishoudens!G8</f>
        <v>0</v>
      </c>
      <c r="H4" s="478">
        <f>huishoudens!H8</f>
        <v>0</v>
      </c>
      <c r="I4" s="478">
        <f>huishoudens!I8</f>
        <v>0</v>
      </c>
      <c r="J4" s="478">
        <f>huishoudens!J8</f>
        <v>932.11692943658511</v>
      </c>
      <c r="K4" s="478">
        <f>huishoudens!K8</f>
        <v>0</v>
      </c>
      <c r="L4" s="478">
        <f>huishoudens!L8</f>
        <v>0</v>
      </c>
      <c r="M4" s="478">
        <f>huishoudens!M8</f>
        <v>0</v>
      </c>
      <c r="N4" s="478">
        <f>huishoudens!N8</f>
        <v>19104.562519172334</v>
      </c>
      <c r="O4" s="478">
        <f>huishoudens!O8</f>
        <v>572.18000000000006</v>
      </c>
      <c r="P4" s="479">
        <f>huishoudens!P8</f>
        <v>953.33333333333326</v>
      </c>
      <c r="Q4" s="480">
        <f>SUM(B4:P4)</f>
        <v>225937.20026316718</v>
      </c>
    </row>
    <row r="5" spans="1:17">
      <c r="A5" s="477" t="s">
        <v>156</v>
      </c>
      <c r="B5" s="478">
        <f ca="1">tertiair!B16</f>
        <v>50886.420000000006</v>
      </c>
      <c r="C5" s="478">
        <f ca="1">tertiair!C16</f>
        <v>0</v>
      </c>
      <c r="D5" s="478">
        <f ca="1">tertiair!D16</f>
        <v>95284.527133084877</v>
      </c>
      <c r="E5" s="478">
        <f>tertiair!E16</f>
        <v>520.59069131425213</v>
      </c>
      <c r="F5" s="478">
        <f ca="1">tertiair!F16</f>
        <v>7665.256540186796</v>
      </c>
      <c r="G5" s="478">
        <f>tertiair!G16</f>
        <v>0</v>
      </c>
      <c r="H5" s="478">
        <f>tertiair!H16</f>
        <v>0</v>
      </c>
      <c r="I5" s="478">
        <f>tertiair!I16</f>
        <v>0</v>
      </c>
      <c r="J5" s="478">
        <f>tertiair!J16</f>
        <v>0</v>
      </c>
      <c r="K5" s="478">
        <f>tertiair!K16</f>
        <v>0</v>
      </c>
      <c r="L5" s="478">
        <f ca="1">tertiair!L16</f>
        <v>0</v>
      </c>
      <c r="M5" s="478">
        <f>tertiair!M16</f>
        <v>0</v>
      </c>
      <c r="N5" s="478">
        <f ca="1">tertiair!N16</f>
        <v>4646.5841028306795</v>
      </c>
      <c r="O5" s="478">
        <f>tertiair!O16</f>
        <v>4.6900000000000004</v>
      </c>
      <c r="P5" s="479">
        <f>tertiair!P16</f>
        <v>19.066666666666666</v>
      </c>
      <c r="Q5" s="477">
        <f t="shared" ref="Q5:Q14" ca="1" si="0">SUM(B5:P5)</f>
        <v>159027.13513408328</v>
      </c>
    </row>
    <row r="6" spans="1:17">
      <c r="A6" s="477" t="s">
        <v>194</v>
      </c>
      <c r="B6" s="478">
        <f>'openbare verlichting'!B8</f>
        <v>2437.6819999999998</v>
      </c>
      <c r="C6" s="478"/>
      <c r="D6" s="478"/>
      <c r="E6" s="478"/>
      <c r="F6" s="478"/>
      <c r="G6" s="478"/>
      <c r="H6" s="478"/>
      <c r="I6" s="478"/>
      <c r="J6" s="478"/>
      <c r="K6" s="478"/>
      <c r="L6" s="478"/>
      <c r="M6" s="478"/>
      <c r="N6" s="478"/>
      <c r="O6" s="478"/>
      <c r="P6" s="479"/>
      <c r="Q6" s="477">
        <f t="shared" si="0"/>
        <v>2437.6819999999998</v>
      </c>
    </row>
    <row r="7" spans="1:17">
      <c r="A7" s="477" t="s">
        <v>112</v>
      </c>
      <c r="B7" s="478">
        <f>landbouw!B8</f>
        <v>1941.2584999999999</v>
      </c>
      <c r="C7" s="478">
        <f>landbouw!C8</f>
        <v>79.071428571428584</v>
      </c>
      <c r="D7" s="478">
        <f>landbouw!D8</f>
        <v>486.36886389921023</v>
      </c>
      <c r="E7" s="478">
        <f>landbouw!E8</f>
        <v>17.980749300799108</v>
      </c>
      <c r="F7" s="478">
        <f>landbouw!F8</f>
        <v>4925.3426238647444</v>
      </c>
      <c r="G7" s="478">
        <f>landbouw!G8</f>
        <v>0</v>
      </c>
      <c r="H7" s="478">
        <f>landbouw!H8</f>
        <v>0</v>
      </c>
      <c r="I7" s="478">
        <f>landbouw!I8</f>
        <v>0</v>
      </c>
      <c r="J7" s="478">
        <f>landbouw!J8</f>
        <v>297.61659255808996</v>
      </c>
      <c r="K7" s="478">
        <f>landbouw!K8</f>
        <v>0</v>
      </c>
      <c r="L7" s="478">
        <f>landbouw!L8</f>
        <v>0</v>
      </c>
      <c r="M7" s="478">
        <f>landbouw!M8</f>
        <v>0</v>
      </c>
      <c r="N7" s="478">
        <f>landbouw!N8</f>
        <v>0</v>
      </c>
      <c r="O7" s="478">
        <f>landbouw!O8</f>
        <v>0</v>
      </c>
      <c r="P7" s="479">
        <f>landbouw!P8</f>
        <v>0</v>
      </c>
      <c r="Q7" s="477">
        <f t="shared" si="0"/>
        <v>7747.6387581942727</v>
      </c>
    </row>
    <row r="8" spans="1:17">
      <c r="A8" s="477" t="s">
        <v>650</v>
      </c>
      <c r="B8" s="478">
        <f>industrie!B18</f>
        <v>162372.329</v>
      </c>
      <c r="C8" s="478">
        <f>industrie!C18</f>
        <v>5625</v>
      </c>
      <c r="D8" s="478">
        <f>industrie!D18</f>
        <v>174801.67863067432</v>
      </c>
      <c r="E8" s="478">
        <f>industrie!E18</f>
        <v>9247.5485488733284</v>
      </c>
      <c r="F8" s="478">
        <f>industrie!F18</f>
        <v>52782.827390924416</v>
      </c>
      <c r="G8" s="478">
        <f>industrie!G18</f>
        <v>0</v>
      </c>
      <c r="H8" s="478">
        <f>industrie!H18</f>
        <v>0</v>
      </c>
      <c r="I8" s="478">
        <f>industrie!I18</f>
        <v>0</v>
      </c>
      <c r="J8" s="478">
        <f>industrie!J18</f>
        <v>686.42087478953158</v>
      </c>
      <c r="K8" s="478">
        <f>industrie!K18</f>
        <v>0</v>
      </c>
      <c r="L8" s="478">
        <f>industrie!L18</f>
        <v>0</v>
      </c>
      <c r="M8" s="478">
        <f>industrie!M18</f>
        <v>0</v>
      </c>
      <c r="N8" s="478">
        <f>industrie!N18</f>
        <v>30291.12271180228</v>
      </c>
      <c r="O8" s="478">
        <f>industrie!O18</f>
        <v>0</v>
      </c>
      <c r="P8" s="479">
        <f>industrie!P18</f>
        <v>0</v>
      </c>
      <c r="Q8" s="477">
        <f t="shared" si="0"/>
        <v>435806.92715706385</v>
      </c>
    </row>
    <row r="9" spans="1:17" s="483" customFormat="1">
      <c r="A9" s="481" t="s">
        <v>571</v>
      </c>
      <c r="B9" s="482">
        <f>transport!B14</f>
        <v>26.364740527318908</v>
      </c>
      <c r="C9" s="482">
        <f>transport!C14</f>
        <v>0</v>
      </c>
      <c r="D9" s="482">
        <f>transport!D14</f>
        <v>69.153256626680502</v>
      </c>
      <c r="E9" s="482">
        <f>transport!E14</f>
        <v>440.84799556715132</v>
      </c>
      <c r="F9" s="482">
        <f>transport!F14</f>
        <v>0</v>
      </c>
      <c r="G9" s="482">
        <f>transport!G14</f>
        <v>136509.60065184656</v>
      </c>
      <c r="H9" s="482">
        <f>transport!H14</f>
        <v>26146.747749740745</v>
      </c>
      <c r="I9" s="482">
        <f>transport!I14</f>
        <v>0</v>
      </c>
      <c r="J9" s="482">
        <f>transport!J14</f>
        <v>0</v>
      </c>
      <c r="K9" s="482">
        <f>transport!K14</f>
        <v>0</v>
      </c>
      <c r="L9" s="482">
        <f>transport!L14</f>
        <v>0</v>
      </c>
      <c r="M9" s="482">
        <f>transport!M14</f>
        <v>8701.3535953898972</v>
      </c>
      <c r="N9" s="482">
        <f>transport!N14</f>
        <v>0</v>
      </c>
      <c r="O9" s="482">
        <f>transport!O14</f>
        <v>0</v>
      </c>
      <c r="P9" s="482">
        <f>transport!P14</f>
        <v>0</v>
      </c>
      <c r="Q9" s="481">
        <f>SUM(B9:P9)</f>
        <v>171894.06798969835</v>
      </c>
    </row>
    <row r="10" spans="1:17">
      <c r="A10" s="477" t="s">
        <v>561</v>
      </c>
      <c r="B10" s="478">
        <f>transport!B54</f>
        <v>0</v>
      </c>
      <c r="C10" s="478">
        <f>transport!C54</f>
        <v>0</v>
      </c>
      <c r="D10" s="478">
        <f>transport!D54</f>
        <v>0</v>
      </c>
      <c r="E10" s="478">
        <f>transport!E54</f>
        <v>0</v>
      </c>
      <c r="F10" s="478">
        <f>transport!F54</f>
        <v>0</v>
      </c>
      <c r="G10" s="478">
        <f>transport!G54</f>
        <v>2447.0573226850915</v>
      </c>
      <c r="H10" s="478">
        <f>transport!H54</f>
        <v>0</v>
      </c>
      <c r="I10" s="478">
        <f>transport!I54</f>
        <v>0</v>
      </c>
      <c r="J10" s="478">
        <f>transport!J54</f>
        <v>0</v>
      </c>
      <c r="K10" s="478">
        <f>transport!K54</f>
        <v>0</v>
      </c>
      <c r="L10" s="478">
        <f>transport!L54</f>
        <v>0</v>
      </c>
      <c r="M10" s="478">
        <f>transport!M54</f>
        <v>139.54854555528215</v>
      </c>
      <c r="N10" s="478">
        <f>transport!N54</f>
        <v>0</v>
      </c>
      <c r="O10" s="478">
        <f>transport!O54</f>
        <v>0</v>
      </c>
      <c r="P10" s="479">
        <f>transport!P54</f>
        <v>0</v>
      </c>
      <c r="Q10" s="477">
        <f t="shared" si="0"/>
        <v>2586.6058682403736</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5508.0950000000003</v>
      </c>
      <c r="C14" s="485"/>
      <c r="D14" s="485">
        <f>'SEAP template'!E25</f>
        <v>14145.915482788001</v>
      </c>
      <c r="E14" s="485"/>
      <c r="F14" s="485"/>
      <c r="G14" s="485"/>
      <c r="H14" s="485"/>
      <c r="I14" s="485"/>
      <c r="J14" s="485"/>
      <c r="K14" s="485"/>
      <c r="L14" s="485"/>
      <c r="M14" s="485"/>
      <c r="N14" s="485"/>
      <c r="O14" s="485"/>
      <c r="P14" s="486"/>
      <c r="Q14" s="477">
        <f t="shared" si="0"/>
        <v>19654.010482788002</v>
      </c>
    </row>
    <row r="15" spans="1:17" s="487" customFormat="1">
      <c r="A15" s="1051" t="s">
        <v>565</v>
      </c>
      <c r="B15" s="991">
        <f ca="1">SUM(B4:B14)</f>
        <v>278452.4515545335</v>
      </c>
      <c r="C15" s="991">
        <f t="shared" ref="C15:Q15" ca="1" si="1">SUM(C4:C14)</f>
        <v>5704.0714285714284</v>
      </c>
      <c r="D15" s="991">
        <f t="shared" ca="1" si="1"/>
        <v>381749.6895848306</v>
      </c>
      <c r="E15" s="991">
        <f t="shared" si="1"/>
        <v>19366.934222485426</v>
      </c>
      <c r="F15" s="991">
        <f t="shared" ca="1" si="1"/>
        <v>108366.11926700721</v>
      </c>
      <c r="G15" s="991">
        <f t="shared" si="1"/>
        <v>138956.65797453164</v>
      </c>
      <c r="H15" s="991">
        <f t="shared" si="1"/>
        <v>26146.747749740745</v>
      </c>
      <c r="I15" s="991">
        <f t="shared" si="1"/>
        <v>0</v>
      </c>
      <c r="J15" s="991">
        <f t="shared" si="1"/>
        <v>1916.1543967842067</v>
      </c>
      <c r="K15" s="991">
        <f t="shared" si="1"/>
        <v>0</v>
      </c>
      <c r="L15" s="991">
        <f t="shared" ca="1" si="1"/>
        <v>0</v>
      </c>
      <c r="M15" s="991">
        <f t="shared" si="1"/>
        <v>8840.9021409451798</v>
      </c>
      <c r="N15" s="991">
        <f t="shared" ca="1" si="1"/>
        <v>54042.269333805292</v>
      </c>
      <c r="O15" s="991">
        <f t="shared" si="1"/>
        <v>576.87000000000012</v>
      </c>
      <c r="P15" s="991">
        <f t="shared" si="1"/>
        <v>972.4</v>
      </c>
      <c r="Q15" s="991">
        <f t="shared" ca="1" si="1"/>
        <v>1025091.2676532354</v>
      </c>
    </row>
    <row r="17" spans="1:17">
      <c r="A17" s="488" t="s">
        <v>566</v>
      </c>
      <c r="B17" s="787">
        <f ca="1">huishoudens!B10</f>
        <v>0.20849685920670943</v>
      </c>
      <c r="C17" s="787">
        <f ca="1">huishoudens!C10</f>
        <v>0.2375733654061262</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11525.769408467697</v>
      </c>
      <c r="C22" s="478">
        <f t="shared" ref="C22:C32" ca="1" si="3">C4*$C$17</f>
        <v>0</v>
      </c>
      <c r="D22" s="478">
        <f t="shared" ref="D22:D32" si="4">D4*$D$17</f>
        <v>19586.333335987023</v>
      </c>
      <c r="E22" s="478">
        <f t="shared" ref="E22:E32" si="5">E4*$E$17</f>
        <v>2074.7723358965873</v>
      </c>
      <c r="F22" s="478">
        <f t="shared" ref="F22:F32" si="6">F4*$F$17</f>
        <v>11479.048954112344</v>
      </c>
      <c r="G22" s="478">
        <f t="shared" ref="G22:G32" si="7">G4*$G$17</f>
        <v>0</v>
      </c>
      <c r="H22" s="478">
        <f t="shared" ref="H22:H32" si="8">H4*$H$17</f>
        <v>0</v>
      </c>
      <c r="I22" s="478">
        <f t="shared" ref="I22:I32" si="9">I4*$I$17</f>
        <v>0</v>
      </c>
      <c r="J22" s="478">
        <f t="shared" ref="J22:J32" si="10">J4*$J$17</f>
        <v>329.96939302055114</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44995.89342748421</v>
      </c>
    </row>
    <row r="23" spans="1:17">
      <c r="A23" s="477" t="s">
        <v>156</v>
      </c>
      <c r="B23" s="478">
        <f t="shared" ca="1" si="2"/>
        <v>10609.658746273484</v>
      </c>
      <c r="C23" s="478">
        <f t="shared" ca="1" si="3"/>
        <v>0</v>
      </c>
      <c r="D23" s="478">
        <f t="shared" ca="1" si="4"/>
        <v>19247.474480883146</v>
      </c>
      <c r="E23" s="478">
        <f t="shared" si="5"/>
        <v>118.17408692833524</v>
      </c>
      <c r="F23" s="478">
        <f t="shared" ca="1" si="6"/>
        <v>2046.6234962298747</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32021.930810314836</v>
      </c>
    </row>
    <row r="24" spans="1:17">
      <c r="A24" s="477" t="s">
        <v>194</v>
      </c>
      <c r="B24" s="478">
        <f t="shared" ca="1" si="2"/>
        <v>508.24904074472983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508.24904074472983</v>
      </c>
    </row>
    <row r="25" spans="1:17">
      <c r="A25" s="477" t="s">
        <v>112</v>
      </c>
      <c r="B25" s="478">
        <f t="shared" ca="1" si="2"/>
        <v>404.74630015832793</v>
      </c>
      <c r="C25" s="478">
        <f t="shared" ca="1" si="3"/>
        <v>18.78526539318441</v>
      </c>
      <c r="D25" s="478">
        <f t="shared" si="4"/>
        <v>98.246510507640465</v>
      </c>
      <c r="E25" s="478">
        <f t="shared" si="5"/>
        <v>4.0816300912813972</v>
      </c>
      <c r="F25" s="478">
        <f t="shared" si="6"/>
        <v>1315.0664805718868</v>
      </c>
      <c r="G25" s="478">
        <f t="shared" si="7"/>
        <v>0</v>
      </c>
      <c r="H25" s="478">
        <f t="shared" si="8"/>
        <v>0</v>
      </c>
      <c r="I25" s="478">
        <f t="shared" si="9"/>
        <v>0</v>
      </c>
      <c r="J25" s="478">
        <f t="shared" si="10"/>
        <v>105.35627376556384</v>
      </c>
      <c r="K25" s="478">
        <f t="shared" si="11"/>
        <v>0</v>
      </c>
      <c r="L25" s="478">
        <f t="shared" si="12"/>
        <v>0</v>
      </c>
      <c r="M25" s="478">
        <f t="shared" si="13"/>
        <v>0</v>
      </c>
      <c r="N25" s="478">
        <f t="shared" si="14"/>
        <v>0</v>
      </c>
      <c r="O25" s="478">
        <f t="shared" si="15"/>
        <v>0</v>
      </c>
      <c r="P25" s="479">
        <f t="shared" si="16"/>
        <v>0</v>
      </c>
      <c r="Q25" s="477">
        <f t="shared" ca="1" si="17"/>
        <v>1946.2824604878849</v>
      </c>
    </row>
    <row r="26" spans="1:17">
      <c r="A26" s="477" t="s">
        <v>650</v>
      </c>
      <c r="B26" s="478">
        <f t="shared" ca="1" si="2"/>
        <v>33854.120618578505</v>
      </c>
      <c r="C26" s="478">
        <f t="shared" ca="1" si="3"/>
        <v>1336.3501804094599</v>
      </c>
      <c r="D26" s="478">
        <f t="shared" si="4"/>
        <v>35309.939083396217</v>
      </c>
      <c r="E26" s="478">
        <f t="shared" si="5"/>
        <v>2099.1935205942455</v>
      </c>
      <c r="F26" s="478">
        <f t="shared" si="6"/>
        <v>14093.014913376819</v>
      </c>
      <c r="G26" s="478">
        <f t="shared" si="7"/>
        <v>0</v>
      </c>
      <c r="H26" s="478">
        <f t="shared" si="8"/>
        <v>0</v>
      </c>
      <c r="I26" s="478">
        <f t="shared" si="9"/>
        <v>0</v>
      </c>
      <c r="J26" s="478">
        <f t="shared" si="10"/>
        <v>242.99298967549416</v>
      </c>
      <c r="K26" s="478">
        <f t="shared" si="11"/>
        <v>0</v>
      </c>
      <c r="L26" s="478">
        <f t="shared" si="12"/>
        <v>0</v>
      </c>
      <c r="M26" s="478">
        <f t="shared" si="13"/>
        <v>0</v>
      </c>
      <c r="N26" s="478">
        <f t="shared" si="14"/>
        <v>0</v>
      </c>
      <c r="O26" s="478">
        <f t="shared" si="15"/>
        <v>0</v>
      </c>
      <c r="P26" s="479">
        <f t="shared" si="16"/>
        <v>0</v>
      </c>
      <c r="Q26" s="477">
        <f t="shared" ca="1" si="17"/>
        <v>86935.611306030725</v>
      </c>
    </row>
    <row r="27" spans="1:17" s="483" customFormat="1">
      <c r="A27" s="481" t="s">
        <v>571</v>
      </c>
      <c r="B27" s="781">
        <f t="shared" ca="1" si="2"/>
        <v>5.4969655937458368</v>
      </c>
      <c r="C27" s="482">
        <f t="shared" ca="1" si="3"/>
        <v>0</v>
      </c>
      <c r="D27" s="482">
        <f t="shared" si="4"/>
        <v>13.968957838589462</v>
      </c>
      <c r="E27" s="482">
        <f t="shared" si="5"/>
        <v>100.07249499374335</v>
      </c>
      <c r="F27" s="482">
        <f t="shared" si="6"/>
        <v>0</v>
      </c>
      <c r="G27" s="482">
        <f t="shared" si="7"/>
        <v>36448.063374043035</v>
      </c>
      <c r="H27" s="482">
        <f t="shared" si="8"/>
        <v>6510.5401896854455</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43078.141982154557</v>
      </c>
    </row>
    <row r="28" spans="1:17">
      <c r="A28" s="477" t="s">
        <v>561</v>
      </c>
      <c r="B28" s="478">
        <f t="shared" ca="1" si="2"/>
        <v>0</v>
      </c>
      <c r="C28" s="478">
        <f t="shared" ca="1" si="3"/>
        <v>0</v>
      </c>
      <c r="D28" s="478">
        <f t="shared" si="4"/>
        <v>0</v>
      </c>
      <c r="E28" s="478">
        <f t="shared" si="5"/>
        <v>0</v>
      </c>
      <c r="F28" s="478">
        <f t="shared" si="6"/>
        <v>0</v>
      </c>
      <c r="G28" s="478">
        <f t="shared" si="7"/>
        <v>653.3643051569195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653.3643051569195</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1148.4205077121803</v>
      </c>
      <c r="C32" s="478">
        <f t="shared" ca="1" si="3"/>
        <v>0</v>
      </c>
      <c r="D32" s="478">
        <f t="shared" si="4"/>
        <v>2857.4749275231766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4005.8954352353567</v>
      </c>
    </row>
    <row r="33" spans="1:17" s="487" customFormat="1">
      <c r="A33" s="1051" t="s">
        <v>565</v>
      </c>
      <c r="B33" s="991">
        <f ca="1">SUM(B22:B32)</f>
        <v>58056.461587528669</v>
      </c>
      <c r="C33" s="991">
        <f t="shared" ref="C33:Q33" ca="1" si="18">SUM(C22:C32)</f>
        <v>1355.1354458026442</v>
      </c>
      <c r="D33" s="991">
        <f t="shared" ca="1" si="18"/>
        <v>77113.437296135788</v>
      </c>
      <c r="E33" s="991">
        <f t="shared" si="18"/>
        <v>4396.2940685041922</v>
      </c>
      <c r="F33" s="991">
        <f t="shared" ca="1" si="18"/>
        <v>28933.753844290924</v>
      </c>
      <c r="G33" s="991">
        <f t="shared" si="18"/>
        <v>37101.427679199951</v>
      </c>
      <c r="H33" s="991">
        <f t="shared" si="18"/>
        <v>6510.5401896854455</v>
      </c>
      <c r="I33" s="991">
        <f t="shared" si="18"/>
        <v>0</v>
      </c>
      <c r="J33" s="991">
        <f t="shared" si="18"/>
        <v>678.31865646160918</v>
      </c>
      <c r="K33" s="991">
        <f t="shared" si="18"/>
        <v>0</v>
      </c>
      <c r="L33" s="991">
        <f t="shared" ca="1" si="18"/>
        <v>0</v>
      </c>
      <c r="M33" s="991">
        <f t="shared" si="18"/>
        <v>0</v>
      </c>
      <c r="N33" s="991">
        <f t="shared" ca="1" si="18"/>
        <v>0</v>
      </c>
      <c r="O33" s="991">
        <f t="shared" si="18"/>
        <v>0</v>
      </c>
      <c r="P33" s="991">
        <f t="shared" si="18"/>
        <v>0</v>
      </c>
      <c r="Q33" s="991">
        <f t="shared" ca="1" si="18"/>
        <v>214145.36876760924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16051.277227888993</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3970.35</v>
      </c>
      <c r="D8" s="1068">
        <f>'SEAP template'!D76</f>
        <v>4669.5515412881832</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943.2494113402131</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16051.277227888993</v>
      </c>
      <c r="C10" s="1072">
        <f>SUM(C4:C9)</f>
        <v>3970.35</v>
      </c>
      <c r="D10" s="1072">
        <f t="shared" ref="D10:H10" si="0">SUM(D8:D9)</f>
        <v>4669.5515412881832</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943.2494113402131</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0.20849685920670943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5704.0714285714284</v>
      </c>
      <c r="D17" s="1069">
        <f>'SEAP template'!D87</f>
        <v>6708.5913158546737</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1355.1354458026442</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5704.0714285714284</v>
      </c>
      <c r="D20" s="1072">
        <f t="shared" ref="D20:H20" si="2">SUM(D17:D19)</f>
        <v>6708.5913158546737</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1355.1354458026442</v>
      </c>
    </row>
    <row r="22" spans="1:16">
      <c r="A22" s="488" t="s">
        <v>888</v>
      </c>
      <c r="B22" s="787" t="s">
        <v>882</v>
      </c>
      <c r="C22" s="787">
        <f ca="1">'EF ele_warmte'!B22</f>
        <v>0.2375733654061262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0.20849685920670943</v>
      </c>
      <c r="C17" s="525">
        <f ca="1">'EF ele_warmte'!B22</f>
        <v>0.2375733654061262</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2</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3.1266666666666669</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2</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38.133333333333333</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2019-08-12T08:09:56Z</dcterms:modified>
</cp:coreProperties>
</file>