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E77" i="14" s="1"/>
  <c r="E9" i="59" s="1"/>
  <c r="K22" i="18"/>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G10"/>
  <c r="B6"/>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G77" i="14"/>
  <c r="G9" i="59" s="1"/>
  <c r="O76" i="14"/>
  <c r="O8" i="59" s="1"/>
  <c r="O10"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N26" i="14"/>
  <c r="L26"/>
  <c r="J26"/>
  <c r="I26"/>
  <c r="H26"/>
  <c r="K22"/>
  <c r="R12"/>
  <c r="Q14" i="48" l="1"/>
  <c r="L90" i="14"/>
  <c r="L18" i="59"/>
  <c r="H90" i="14"/>
  <c r="H18" i="59"/>
  <c r="M22" i="14"/>
  <c r="G20" i="59"/>
  <c r="G88" i="14"/>
  <c r="G18" i="59" s="1"/>
  <c r="K20"/>
  <c r="C98" i="18"/>
  <c r="C16" i="16"/>
  <c r="P22" i="14"/>
  <c r="E20" i="59"/>
  <c r="B16" i="16"/>
  <c r="N78" i="14"/>
  <c r="N9" i="59"/>
  <c r="N10" s="1"/>
  <c r="D14" i="48"/>
  <c r="K78" i="14"/>
  <c r="B17" i="18"/>
  <c r="B20" s="1"/>
  <c r="Q22" i="14"/>
  <c r="D22"/>
  <c r="L22"/>
  <c r="E10" i="59"/>
  <c r="L20"/>
  <c r="B8" i="18"/>
  <c r="B10" s="1"/>
  <c r="H20" i="59"/>
  <c r="M77" i="14"/>
  <c r="M9" i="59" s="1"/>
  <c r="I77" i="14"/>
  <c r="I9" i="59" s="1"/>
  <c r="B13" i="15"/>
  <c r="N13"/>
  <c r="L13"/>
  <c r="F77" i="14"/>
  <c r="F9" i="59" s="1"/>
  <c r="I101" i="18"/>
  <c r="H8" s="1"/>
  <c r="E101"/>
  <c r="E8" s="1"/>
  <c r="F101"/>
  <c r="H101"/>
  <c r="D101"/>
  <c r="G101"/>
  <c r="I8" s="1"/>
  <c r="C101"/>
  <c r="B101"/>
  <c r="C8" s="1"/>
  <c r="O9"/>
  <c r="I102"/>
  <c r="H17" s="1"/>
  <c r="E102"/>
  <c r="E17" s="1"/>
  <c r="C102"/>
  <c r="F102"/>
  <c r="H102"/>
  <c r="J17" s="1"/>
  <c r="D102"/>
  <c r="G102"/>
  <c r="B102"/>
  <c r="C17" s="1"/>
  <c r="O19"/>
  <c r="O78" i="14"/>
  <c r="N88"/>
  <c r="D10" i="18"/>
  <c r="E78" i="14"/>
  <c r="D77"/>
  <c r="D9" i="59" s="1"/>
  <c r="H77" i="14"/>
  <c r="O88"/>
  <c r="G89"/>
  <c r="G19" i="59" s="1"/>
  <c r="G20" i="18"/>
  <c r="B89" i="14"/>
  <c r="B19" i="59" s="1"/>
  <c r="O18" i="18"/>
  <c r="G78" i="14"/>
  <c r="O25" i="48"/>
  <c r="O27"/>
  <c r="Q11"/>
  <c r="O29"/>
  <c r="P31"/>
  <c r="O28"/>
  <c r="Q12"/>
  <c r="O24"/>
  <c r="O30"/>
  <c r="P24"/>
  <c r="P30"/>
  <c r="Q77" i="14"/>
  <c r="P9" i="59" s="1"/>
  <c r="E90" i="14"/>
  <c r="R9"/>
  <c r="R25"/>
  <c r="K90"/>
  <c r="O90" l="1"/>
  <c r="O18" i="59"/>
  <c r="O20" s="1"/>
  <c r="N90" i="14"/>
  <c r="N18" i="59"/>
  <c r="N20" s="1"/>
  <c r="Q89" i="14"/>
  <c r="P19" i="59" s="1"/>
  <c r="H78" i="14"/>
  <c r="H9" i="59"/>
  <c r="H10" s="1"/>
  <c r="G90" i="14"/>
  <c r="C89"/>
  <c r="C19" i="59" s="1"/>
  <c r="C77" i="14"/>
  <c r="C9" i="59" s="1"/>
  <c r="J87" i="14"/>
  <c r="J20" i="18"/>
  <c r="H20"/>
  <c r="M87" i="14"/>
  <c r="F76"/>
  <c r="E10" i="18"/>
  <c r="C20"/>
  <c r="O17"/>
  <c r="O20" s="1"/>
  <c r="D87" i="14"/>
  <c r="D17" i="59" s="1"/>
  <c r="D20" s="1"/>
  <c r="H10" i="18"/>
  <c r="M76" i="14"/>
  <c r="B88"/>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M90" i="14"/>
  <c r="M17" i="59"/>
  <c r="M20" s="1"/>
  <c r="F78" i="14"/>
  <c r="F8" i="59"/>
  <c r="F10" s="1"/>
  <c r="F90" i="14"/>
  <c r="F17" i="59"/>
  <c r="F20" s="1"/>
  <c r="H10" i="14"/>
  <c r="H16" s="1"/>
  <c r="G5" i="48"/>
  <c r="I10" i="14"/>
  <c r="I16" s="1"/>
  <c r="H5" i="48"/>
  <c r="J90" i="14"/>
  <c r="J17" i="59"/>
  <c r="J20" s="1"/>
  <c r="Q76" i="14"/>
  <c r="D78"/>
  <c r="I78"/>
  <c r="B76"/>
  <c r="J10" i="18"/>
  <c r="J76" i="14"/>
  <c r="I87"/>
  <c r="I17" i="59" s="1"/>
  <c r="I20" s="1"/>
  <c r="I20" i="18"/>
  <c r="Q87" i="14"/>
  <c r="D90"/>
  <c r="C87"/>
  <c r="A31" i="23"/>
  <c r="A32"/>
  <c r="A33"/>
  <c r="B78" i="14" l="1"/>
  <c r="B8" i="59"/>
  <c r="B10" s="1"/>
  <c r="J78" i="14"/>
  <c r="J8" i="59"/>
  <c r="J10" s="1"/>
  <c r="C90" i="14"/>
  <c r="C17" i="59"/>
  <c r="C20" s="1"/>
  <c r="Q90" i="14"/>
  <c r="B17" i="6" s="1"/>
  <c r="P17" i="59"/>
  <c r="P20" s="1"/>
  <c r="Q78" i="14"/>
  <c r="B9" i="6" s="1"/>
  <c r="P8" i="59"/>
  <c r="P10" s="1"/>
  <c r="B87" i="14"/>
  <c r="I90"/>
  <c r="C76"/>
  <c r="B11" i="44"/>
  <c r="B25"/>
  <c r="B24"/>
  <c r="C78" i="14" l="1"/>
  <c r="C8" i="59"/>
  <c r="C10" s="1"/>
  <c r="B90" i="14"/>
  <c r="B17" i="59"/>
  <c r="B2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2"/>
  <c r="K25"/>
  <c r="K27"/>
  <c r="K30"/>
  <c r="K26"/>
  <c r="K31"/>
  <c r="K24"/>
  <c r="K29"/>
  <c r="C24" i="14"/>
  <c r="C26" s="1"/>
  <c r="B7" i="48"/>
  <c r="J32"/>
  <c r="J29"/>
  <c r="J24"/>
  <c r="J30"/>
  <c r="J27"/>
  <c r="J28"/>
  <c r="J31"/>
  <c r="Q11" i="14"/>
  <c r="P4" i="48"/>
  <c r="O4"/>
  <c r="P11" i="14"/>
  <c r="I32" i="48"/>
  <c r="I25"/>
  <c r="I26"/>
  <c r="I28"/>
  <c r="I22"/>
  <c r="I31"/>
  <c r="I29"/>
  <c r="I30"/>
  <c r="I27"/>
  <c r="I24"/>
  <c r="H32"/>
  <c r="H29"/>
  <c r="H28"/>
  <c r="H26"/>
  <c r="H22"/>
  <c r="H30"/>
  <c r="H25"/>
  <c r="H24"/>
  <c r="H23"/>
  <c r="G29"/>
  <c r="G22"/>
  <c r="G30"/>
  <c r="G26"/>
  <c r="G32"/>
  <c r="G25"/>
  <c r="G24"/>
  <c r="G23"/>
  <c r="C11" i="14"/>
  <c r="B4" i="48"/>
  <c r="N31"/>
  <c r="N24"/>
  <c r="N32"/>
  <c r="N30"/>
  <c r="N29"/>
  <c r="N28"/>
  <c r="N27"/>
  <c r="B10"/>
  <c r="C19" i="14"/>
  <c r="D4" i="48"/>
  <c r="D22" s="1"/>
  <c r="E11" i="14"/>
  <c r="D11"/>
  <c r="C4" i="48"/>
  <c r="F32"/>
  <c r="F29"/>
  <c r="F24"/>
  <c r="F30"/>
  <c r="F31"/>
  <c r="F28"/>
  <c r="F27"/>
  <c r="E32"/>
  <c r="E28"/>
  <c r="E30"/>
  <c r="E29"/>
  <c r="E24"/>
  <c r="E31"/>
  <c r="M25"/>
  <c r="M22"/>
  <c r="M26"/>
  <c r="M32"/>
  <c r="M30"/>
  <c r="M29"/>
  <c r="M24"/>
  <c r="M23"/>
  <c r="L10" i="14"/>
  <c r="L16" s="1"/>
  <c r="L27" s="1"/>
  <c r="K5" i="48"/>
  <c r="D30"/>
  <c r="D29"/>
  <c r="D31"/>
  <c r="D24"/>
  <c r="D28"/>
  <c r="D32"/>
  <c r="L32"/>
  <c r="L27"/>
  <c r="L30"/>
  <c r="L29"/>
  <c r="L31"/>
  <c r="L24"/>
  <c r="L28"/>
  <c r="L22"/>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P22" i="16" l="1"/>
  <c r="Q43" i="14" s="1"/>
  <c r="Q13"/>
  <c r="P8" i="48"/>
  <c r="P26" s="1"/>
  <c r="K23"/>
  <c r="K15"/>
  <c r="K33"/>
  <c r="G13"/>
  <c r="H18" i="14"/>
  <c r="I18"/>
  <c r="H13" i="48"/>
  <c r="H31" s="1"/>
  <c r="I5"/>
  <c r="J10" i="14"/>
  <c r="J16" s="1"/>
  <c r="J27" s="1"/>
  <c r="J63" s="1"/>
  <c r="F20"/>
  <c r="F22" s="1"/>
  <c r="E9" i="48"/>
  <c r="E27" s="1"/>
  <c r="P22"/>
  <c r="P33" s="1"/>
  <c r="E20" i="14"/>
  <c r="E22" s="1"/>
  <c r="D9" i="48"/>
  <c r="D27" s="1"/>
  <c r="O5"/>
  <c r="O23" s="1"/>
  <c r="P10" i="14"/>
  <c r="K24"/>
  <c r="K26" s="1"/>
  <c r="J7" i="48"/>
  <c r="J25" s="1"/>
  <c r="C22" i="14"/>
  <c r="O22" i="48"/>
  <c r="Q16" i="14"/>
  <c r="Q27" s="1"/>
  <c r="D10"/>
  <c r="M12" i="22"/>
  <c r="N18" i="14"/>
  <c r="M13" i="48"/>
  <c r="M31" s="1"/>
  <c r="C20" i="14"/>
  <c r="B9" i="48"/>
  <c r="G11" i="14"/>
  <c r="F4" i="48"/>
  <c r="F22" s="1"/>
  <c r="L46" i="14"/>
  <c r="L61" s="1"/>
  <c r="L63"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B48"/>
  <c r="C48" s="1"/>
  <c r="N5" s="1"/>
  <c r="N8" s="1"/>
  <c r="C50"/>
  <c r="J5" s="1"/>
  <c r="J8" s="1"/>
  <c r="H19" i="14" l="1"/>
  <c r="R19" s="1"/>
  <c r="G10" i="48"/>
  <c r="O15"/>
  <c r="N19" i="14"/>
  <c r="N22" s="1"/>
  <c r="N27" s="1"/>
  <c r="M10" i="48"/>
  <c r="M28" s="1"/>
  <c r="E12" i="13"/>
  <c r="F41" i="14" s="1"/>
  <c r="F11"/>
  <c r="E4" i="48"/>
  <c r="I23"/>
  <c r="I33" s="1"/>
  <c r="I15"/>
  <c r="O11" i="14"/>
  <c r="N4" i="48"/>
  <c r="N22" s="1"/>
  <c r="Q46" i="14"/>
  <c r="Q61" s="1"/>
  <c r="Q63" s="1"/>
  <c r="G9" i="48"/>
  <c r="H20" i="14"/>
  <c r="O22" i="16"/>
  <c r="P43" i="14" s="1"/>
  <c r="P46" s="1"/>
  <c r="P61" s="1"/>
  <c r="P13"/>
  <c r="P16" s="1"/>
  <c r="P27" s="1"/>
  <c r="P63" s="1"/>
  <c r="O8" i="48"/>
  <c r="O26" s="1"/>
  <c r="K11" i="14"/>
  <c r="J4" i="48"/>
  <c r="E7"/>
  <c r="E25" s="1"/>
  <c r="F24" i="14"/>
  <c r="F26" s="1"/>
  <c r="N20"/>
  <c r="M9" i="48"/>
  <c r="G31"/>
  <c r="Q13"/>
  <c r="R18" i="14"/>
  <c r="O33" i="48"/>
  <c r="P15"/>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E22" i="48"/>
  <c r="Q4"/>
  <c r="J5"/>
  <c r="J23" s="1"/>
  <c r="K10" i="14"/>
  <c r="G28" i="48"/>
  <c r="Q10"/>
  <c r="F10" i="14"/>
  <c r="E5" i="48"/>
  <c r="E23" s="1"/>
  <c r="J22"/>
  <c r="G27"/>
  <c r="G15"/>
  <c r="H9"/>
  <c r="I20" i="14"/>
  <c r="I22" s="1"/>
  <c r="I27" s="1"/>
  <c r="M27" i="48"/>
  <c r="M33" s="1"/>
  <c r="M15"/>
  <c r="H22" i="14"/>
  <c r="H27" s="1"/>
  <c r="R11"/>
  <c r="L25" i="48"/>
  <c r="Q7"/>
  <c r="M26" i="14"/>
  <c r="R24"/>
  <c r="R26" s="1"/>
  <c r="E20" i="15"/>
  <c r="F40" i="14" s="1"/>
  <c r="F46" s="1"/>
  <c r="F61" s="1"/>
  <c r="F18" i="16"/>
  <c r="F22" s="1"/>
  <c r="G43" i="14" s="1"/>
  <c r="J18" i="16"/>
  <c r="E18"/>
  <c r="J20" i="15"/>
  <c r="K40" i="14" s="1"/>
  <c r="N18" i="16"/>
  <c r="N22" s="1"/>
  <c r="O43" i="14" s="1"/>
  <c r="G18" i="22"/>
  <c r="H50" i="14" s="1"/>
  <c r="E22" i="16"/>
  <c r="F43" i="14" s="1"/>
  <c r="H18" i="22"/>
  <c r="I50" i="14" s="1"/>
  <c r="I52" s="1"/>
  <c r="I61" s="1"/>
  <c r="H27" i="48" l="1"/>
  <c r="H33" s="1"/>
  <c r="H15"/>
  <c r="Q9"/>
  <c r="I63" i="14"/>
  <c r="R20"/>
  <c r="R22" s="1"/>
  <c r="J22" i="16"/>
  <c r="K43" i="14" s="1"/>
  <c r="J8" i="48"/>
  <c r="K13" i="14"/>
  <c r="K16" s="1"/>
  <c r="K27" s="1"/>
  <c r="F13"/>
  <c r="F16" s="1"/>
  <c r="F27" s="1"/>
  <c r="F63" s="1"/>
  <c r="E8" i="48"/>
  <c r="E26" s="1"/>
  <c r="E33" s="1"/>
  <c r="H63" i="14"/>
  <c r="K46"/>
  <c r="K61" s="1"/>
  <c r="G33" i="48"/>
  <c r="O13" i="14"/>
  <c r="N8" i="48"/>
  <c r="N26" s="1"/>
  <c r="F8"/>
  <c r="G13" i="14"/>
  <c r="J26" i="48" l="1"/>
  <c r="J33" s="1"/>
  <c r="J15"/>
  <c r="K63" i="14"/>
  <c r="E15" i="48"/>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<sst xmlns="http://schemas.openxmlformats.org/spreadsheetml/2006/main" count="2446" uniqueCount="919">
  <si>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</si>
  <si>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</si>
  <si>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</si>
  <si>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</si>
  <si>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</si>
  <si>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</si>
  <si>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</si>
  <si>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</si>
  <si>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</si>
  <si>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</si>
  <si>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</si>
  <si>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</si>
  <si>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</si>
  <si>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</si>
  <si>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</si>
  <si>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</si>
  <si>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</si>
  <si>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</si>
  <si>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</si>
  <si>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</si>
  <si>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</si>
  <si>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</si>
  <si>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</si>
  <si>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</si>
  <si>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</si>
  <si>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</si>
  <si>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</si>
  <si>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</si>
  <si>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</si>
  <si>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</si>
  <si>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</si>
  <si>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</si>
  <si>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</si>
  <si>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</si>
  <si>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</si>
  <si>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</si>
  <si>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</si>
  <si>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</si>
  <si>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</si>
  <si>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</si>
  <si>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</si>
  <si>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</si>
  <si>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</si>
  <si>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</si>
  <si>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</si>
  <si>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</si>
  <si>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</si>
  <si>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</si>
  <si>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</si>
  <si>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</si>
  <si>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</si>
  <si>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</si>
  <si>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</si>
  <si>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</si>
  <si>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</si>
  <si>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</si>
  <si>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</si>
  <si>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</si>
  <si>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</si>
  <si>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</si>
  <si>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</si>
  <si>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</si>
  <si>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</si>
  <si>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</si>
  <si>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</si>
  <si>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</si>
  <si>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</si>
  <si>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</si>
  <si>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</si>
  <si>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</si>
  <si>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</si>
  <si>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</si>
  <si>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</si>
  <si>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</si>
  <si>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</si>
  <si>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</si>
  <si>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</si>
  <si>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</si>
  <si>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</si>
  <si>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</si>
  <si>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</si>
  <si>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</si>
  <si>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</si>
  <si>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</si>
  <si>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</si>
  <si>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</si>
  <si>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</si>
  <si>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</si>
  <si>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</si>
  <si>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</si>
  <si>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</si>
  <si>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</si>
  <si>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</si>
  <si>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</si>
  <si>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</si>
  <si>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</si>
  <si>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</si>
  <si>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</si>
  <si>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</si>
  <si>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</si>
  <si>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</si>
  <si>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</si>
  <si>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</si>
  <si>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</si>
  <si>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</si>
  <si>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</si>
  <si>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</si>
  <si>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</si>
  <si>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</si>
  <si>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</si>
  <si>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</si>
  <si>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</si>
  <si>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</si>
  <si>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</si>
  <si>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</si>
  <si>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</si>
  <si>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</si>
  <si>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</si>
  <si>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</si>
  <si>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</si>
  <si>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</si>
  <si>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</si>
  <si>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</si>
  <si>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</si>
  <si>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</si>
  <si>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</si>
  <si>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</si>
  <si>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</si>
  <si>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</si>
  <si>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</si>
  <si>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</si>
  <si>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</si>
  <si>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</si>
  <si>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</si>
  <si>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</si>
  <si>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</si>
  <si>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</si>
  <si>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</si>
  <si>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</si>
  <si>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</si>
  <si>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</si>
  <si>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</si>
  <si>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</si>
  <si>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</si>
  <si>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</si>
  <si>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</si>
  <si>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</si>
  <si>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</si>
  <si>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</si>
  <si>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</si>
  <si>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</si>
  <si>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</si>
  <si>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</si>
  <si>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</si>
  <si>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</si>
  <si>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</si>
  <si>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</si>
  <si>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</si>
  <si>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</si>
  <si>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</si>
  <si>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</si>
  <si>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</si>
  <si>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</si>
  <si>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</si>
  <si>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</si>
  <si>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</si>
  <si>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</si>
  <si>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</si>
  <si>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</si>
  <si>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</si>
  <si>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</si>
  <si>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</si>
  <si>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</si>
  <si>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</si>
  <si>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</si>
  <si>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</si>
  <si>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</si>
  <si>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</si>
  <si>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</si>
  <si>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</si>
  <si>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</si>
  <si>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</si>
  <si>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</si>
  <si>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</si>
  <si>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</si>
  <si>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</si>
  <si>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</si>
  <si>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</si>
  <si>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</si>
  <si>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</si>
  <si>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</si>
  <si>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</si>
  <si>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</si>
  <si>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</si>
  <si>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</si>
  <si>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</si>
  <si>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</si>
  <si>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</si>
  <si>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</si>
  <si>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</si>
  <si>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</si>
  <si>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</si>
  <si>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</si>
  <si>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</si>
  <si>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</si>
  <si>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</si>
  <si>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</si>
  <si>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</si>
  <si>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</si>
  <si>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</si>
  <si>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</si>
  <si>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</si>
  <si>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</si>
  <si>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</si>
  <si>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</si>
  <si>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</si>
  <si>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</si>
  <si>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</si>
  <si>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</si>
  <si>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</si>
  <si>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</si>
  <si>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</si>
  <si>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</si>
  <si>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</si>
  <si>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</si>
  <si>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</si>
  <si>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</si>
  <si>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</si>
  <si>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</si>
  <si>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</si>
  <si>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</si>
  <si>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</si>
  <si>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</si>
  <si>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</si>
  <si>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</si>
  <si>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</si>
  <si>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</si>
  <si>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</si>
  <si>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</si>
  <si>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</si>
  <si>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</si>
  <si>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</si>
  <si>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</si>
  <si>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</si>
  <si>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</si>
  <si>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</si>
  <si>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</si>
  <si>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</si>
  <si>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</si>
  <si>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</si>
  <si>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</si>
  <si>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</si>
  <si>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</si>
  <si>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</si>
  <si>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</si>
  <si>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</si>
  <si>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</si>
  <si>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</si>
  <si>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</si>
  <si>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</si>
  <si>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</si>
  <si>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</si>
  <si>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</si>
  <si>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</si>
  <si>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</si>
  <si>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</si>
  <si>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</si>
  <si>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</si>
  <si>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</si>
  <si>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</si>
  <si>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</si>
  <si>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</si>
  <si>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</si>
  <si>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</si>
  <si>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</si>
  <si>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</si>
  <si>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</si>
  <si>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</si>
  <si>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</si>
  <si>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</si>
  <si>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</si>
  <si>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</si>
  <si>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</si>
  <si>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</si>
  <si>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</si>
  <si>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</si>
  <si>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</si>
  <si>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</si>
  <si>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</si>
  <si>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</si>
  <si>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</si>
  <si>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</si>
  <si>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</si>
  <si>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</si>
  <si>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</si>
  <si>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</si>
  <si>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</si>
  <si>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</si>
  <si>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</si>
  <si>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</si>
  <si>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</si>
  <si>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</si>
  <si>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</si>
  <si>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</si>
  <si>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</si>
  <si>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</si>
  <si>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</si>
  <si>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</si>
  <si>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</si>
  <si>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</si>
  <si>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</si>
  <si>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</si>
  <si>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</si>
  <si>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</si>
  <si>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</si>
  <si>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</si>
  <si>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</si>
  <si>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</si>
  <si>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</si>
  <si>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</si>
  <si>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</si>
  <si>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</si>
  <si>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</si>
  <si>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</si>
  <si>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</si>
  <si>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</si>
  <si>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</si>
  <si>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</si>
  <si>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</si>
  <si>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</si>
  <si>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</si>
  <si>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</si>
  <si>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</si>
  <si>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</si>
  <si>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</si>
  <si>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</si>
  <si>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</si>
  <si>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</si>
  <si>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</si>
  <si>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</si>
  <si>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</si>
  <si>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</si>
  <si>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</si>
  <si>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</si>
  <si>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</si>
  <si>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</si>
  <si>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</si>
  <si>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</si>
  <si>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</si>
  <si>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</si>
  <si>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</si>
  <si>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</si>
  <si>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</si>
  <si>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</si>
  <si>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</si>
  <si>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</si>
  <si>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</si>
  <si>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</si>
  <si>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</si>
  <si>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</si>
  <si>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</si>
  <si>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</si>
  <si>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</si>
  <si>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</si>
  <si>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</si>
  <si>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</si>
  <si>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</si>
  <si>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</si>
  <si>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</si>
  <si>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</si>
  <si>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</si>
  <si>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</si>
  <si>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</si>
  <si>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</si>
  <si>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</si>
  <si>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</si>
  <si>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</si>
  <si>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</si>
  <si>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</si>
  <si>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</si>
  <si>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</si>
  <si>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</si>
  <si>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</si>
  <si>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</si>
  <si>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</si>
  <si>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</si>
  <si>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</si>
  <si>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</si>
  <si>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</si>
  <si>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</si>
  <si>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</si>
  <si>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</si>
  <si>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</si>
  <si>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</si>
  <si>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</si>
  <si>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</si>
  <si>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</si>
  <si>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</si>
  <si>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</si>
  <si>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</si>
  <si>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</si>
  <si>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</si>
  <si>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</si>
  <si>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</si>
  <si>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</si>
  <si>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</si>
  <si>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</si>
  <si>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</si>
  <si>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</si>
  <si>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</si>
  <si>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</si>
  <si>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</si>
  <si>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</si>
  <si>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</si>
  <si>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</si>
  <si>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</si>
  <si>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</si>
  <si>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</si>
  <si>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</si>
  <si>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</si>
  <si>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</si>
  <si>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</si>
  <si>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</si>
  <si>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</si>
  <si>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</si>
  <si>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</si>
  <si>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</si>
  <si>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</si>
  <si>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</si>
  <si>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</si>
  <si>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</si>
  <si>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</si>
  <si>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</si>
  <si>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</si>
  <si>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</si>
  <si>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</si>
  <si>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</si>
  <si>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</si>
  <si>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</si>
  <si>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</si>
  <si>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</si>
  <si>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</si>
  <si>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</si>
  <si>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</si>
  <si>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</si>
  <si>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</si>
  <si>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</si>
  <si>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</si>
  <si>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</si>
  <si>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</si>
  <si>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</si>
  <si>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</si>
  <si>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</si>
  <si>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</si>
  <si>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</si>
  <si>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</si>
  <si>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</si>
  <si>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</si>
  <si>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</si>
  <si>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</si>
  <si>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</si>
  <si>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</si>
  <si>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</si>
  <si>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</si>
  <si>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</si>
  <si>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</si>
  <si>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</si>
  <si>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</si>
  <si>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</si>
  <si>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</si>
  <si>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</si>
  <si>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</si>
  <si>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</si>
  <si>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</si>
  <si>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</si>
  <si>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</si>
  <si>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</si>
  <si>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</si>
  <si>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</si>
  <si>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</si>
  <si>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</si>
  <si>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</si>
  <si>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</si>
  <si>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</si>
  <si>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</si>
  <si>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</si>
  <si>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</si>
  <si>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</si>
  <si>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</si>
  <si>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</si>
  <si>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</si>
  <si>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</si>
  <si>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</si>
  <si>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</si>
  <si>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</si>
  <si>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</si>
  <si>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</si>
  <si>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</si>
  <si>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</si>
  <si>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</si>
  <si>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</si>
  <si>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</si>
  <si>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</si>
  <si>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</si>
  <si>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</si>
  <si>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</si>
  <si>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</si>
  <si>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</si>
  <si>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</si>
  <si>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</si>
  <si>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</si>
  <si>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</si>
  <si>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</si>
  <si>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</si>
  <si>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</si>
  <si>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</si>
  <si>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</si>
  <si>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</si>
  <si>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</si>
  <si>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</si>
  <si>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</si>
  <si>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</si>
  <si>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</si>
  <si>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</si>
  <si>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</si>
  <si>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</si>
  <si>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</si>
  <si>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</si>
  <si>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</si>
  <si>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</si>
  <si>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</si>
  <si>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</si>
  <si>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</si>
  <si>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</si>
  <si>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</si>
  <si>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</si>
  <si>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</si>
  <si>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</si>
  <si>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</si>
  <si>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</si>
  <si>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</si>
  <si>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</si>
  <si>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</si>
  <si>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</si>
  <si>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</si>
  <si>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</si>
  <si>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</si>
  <si>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</si>
  <si>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</si>
  <si>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</si>
  <si>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</si>
  <si>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</si>
  <si>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</si>
  <si>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</si>
  <si>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</si>
  <si>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</si>
  <si>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</si>
  <si>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</si>
  <si>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</si>
  <si>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</si>
  <si>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</si>
  <si>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</si>
  <si>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</si>
  <si>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</si>
  <si>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</si>
  <si>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</si>
  <si>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</si>
  <si>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</si>
  <si>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</si>
  <si>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</si>
  <si>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</si>
  <si>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</si>
  <si>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</si>
  <si>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</si>
  <si>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</si>
  <si>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</si>
  <si>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</si>
  <si>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</si>
  <si>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</si>
  <si>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</si>
  <si>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</si>
  <si>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</si>
  <si>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</si>
  <si>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</si>
  <si>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</si>
  <si>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</si>
  <si>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</si>
  <si>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</si>
  <si>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</si>
  <si>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</si>
  <si>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</si>
  <si>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</si>
  <si>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</si>
  <si>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</si>
  <si>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</si>
  <si>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</si>
  <si>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</si>
  <si>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</si>
  <si>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</si>
  <si>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</si>
  <si>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</si>
  <si>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</si>
  <si>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</si>
  <si>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</si>
  <si>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</si>
  <si>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</si>
  <si>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</si>
  <si>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</si>
  <si>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</si>
  <si>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</si>
  <si>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</si>
  <si>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</si>
  <si>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</si>
  <si>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</si>
  <si>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</si>
  <si>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</si>
  <si>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</si>
  <si>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</si>
  <si>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</si>
  <si>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</si>
  <si>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</si>
  <si>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</si>
  <si>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</si>
  <si>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</si>
  <si>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</si>
  <si>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</si>
  <si>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</si>
  <si>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</si>
  <si>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</si>
  <si>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</si>
  <si>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</si>
  <si>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</si>
  <si>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</si>
  <si>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</si>
  <si>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</si>
  <si>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</si>
  <si>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</si>
  <si>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</si>
  <si>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</si>
  <si>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</si>
  <si>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</si>
  <si>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</si>
  <si>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</si>
  <si>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</si>
  <si>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</si>
  <si>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</si>
  <si>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</si>
  <si>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</si>
  <si>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</si>
  <si>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</si>
  <si>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</si>
  <si>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</si>
  <si>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</si>
  <si>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</si>
  <si>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</si>
  <si>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</si>
  <si>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</si>
  <si>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</si>
  <si>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</si>
  <si>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</si>
  <si>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</si>
  <si>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</si>
  <si>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</si>
  <si>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</si>
  <si>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</si>
  <si>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</si>
  <si>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</si>
  <si>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</si>
  <si>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</si>
  <si>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</si>
  <si>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</si>
  <si>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</si>
  <si>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</si>
  <si>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</si>
  <si>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</si>
  <si>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</si>
  <si>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</si>
  <si>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</si>
  <si>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</si>
  <si>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</si>
  <si>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</si>
  <si>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</si>
  <si>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</si>
  <si>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</si>
  <si>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</si>
  <si>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</si>
  <si>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</si>
  <si>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</si>
  <si>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</si>
  <si>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</si>
  <si>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</si>
  <si>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</si>
  <si>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</si>
  <si>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</si>
  <si>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</si>
  <si>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</si>
  <si>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</si>
  <si>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</si>
  <si>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</si>
  <si>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</si>
  <si>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</si>
  <si>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</si>
  <si>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</si>
  <si>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</si>
  <si>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</si>
  <si>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</si>
  <si>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</si>
  <si>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</si>
  <si>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</si>
  <si>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</si>
  <si>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</si>
  <si>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</si>
  <si>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</si>
  <si>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</si>
  <si>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</si>
  <si>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</si>
  <si>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</si>
  <si>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</si>
  <si>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</si>
  <si>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</si>
  <si>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</si>
  <si>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</si>
  <si>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</si>
  <si>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</si>
  <si>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</si>
  <si>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</si>
  <si>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</si>
  <si>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</si>
  <si>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</si>
  <si>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</si>
  <si>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</si>
  <si>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</si>
  <si>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</si>
  <si>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</si>
  <si>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</si>
  <si>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</si>
  <si>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</si>
  <si>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</si>
  <si>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</si>
  <si>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</si>
  <si>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</si>
  <si>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</si>
  <si>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</si>
  <si>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</si>
  <si>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</si>
  <si>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</si>
  <si>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</si>
  <si>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</si>
  <si>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</si>
  <si>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</si>
  <si>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</si>
  <si>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</si>
  <si>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</si>
  <si>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</si>
  <si>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</si>
  <si>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</si>
  <si>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</si>
  <si>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</si>
  <si>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</si>
  <si>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</si>
  <si>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</si>
  <si>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</si>
  <si>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</si>
  <si>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</si>
  <si>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</si>
  <si>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</si>
  <si>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</si>
  <si>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</si>
  <si>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</si>
  <si>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</si>
  <si>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</si>
  <si>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</si>
  <si>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</si>
  <si>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</si>
  <si>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</si>
  <si>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</si>
  <si>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</si>
  <si>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</si>
  <si>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</si>
  <si>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</si>
  <si>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</si>
  <si>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</si>
  <si>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</si>
  <si>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</si>
  <si>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</si>
  <si>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</si>
  <si>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</si>
  <si>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</si>
  <si>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</si>
  <si>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</si>
  <si>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</si>
  <si>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</si>
  <si>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</si>
  <si>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</si>
  <si>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</si>
  <si>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</si>
  <si>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</si>
  <si>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</si>
  <si>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</si>
  <si>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</si>
  <si>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</si>
  <si>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</si>
  <si>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</si>
  <si>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</si>
  <si>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</si>
  <si>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</si>
  <si>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</si>
  <si>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</si>
  <si>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</si>
  <si>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</si>
  <si>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</si>
  <si>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</si>
  <si>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</si>
  <si>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</si>
  <si>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</si>
  <si>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</si>
  <si>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</si>
  <si>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</si>
  <si>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</si>
  <si>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</si>
  <si>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</si>
  <si>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</si>
  <si>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</si>
  <si>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</si>
  <si>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</si>
  <si>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</si>
  <si>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</si>
  <si>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</si>
  <si>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</si>
  <si>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</si>
  <si>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</si>
  <si>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</si>
  <si>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</si>
  <si>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</si>
  <si>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</si>
  <si>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</si>
  <si>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</si>
  <si>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</si>
  <si>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</si>
  <si>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</si>
  <si>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</si>
  <si>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</si>
  <si>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</si>
  <si>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</si>
  <si>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</si>
  <si>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</si>
  <si>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</si>
  <si>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</si>
  <si>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</si>
  <si>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</si>
  <si>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</si>
  <si>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</si>
  <si>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</si>
  <si>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</si>
  <si>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</si>
  <si>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</si>
  <si>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</si>
  <si>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</si>
  <si>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</si>
  <si>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</si>
  <si>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</si>
  <si>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</si>
  <si>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</si>
  <si>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</si>
  <si>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</si>
  <si>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</si>
  <si>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</si>
  <si>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</si>
  <si>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</si>
  <si>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</si>
  <si>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</si>
  <si>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</si>
  <si>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</si>
  <si>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</si>
  <si>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</si>
  <si>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</si>
  <si>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</si>
  <si>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</si>
  <si>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</si>
  <si>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</si>
  <si>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</si>
  <si>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</si>
  <si>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</si>
  <si>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</si>
  <si>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</si>
  <si>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</si>
  <si>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</si>
  <si>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</si>
  <si>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</si>
  <si>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</si>
  <si>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</si>
  <si>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</si>
  <si>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</si>
  <si>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</si>
  <si>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</si>
  <si>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</si>
  <si>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</si>
  <si>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</si>
  <si>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</si>
  <si>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44080</t>
  </si>
  <si>
    <t>ZOMERGEM</t>
  </si>
  <si>
    <t>Paarden&amp;pony's 200 - 600 kg</t>
  </si>
  <si>
    <t>Paarden&amp;pony's &lt; 200 kg</t>
  </si>
  <si>
    <t>referentietaak LNE (2017); Jaarverslag De Lijn (2014)</t>
  </si>
  <si>
    <t>op basis van VEA (maart 2018) en Inventaris Hernieuwbare Energiebronnen (juni 2018)</t>
  </si>
  <si>
    <t>VEA (maart 2016)</t>
  </si>
  <si>
    <t>VEA (juni 2018)</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</si>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</sst>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72635.916560283265</c:v>
                </c:pt>
                <c:pt idx="1">
                  <c:v>15725.638586100276</c:v>
                </c:pt>
                <c:pt idx="2">
                  <c:v>677.21</c:v>
                </c:pt>
                <c:pt idx="3">
                  <c:v>33381.873021789383</c:v>
                </c:pt>
                <c:pt idx="4">
                  <c:v>4213.0096314634748</c:v>
                </c:pt>
                <c:pt idx="5">
                  <c:v>34879.631489118612</c:v>
                </c:pt>
                <c:pt idx="6">
                  <c:v>619.13073441012602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16320"/>
        <c:axId val="143017856"/>
      </c:barChart>
      <c:catAx>
        <c:axId val="143016320"/>
        <c:scaling>
          <c:orientation val="minMax"/>
        </c:scaling>
        <c:axPos val="b"/>
        <c:numFmt formatCode="General" sourceLinked="0"/>
        <c:tickLblPos val="nextTo"/>
        <c:crossAx val="143017856"/>
        <c:crosses val="autoZero"/>
        <c:auto val="1"/>
        <c:lblAlgn val="ctr"/>
        <c:lblOffset val="100"/>
      </c:catAx>
      <c:valAx>
        <c:axId val="143017856"/>
        <c:scaling>
          <c:orientation val="minMax"/>
        </c:scaling>
        <c:axPos val="l"/>
        <c:majorGridlines/>
        <c:numFmt formatCode="#,##0" sourceLinked="1"/>
        <c:tickLblPos val="nextTo"/>
        <c:crossAx val="14301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72635.916560283265</c:v>
                </c:pt>
                <c:pt idx="1">
                  <c:v>15725.638586100276</c:v>
                </c:pt>
                <c:pt idx="2">
                  <c:v>677.21</c:v>
                </c:pt>
                <c:pt idx="3">
                  <c:v>33381.873021789383</c:v>
                </c:pt>
                <c:pt idx="4">
                  <c:v>4213.0096314634748</c:v>
                </c:pt>
                <c:pt idx="5">
                  <c:v>34879.631489118612</c:v>
                </c:pt>
                <c:pt idx="6">
                  <c:v>619.13073441012602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12482.077383339276</c:v>
                </c:pt>
                <c:pt idx="2">
                  <c:v>2176.330727613104</c:v>
                </c:pt>
                <c:pt idx="3">
                  <c:v>46.24145373163762</c:v>
                </c:pt>
                <c:pt idx="4">
                  <c:v>1788.7239543899811</c:v>
                </c:pt>
                <c:pt idx="5">
                  <c:v>640.81938118278197</c:v>
                </c:pt>
                <c:pt idx="6">
                  <c:v>8723.8303120536912</c:v>
                </c:pt>
                <c:pt idx="7">
                  <c:v>156.3894704856416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0048"/>
      </c:barChart>
      <c:catAx>
        <c:axId val="147164160"/>
        <c:scaling>
          <c:orientation val="minMax"/>
        </c:scaling>
        <c:axPos val="b"/>
        <c:numFmt formatCode="General" sourceLinked="0"/>
        <c:tickLblPos val="nextTo"/>
        <c:crossAx val="147170048"/>
        <c:crosses val="autoZero"/>
        <c:auto val="1"/>
        <c:lblAlgn val="ctr"/>
        <c:lblOffset val="100"/>
      </c:catAx>
      <c:valAx>
        <c:axId val="147170048"/>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12482.077383339276</c:v>
                </c:pt>
                <c:pt idx="2">
                  <c:v>2176.330727613104</c:v>
                </c:pt>
                <c:pt idx="3">
                  <c:v>46.24145373163762</c:v>
                </c:pt>
                <c:pt idx="4">
                  <c:v>1788.7239543899811</c:v>
                </c:pt>
                <c:pt idx="5">
                  <c:v>640.81938118278197</c:v>
                </c:pt>
                <c:pt idx="6">
                  <c:v>8723.8303120536912</c:v>
                </c:pt>
                <c:pt idx="7">
                  <c:v>156.3894704856416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44080</v>
      </c>
      <c r="B6" s="416"/>
      <c r="C6" s="417"/>
    </row>
    <row r="7" spans="1:7" s="414" customFormat="1" ht="15.75" customHeight="1">
      <c r="A7" s="418" t="str">
        <f>txtMunicipality</f>
        <v>ZOMERGEM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7430.5454299999992</v>
      </c>
      <c r="D10" s="1025">
        <f ca="1">tertiair!C16</f>
        <v>0</v>
      </c>
      <c r="E10" s="1025">
        <f ca="1">tertiair!D16</f>
        <v>7071.2190167066547</v>
      </c>
      <c r="F10" s="1025">
        <f>tertiair!E16</f>
        <v>66.816415662532563</v>
      </c>
      <c r="G10" s="1025">
        <f ca="1">tertiair!F16</f>
        <v>1017.3929231881426</v>
      </c>
      <c r="H10" s="1025">
        <f>tertiair!G16</f>
        <v>0</v>
      </c>
      <c r="I10" s="1025">
        <f>tertiair!H16</f>
        <v>0</v>
      </c>
      <c r="J10" s="1025">
        <f>tertiair!I16</f>
        <v>0</v>
      </c>
      <c r="K10" s="1025">
        <f>tertiair!J16</f>
        <v>0</v>
      </c>
      <c r="L10" s="1025">
        <f>tertiair!K16</f>
        <v>0</v>
      </c>
      <c r="M10" s="1025">
        <f ca="1">tertiair!L16</f>
        <v>0</v>
      </c>
      <c r="N10" s="1025">
        <f>tertiair!M16</f>
        <v>0</v>
      </c>
      <c r="O10" s="1025">
        <f ca="1">tertiair!N16</f>
        <v>793.11813387627978</v>
      </c>
      <c r="P10" s="1025">
        <f>tertiair!O16</f>
        <v>4.6900000000000004</v>
      </c>
      <c r="Q10" s="1026">
        <f>tertiair!P16</f>
        <v>19.066666666666666</v>
      </c>
      <c r="R10" s="701">
        <f ca="1">SUM(C10:Q10)</f>
        <v>16402.848586100274</v>
      </c>
      <c r="S10" s="67"/>
    </row>
    <row r="11" spans="1:19" s="474" customFormat="1">
      <c r="A11" s="810" t="s">
        <v>225</v>
      </c>
      <c r="B11" s="815"/>
      <c r="C11" s="1025">
        <f>huishoudens!B8</f>
        <v>16557.126909613042</v>
      </c>
      <c r="D11" s="1025">
        <f>huishoudens!C8</f>
        <v>0</v>
      </c>
      <c r="E11" s="1025">
        <f>huishoudens!D8</f>
        <v>19435.303303957728</v>
      </c>
      <c r="F11" s="1025">
        <f>huishoudens!E8</f>
        <v>2160.4066801468598</v>
      </c>
      <c r="G11" s="1025">
        <f>huishoudens!F8</f>
        <v>23306.888897653123</v>
      </c>
      <c r="H11" s="1025">
        <f>huishoudens!G8</f>
        <v>0</v>
      </c>
      <c r="I11" s="1025">
        <f>huishoudens!H8</f>
        <v>0</v>
      </c>
      <c r="J11" s="1025">
        <f>huishoudens!I8</f>
        <v>0</v>
      </c>
      <c r="K11" s="1025">
        <f>huishoudens!J8</f>
        <v>2011.9655986329308</v>
      </c>
      <c r="L11" s="1025">
        <f>huishoudens!K8</f>
        <v>0</v>
      </c>
      <c r="M11" s="1025">
        <f>huishoudens!L8</f>
        <v>0</v>
      </c>
      <c r="N11" s="1025">
        <f>huishoudens!M8</f>
        <v>0</v>
      </c>
      <c r="O11" s="1025">
        <f>huishoudens!N8</f>
        <v>8549.035170279587</v>
      </c>
      <c r="P11" s="1025">
        <f>huishoudens!O8</f>
        <v>176.65666666666667</v>
      </c>
      <c r="Q11" s="1026">
        <f>huishoudens!P8</f>
        <v>438.5333333333333</v>
      </c>
      <c r="R11" s="701">
        <f>SUM(C11:Q11)</f>
        <v>72635.916560283265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1481.2181599999999</v>
      </c>
      <c r="D13" s="1025">
        <f>industrie!C18</f>
        <v>0</v>
      </c>
      <c r="E13" s="1025">
        <f>industrie!D18</f>
        <v>1011.56478931468</v>
      </c>
      <c r="F13" s="1025">
        <f>industrie!E18</f>
        <v>233.30907381896873</v>
      </c>
      <c r="G13" s="1025">
        <f>industrie!F18</f>
        <v>1049.1459704202007</v>
      </c>
      <c r="H13" s="1025">
        <f>industrie!G18</f>
        <v>0</v>
      </c>
      <c r="I13" s="1025">
        <f>industrie!H18</f>
        <v>0</v>
      </c>
      <c r="J13" s="1025">
        <f>industrie!I18</f>
        <v>0</v>
      </c>
      <c r="K13" s="1025">
        <f>industrie!J18</f>
        <v>6.3818726404084387</v>
      </c>
      <c r="L13" s="1025">
        <f>industrie!K18</f>
        <v>0</v>
      </c>
      <c r="M13" s="1025">
        <f>industrie!L18</f>
        <v>0</v>
      </c>
      <c r="N13" s="1025">
        <f>industrie!M18</f>
        <v>0</v>
      </c>
      <c r="O13" s="1025">
        <f>industrie!N18</f>
        <v>431.38976526921704</v>
      </c>
      <c r="P13" s="1025">
        <f>industrie!O18</f>
        <v>0</v>
      </c>
      <c r="Q13" s="1026">
        <f>industrie!P18</f>
        <v>0</v>
      </c>
      <c r="R13" s="701">
        <f>SUM(C13:Q13)</f>
        <v>4213.0096314634748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25468.89049961304</v>
      </c>
      <c r="D16" s="733">
        <f t="shared" ref="D16:R16" ca="1" si="0">SUM(D9:D15)</f>
        <v>0</v>
      </c>
      <c r="E16" s="733">
        <f t="shared" ca="1" si="0"/>
        <v>27518.087109979064</v>
      </c>
      <c r="F16" s="733">
        <f t="shared" si="0"/>
        <v>2460.5321696283609</v>
      </c>
      <c r="G16" s="733">
        <f t="shared" ca="1" si="0"/>
        <v>25373.427791261463</v>
      </c>
      <c r="H16" s="733">
        <f t="shared" si="0"/>
        <v>0</v>
      </c>
      <c r="I16" s="733">
        <f t="shared" si="0"/>
        <v>0</v>
      </c>
      <c r="J16" s="733">
        <f t="shared" si="0"/>
        <v>0</v>
      </c>
      <c r="K16" s="733">
        <f t="shared" si="0"/>
        <v>2018.3474712733391</v>
      </c>
      <c r="L16" s="733">
        <f t="shared" si="0"/>
        <v>0</v>
      </c>
      <c r="M16" s="733">
        <f t="shared" ca="1" si="0"/>
        <v>0</v>
      </c>
      <c r="N16" s="733">
        <f t="shared" si="0"/>
        <v>0</v>
      </c>
      <c r="O16" s="733">
        <f t="shared" ca="1" si="0"/>
        <v>9773.5430694250845</v>
      </c>
      <c r="P16" s="733">
        <f t="shared" si="0"/>
        <v>181.34666666666666</v>
      </c>
      <c r="Q16" s="733">
        <f t="shared" si="0"/>
        <v>457.59999999999997</v>
      </c>
      <c r="R16" s="733">
        <f t="shared" ca="1" si="0"/>
        <v>93251.774777847007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585.72835387880741</v>
      </c>
      <c r="I19" s="1025">
        <f>transport!H54</f>
        <v>0</v>
      </c>
      <c r="J19" s="1025">
        <f>transport!I54</f>
        <v>0</v>
      </c>
      <c r="K19" s="1025">
        <f>transport!J54</f>
        <v>0</v>
      </c>
      <c r="L19" s="1025">
        <f>transport!K54</f>
        <v>0</v>
      </c>
      <c r="M19" s="1025">
        <f>transport!L54</f>
        <v>0</v>
      </c>
      <c r="N19" s="1025">
        <f>transport!M54</f>
        <v>33.402380531318641</v>
      </c>
      <c r="O19" s="1025">
        <f>transport!N54</f>
        <v>0</v>
      </c>
      <c r="P19" s="1025">
        <f>transport!O54</f>
        <v>0</v>
      </c>
      <c r="Q19" s="1026">
        <f>transport!P54</f>
        <v>0</v>
      </c>
      <c r="R19" s="701">
        <f>SUM(C19:Q19)</f>
        <v>619.13073441012602</v>
      </c>
      <c r="S19" s="67"/>
    </row>
    <row r="20" spans="1:19" s="474" customFormat="1">
      <c r="A20" s="810" t="s">
        <v>307</v>
      </c>
      <c r="B20" s="815"/>
      <c r="C20" s="1025">
        <f>transport!B14</f>
        <v>5.1554306044258862</v>
      </c>
      <c r="D20" s="1025">
        <f>transport!C14</f>
        <v>0</v>
      </c>
      <c r="E20" s="1025">
        <f>transport!D14</f>
        <v>18.101365291467598</v>
      </c>
      <c r="F20" s="1025">
        <f>transport!E14</f>
        <v>110.73049600894228</v>
      </c>
      <c r="G20" s="1025">
        <f>transport!F14</f>
        <v>0</v>
      </c>
      <c r="H20" s="1025">
        <f>transport!G14</f>
        <v>26293.414782872231</v>
      </c>
      <c r="I20" s="1025">
        <f>transport!H14</f>
        <v>6724.2740642767976</v>
      </c>
      <c r="J20" s="1025">
        <f>transport!I14</f>
        <v>0</v>
      </c>
      <c r="K20" s="1025">
        <f>transport!J14</f>
        <v>0</v>
      </c>
      <c r="L20" s="1025">
        <f>transport!K14</f>
        <v>0</v>
      </c>
      <c r="M20" s="1025">
        <f>transport!L14</f>
        <v>0</v>
      </c>
      <c r="N20" s="1025">
        <f>transport!M14</f>
        <v>1727.9553500647464</v>
      </c>
      <c r="O20" s="1025">
        <f>transport!N14</f>
        <v>0</v>
      </c>
      <c r="P20" s="1025">
        <f>transport!O14</f>
        <v>0</v>
      </c>
      <c r="Q20" s="1026">
        <f>transport!P14</f>
        <v>0</v>
      </c>
      <c r="R20" s="701">
        <f>SUM(C20:Q20)</f>
        <v>34879.631489118612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5.1554306044258862</v>
      </c>
      <c r="D22" s="813">
        <f t="shared" ref="D22:R22" si="1">SUM(D18:D21)</f>
        <v>0</v>
      </c>
      <c r="E22" s="813">
        <f t="shared" si="1"/>
        <v>18.101365291467598</v>
      </c>
      <c r="F22" s="813">
        <f t="shared" si="1"/>
        <v>110.73049600894228</v>
      </c>
      <c r="G22" s="813">
        <f t="shared" si="1"/>
        <v>0</v>
      </c>
      <c r="H22" s="813">
        <f t="shared" si="1"/>
        <v>26879.143136751038</v>
      </c>
      <c r="I22" s="813">
        <f t="shared" si="1"/>
        <v>6724.2740642767976</v>
      </c>
      <c r="J22" s="813">
        <f t="shared" si="1"/>
        <v>0</v>
      </c>
      <c r="K22" s="813">
        <f t="shared" si="1"/>
        <v>0</v>
      </c>
      <c r="L22" s="813">
        <f t="shared" si="1"/>
        <v>0</v>
      </c>
      <c r="M22" s="813">
        <f t="shared" si="1"/>
        <v>0</v>
      </c>
      <c r="N22" s="813">
        <f t="shared" si="1"/>
        <v>1761.357730596065</v>
      </c>
      <c r="O22" s="813">
        <f t="shared" si="1"/>
        <v>0</v>
      </c>
      <c r="P22" s="813">
        <f t="shared" si="1"/>
        <v>0</v>
      </c>
      <c r="Q22" s="813">
        <f t="shared" si="1"/>
        <v>0</v>
      </c>
      <c r="R22" s="813">
        <f t="shared" si="1"/>
        <v>35498.762223528742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2192.6407999999997</v>
      </c>
      <c r="D24" s="1025">
        <f>+landbouw!C8</f>
        <v>25120.928571428569</v>
      </c>
      <c r="E24" s="1025">
        <f>+landbouw!D8</f>
        <v>148.69078108233546</v>
      </c>
      <c r="F24" s="1025">
        <f>+landbouw!E8</f>
        <v>20.309157451984671</v>
      </c>
      <c r="G24" s="1025">
        <f>+landbouw!F8</f>
        <v>5563.1474072437504</v>
      </c>
      <c r="H24" s="1025">
        <f>+landbouw!G8</f>
        <v>0</v>
      </c>
      <c r="I24" s="1025">
        <f>+landbouw!H8</f>
        <v>0</v>
      </c>
      <c r="J24" s="1025">
        <f>+landbouw!I8</f>
        <v>0</v>
      </c>
      <c r="K24" s="1025">
        <f>+landbouw!J8</f>
        <v>336.1563045827458</v>
      </c>
      <c r="L24" s="1025">
        <f>+landbouw!K8</f>
        <v>0</v>
      </c>
      <c r="M24" s="1025">
        <f>+landbouw!L8</f>
        <v>0</v>
      </c>
      <c r="N24" s="1025">
        <f>+landbouw!M8</f>
        <v>0</v>
      </c>
      <c r="O24" s="1025">
        <f>+landbouw!N8</f>
        <v>0</v>
      </c>
      <c r="P24" s="1025">
        <f>+landbouw!O8</f>
        <v>0</v>
      </c>
      <c r="Q24" s="1026">
        <f>+landbouw!P8</f>
        <v>0</v>
      </c>
      <c r="R24" s="701">
        <f>SUM(C24:Q24)</f>
        <v>33381.873021789383</v>
      </c>
      <c r="S24" s="67"/>
    </row>
    <row r="25" spans="1:19" s="474" customFormat="1" ht="15" thickBot="1">
      <c r="A25" s="832" t="s">
        <v>864</v>
      </c>
      <c r="B25" s="1028"/>
      <c r="C25" s="1029">
        <f>IF(Onbekend_ele_kWh="---",0,Onbekend_ele_kWh)/1000+IF(REST_rest_ele_kWh="---",0,REST_rest_ele_kWh)/1000</f>
        <v>639.85609999999997</v>
      </c>
      <c r="D25" s="1029"/>
      <c r="E25" s="1029">
        <f>IF(onbekend_gas_kWh="---",0,onbekend_gas_kWh)/1000+IF(REST_rest_gas_kWh="---",0,REST_rest_gas_kWh)/1000</f>
        <v>932.47867591743693</v>
      </c>
      <c r="F25" s="1029"/>
      <c r="G25" s="1029"/>
      <c r="H25" s="1029"/>
      <c r="I25" s="1029"/>
      <c r="J25" s="1029"/>
      <c r="K25" s="1029"/>
      <c r="L25" s="1029"/>
      <c r="M25" s="1029"/>
      <c r="N25" s="1029"/>
      <c r="O25" s="1029"/>
      <c r="P25" s="1029"/>
      <c r="Q25" s="1030"/>
      <c r="R25" s="701">
        <f>SUM(C25:Q25)</f>
        <v>1572.3347759174369</v>
      </c>
      <c r="S25" s="67"/>
    </row>
    <row r="26" spans="1:19" s="474" customFormat="1" ht="15.75" thickBot="1">
      <c r="A26" s="706" t="s">
        <v>865</v>
      </c>
      <c r="B26" s="818"/>
      <c r="C26" s="813">
        <f>SUM(C24:C25)</f>
        <v>2832.4968999999996</v>
      </c>
      <c r="D26" s="813">
        <f t="shared" ref="D26:R26" si="2">SUM(D24:D25)</f>
        <v>25120.928571428569</v>
      </c>
      <c r="E26" s="813">
        <f t="shared" si="2"/>
        <v>1081.1694569997724</v>
      </c>
      <c r="F26" s="813">
        <f t="shared" si="2"/>
        <v>20.309157451984671</v>
      </c>
      <c r="G26" s="813">
        <f t="shared" si="2"/>
        <v>5563.1474072437504</v>
      </c>
      <c r="H26" s="813">
        <f t="shared" si="2"/>
        <v>0</v>
      </c>
      <c r="I26" s="813">
        <f t="shared" si="2"/>
        <v>0</v>
      </c>
      <c r="J26" s="813">
        <f t="shared" si="2"/>
        <v>0</v>
      </c>
      <c r="K26" s="813">
        <f t="shared" si="2"/>
        <v>336.1563045827458</v>
      </c>
      <c r="L26" s="813">
        <f t="shared" si="2"/>
        <v>0</v>
      </c>
      <c r="M26" s="813">
        <f t="shared" si="2"/>
        <v>0</v>
      </c>
      <c r="N26" s="813">
        <f t="shared" si="2"/>
        <v>0</v>
      </c>
      <c r="O26" s="813">
        <f t="shared" si="2"/>
        <v>0</v>
      </c>
      <c r="P26" s="813">
        <f t="shared" si="2"/>
        <v>0</v>
      </c>
      <c r="Q26" s="813">
        <f t="shared" si="2"/>
        <v>0</v>
      </c>
      <c r="R26" s="813">
        <f t="shared" si="2"/>
        <v>34954.207797706818</v>
      </c>
      <c r="S26" s="67"/>
    </row>
    <row r="27" spans="1:19" s="474" customFormat="1" ht="17.25" thickTop="1" thickBot="1">
      <c r="A27" s="707" t="s">
        <v>116</v>
      </c>
      <c r="B27" s="806"/>
      <c r="C27" s="708">
        <f ca="1">C22+C16+C26</f>
        <v>28306.542830217466</v>
      </c>
      <c r="D27" s="708">
        <f t="shared" ref="D27:R27" ca="1" si="3">D22+D16+D26</f>
        <v>25120.928571428569</v>
      </c>
      <c r="E27" s="708">
        <f t="shared" ca="1" si="3"/>
        <v>28617.357932270301</v>
      </c>
      <c r="F27" s="708">
        <f t="shared" si="3"/>
        <v>2591.5718230892876</v>
      </c>
      <c r="G27" s="708">
        <f t="shared" ca="1" si="3"/>
        <v>30936.575198505212</v>
      </c>
      <c r="H27" s="708">
        <f t="shared" si="3"/>
        <v>26879.143136751038</v>
      </c>
      <c r="I27" s="708">
        <f t="shared" si="3"/>
        <v>6724.2740642767976</v>
      </c>
      <c r="J27" s="708">
        <f t="shared" si="3"/>
        <v>0</v>
      </c>
      <c r="K27" s="708">
        <f t="shared" si="3"/>
        <v>2354.5037758560848</v>
      </c>
      <c r="L27" s="708">
        <f t="shared" si="3"/>
        <v>0</v>
      </c>
      <c r="M27" s="708">
        <f t="shared" ca="1" si="3"/>
        <v>0</v>
      </c>
      <c r="N27" s="708">
        <f t="shared" si="3"/>
        <v>1761.357730596065</v>
      </c>
      <c r="O27" s="708">
        <f t="shared" ca="1" si="3"/>
        <v>9773.5430694250845</v>
      </c>
      <c r="P27" s="708">
        <f t="shared" si="3"/>
        <v>181.34666666666666</v>
      </c>
      <c r="Q27" s="708">
        <f t="shared" si="3"/>
        <v>457.59999999999997</v>
      </c>
      <c r="R27" s="708">
        <f t="shared" ca="1" si="3"/>
        <v>163704.74479908257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507.37470312336836</v>
      </c>
      <c r="D40" s="1025">
        <f ca="1">tertiair!C20</f>
        <v>0</v>
      </c>
      <c r="E40" s="1025">
        <f ca="1">tertiair!D20</f>
        <v>1428.3862413747443</v>
      </c>
      <c r="F40" s="1025">
        <f>tertiair!E20</f>
        <v>15.167326355394893</v>
      </c>
      <c r="G40" s="1025">
        <f ca="1">tertiair!F20</f>
        <v>271.64391049123407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2222.5721813447417</v>
      </c>
    </row>
    <row r="41" spans="1:18">
      <c r="A41" s="823" t="s">
        <v>225</v>
      </c>
      <c r="B41" s="830"/>
      <c r="C41" s="1025">
        <f ca="1">huishoudens!B12</f>
        <v>1130.558641957035</v>
      </c>
      <c r="D41" s="1025">
        <f ca="1">huishoudens!C12</f>
        <v>0</v>
      </c>
      <c r="E41" s="1025">
        <f>huishoudens!D12</f>
        <v>3925.9312673994614</v>
      </c>
      <c r="F41" s="1025">
        <f>huishoudens!E12</f>
        <v>490.41231639333716</v>
      </c>
      <c r="G41" s="1025">
        <f>huishoudens!F12</f>
        <v>6222.9393356733844</v>
      </c>
      <c r="H41" s="1025">
        <f>huishoudens!G12</f>
        <v>0</v>
      </c>
      <c r="I41" s="1025">
        <f>huishoudens!H12</f>
        <v>0</v>
      </c>
      <c r="J41" s="1025">
        <f>huishoudens!I12</f>
        <v>0</v>
      </c>
      <c r="K41" s="1025">
        <f>huishoudens!J12</f>
        <v>712.23582191605749</v>
      </c>
      <c r="L41" s="1025">
        <f>huishoudens!K12</f>
        <v>0</v>
      </c>
      <c r="M41" s="1025">
        <f>huishoudens!L12</f>
        <v>0</v>
      </c>
      <c r="N41" s="1025">
        <f>huishoudens!M12</f>
        <v>0</v>
      </c>
      <c r="O41" s="1025">
        <f>huishoudens!N12</f>
        <v>0</v>
      </c>
      <c r="P41" s="1025">
        <f>huishoudens!O12</f>
        <v>0</v>
      </c>
      <c r="Q41" s="775">
        <f>huishoudens!P12</f>
        <v>0</v>
      </c>
      <c r="R41" s="851">
        <f t="shared" ca="1" si="4"/>
        <v>12482.077383339276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101.14097696741247</v>
      </c>
      <c r="D43" s="1025">
        <f ca="1">industrie!C22</f>
        <v>0</v>
      </c>
      <c r="E43" s="1025">
        <f>industrie!D22</f>
        <v>204.33608744156535</v>
      </c>
      <c r="F43" s="1025">
        <f>industrie!E22</f>
        <v>52.9611597569059</v>
      </c>
      <c r="G43" s="1025">
        <f>industrie!F22</f>
        <v>280.12197410219358</v>
      </c>
      <c r="H43" s="1025">
        <f>industrie!G22</f>
        <v>0</v>
      </c>
      <c r="I43" s="1025">
        <f>industrie!H22</f>
        <v>0</v>
      </c>
      <c r="J43" s="1025">
        <f>industrie!I22</f>
        <v>0</v>
      </c>
      <c r="K43" s="1025">
        <f>industrie!J22</f>
        <v>2.2591829147045872</v>
      </c>
      <c r="L43" s="1025">
        <f>industrie!K22</f>
        <v>0</v>
      </c>
      <c r="M43" s="1025">
        <f>industrie!L22</f>
        <v>0</v>
      </c>
      <c r="N43" s="1025">
        <f>industrie!M22</f>
        <v>0</v>
      </c>
      <c r="O43" s="1025">
        <f>industrie!N22</f>
        <v>0</v>
      </c>
      <c r="P43" s="1025">
        <f>industrie!O22</f>
        <v>0</v>
      </c>
      <c r="Q43" s="775">
        <f>industrie!P22</f>
        <v>0</v>
      </c>
      <c r="R43" s="850">
        <f t="shared" ca="1" si="4"/>
        <v>640.81938118278197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1739.0743220478157</v>
      </c>
      <c r="D46" s="733">
        <f t="shared" ref="D46:Q46" ca="1" si="5">SUM(D39:D45)</f>
        <v>0</v>
      </c>
      <c r="E46" s="733">
        <f t="shared" ca="1" si="5"/>
        <v>5558.6535962157714</v>
      </c>
      <c r="F46" s="733">
        <f t="shared" si="5"/>
        <v>558.540802505638</v>
      </c>
      <c r="G46" s="733">
        <f t="shared" ca="1" si="5"/>
        <v>6774.7052202668119</v>
      </c>
      <c r="H46" s="733">
        <f t="shared" si="5"/>
        <v>0</v>
      </c>
      <c r="I46" s="733">
        <f t="shared" si="5"/>
        <v>0</v>
      </c>
      <c r="J46" s="733">
        <f t="shared" si="5"/>
        <v>0</v>
      </c>
      <c r="K46" s="733">
        <f t="shared" si="5"/>
        <v>714.49500483076213</v>
      </c>
      <c r="L46" s="733">
        <f t="shared" si="5"/>
        <v>0</v>
      </c>
      <c r="M46" s="733">
        <f t="shared" ca="1" si="5"/>
        <v>0</v>
      </c>
      <c r="N46" s="733">
        <f t="shared" si="5"/>
        <v>0</v>
      </c>
      <c r="O46" s="733">
        <f t="shared" ca="1" si="5"/>
        <v>0</v>
      </c>
      <c r="P46" s="733">
        <f t="shared" si="5"/>
        <v>0</v>
      </c>
      <c r="Q46" s="733">
        <f t="shared" si="5"/>
        <v>0</v>
      </c>
      <c r="R46" s="733">
        <f ca="1">SUM(R39:R45)</f>
        <v>15345.4689458668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156.3894704856416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156.3894704856416</v>
      </c>
    </row>
    <row r="50" spans="1:18">
      <c r="A50" s="826" t="s">
        <v>307</v>
      </c>
      <c r="B50" s="836"/>
      <c r="C50" s="704">
        <f ca="1">transport!B18</f>
        <v>0.35202463897642999</v>
      </c>
      <c r="D50" s="704">
        <f>transport!C18</f>
        <v>0</v>
      </c>
      <c r="E50" s="704">
        <f>transport!D18</f>
        <v>3.6564757888764552</v>
      </c>
      <c r="F50" s="704">
        <f>transport!E18</f>
        <v>25.1358225940299</v>
      </c>
      <c r="G50" s="704">
        <f>transport!F18</f>
        <v>0</v>
      </c>
      <c r="H50" s="704">
        <f>transport!G18</f>
        <v>7020.341747026886</v>
      </c>
      <c r="I50" s="704">
        <f>transport!H18</f>
        <v>1674.3442420049225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8723.8303120536912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0.35202463897642999</v>
      </c>
      <c r="D52" s="733">
        <f t="shared" ref="D52:Q52" ca="1" si="6">SUM(D48:D51)</f>
        <v>0</v>
      </c>
      <c r="E52" s="733">
        <f t="shared" si="6"/>
        <v>3.6564757888764552</v>
      </c>
      <c r="F52" s="733">
        <f t="shared" si="6"/>
        <v>25.1358225940299</v>
      </c>
      <c r="G52" s="733">
        <f t="shared" si="6"/>
        <v>0</v>
      </c>
      <c r="H52" s="733">
        <f t="shared" si="6"/>
        <v>7176.731217512528</v>
      </c>
      <c r="I52" s="733">
        <f t="shared" si="6"/>
        <v>1674.3442420049225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8880.2197825393323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149.71854831337529</v>
      </c>
      <c r="D54" s="704">
        <f ca="1">+landbouw!C12</f>
        <v>0</v>
      </c>
      <c r="E54" s="704">
        <f>+landbouw!D12</f>
        <v>30.035537778631767</v>
      </c>
      <c r="F54" s="704">
        <f>+landbouw!E12</f>
        <v>4.6101787416005209</v>
      </c>
      <c r="G54" s="704">
        <f>+landbouw!F12</f>
        <v>1485.3603577340814</v>
      </c>
      <c r="H54" s="704">
        <f>+landbouw!G12</f>
        <v>0</v>
      </c>
      <c r="I54" s="704">
        <f>+landbouw!H12</f>
        <v>0</v>
      </c>
      <c r="J54" s="704">
        <f>+landbouw!I12</f>
        <v>0</v>
      </c>
      <c r="K54" s="704">
        <f>+landbouw!J12</f>
        <v>118.99933182229201</v>
      </c>
      <c r="L54" s="704">
        <f>+landbouw!K12</f>
        <v>0</v>
      </c>
      <c r="M54" s="704">
        <f>+landbouw!L12</f>
        <v>0</v>
      </c>
      <c r="N54" s="704">
        <f>+landbouw!M12</f>
        <v>0</v>
      </c>
      <c r="O54" s="704">
        <f>+landbouw!N12</f>
        <v>0</v>
      </c>
      <c r="P54" s="704">
        <f>+landbouw!O12</f>
        <v>0</v>
      </c>
      <c r="Q54" s="705">
        <f>+landbouw!P12</f>
        <v>0</v>
      </c>
      <c r="R54" s="732">
        <f ca="1">SUM(C54:Q54)</f>
        <v>1788.7239543899811</v>
      </c>
    </row>
    <row r="55" spans="1:18" ht="15" thickBot="1">
      <c r="A55" s="826" t="s">
        <v>864</v>
      </c>
      <c r="B55" s="836"/>
      <c r="C55" s="704">
        <f ca="1">C25*'EF ele_warmte'!B12</f>
        <v>43.690843671912837</v>
      </c>
      <c r="D55" s="704"/>
      <c r="E55" s="704">
        <f>E25*EF_CO2_aardgas</f>
        <v>188.36069253532227</v>
      </c>
      <c r="F55" s="704"/>
      <c r="G55" s="704"/>
      <c r="H55" s="704"/>
      <c r="I55" s="704"/>
      <c r="J55" s="704"/>
      <c r="K55" s="704"/>
      <c r="L55" s="704"/>
      <c r="M55" s="704"/>
      <c r="N55" s="704"/>
      <c r="O55" s="704"/>
      <c r="P55" s="704"/>
      <c r="Q55" s="705"/>
      <c r="R55" s="732">
        <f ca="1">SUM(C55:Q55)</f>
        <v>232.0515362072351</v>
      </c>
    </row>
    <row r="56" spans="1:18" ht="15.75" thickBot="1">
      <c r="A56" s="824" t="s">
        <v>865</v>
      </c>
      <c r="B56" s="837"/>
      <c r="C56" s="733">
        <f ca="1">SUM(C54:C55)</f>
        <v>193.40939198528812</v>
      </c>
      <c r="D56" s="733">
        <f t="shared" ref="D56:Q56" ca="1" si="7">SUM(D54:D55)</f>
        <v>0</v>
      </c>
      <c r="E56" s="733">
        <f t="shared" si="7"/>
        <v>218.39623031395405</v>
      </c>
      <c r="F56" s="733">
        <f t="shared" si="7"/>
        <v>4.6101787416005209</v>
      </c>
      <c r="G56" s="733">
        <f t="shared" si="7"/>
        <v>1485.3603577340814</v>
      </c>
      <c r="H56" s="733">
        <f t="shared" si="7"/>
        <v>0</v>
      </c>
      <c r="I56" s="733">
        <f t="shared" si="7"/>
        <v>0</v>
      </c>
      <c r="J56" s="733">
        <f t="shared" si="7"/>
        <v>0</v>
      </c>
      <c r="K56" s="733">
        <f t="shared" si="7"/>
        <v>118.99933182229201</v>
      </c>
      <c r="L56" s="733">
        <f t="shared" si="7"/>
        <v>0</v>
      </c>
      <c r="M56" s="733">
        <f t="shared" si="7"/>
        <v>0</v>
      </c>
      <c r="N56" s="733">
        <f t="shared" si="7"/>
        <v>0</v>
      </c>
      <c r="O56" s="733">
        <f t="shared" si="7"/>
        <v>0</v>
      </c>
      <c r="P56" s="733">
        <f t="shared" si="7"/>
        <v>0</v>
      </c>
      <c r="Q56" s="734">
        <f t="shared" si="7"/>
        <v>0</v>
      </c>
      <c r="R56" s="735">
        <f ca="1">SUM(R54:R55)</f>
        <v>2020.7754905972163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1932.8357386720802</v>
      </c>
      <c r="D61" s="741">
        <f t="shared" ref="D61:Q61" ca="1" si="8">D46+D52+D56</f>
        <v>0</v>
      </c>
      <c r="E61" s="741">
        <f t="shared" ca="1" si="8"/>
        <v>5780.706302318602</v>
      </c>
      <c r="F61" s="741">
        <f t="shared" si="8"/>
        <v>588.28680384126847</v>
      </c>
      <c r="G61" s="741">
        <f t="shared" ca="1" si="8"/>
        <v>8260.0655780008929</v>
      </c>
      <c r="H61" s="741">
        <f t="shared" si="8"/>
        <v>7176.731217512528</v>
      </c>
      <c r="I61" s="741">
        <f t="shared" si="8"/>
        <v>1674.3442420049225</v>
      </c>
      <c r="J61" s="741">
        <f t="shared" si="8"/>
        <v>0</v>
      </c>
      <c r="K61" s="741">
        <f t="shared" si="8"/>
        <v>833.49433665305412</v>
      </c>
      <c r="L61" s="741">
        <f t="shared" si="8"/>
        <v>0</v>
      </c>
      <c r="M61" s="741">
        <f t="shared" ca="1" si="8"/>
        <v>0</v>
      </c>
      <c r="N61" s="741">
        <f t="shared" si="8"/>
        <v>0</v>
      </c>
      <c r="O61" s="741">
        <f t="shared" ca="1" si="8"/>
        <v>0</v>
      </c>
      <c r="P61" s="741">
        <f t="shared" si="8"/>
        <v>0</v>
      </c>
      <c r="Q61" s="741">
        <f t="shared" si="8"/>
        <v>0</v>
      </c>
      <c r="R61" s="741">
        <f ca="1">R46+R52+R56</f>
        <v>26246.464219003348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6.8282296084874142E-2</v>
      </c>
      <c r="D63" s="782">
        <f t="shared" ca="1" si="9"/>
        <v>0</v>
      </c>
      <c r="E63" s="1036">
        <f t="shared" ca="1" si="9"/>
        <v>0.20200000000000004</v>
      </c>
      <c r="F63" s="782">
        <f t="shared" si="9"/>
        <v>0.22700000000000006</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1976.029759303075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17584.650000000001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20687.823529411766</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19560.679759303075</v>
      </c>
      <c r="C78" s="756">
        <f>SUM(C72:C77)</f>
        <v>0</v>
      </c>
      <c r="D78" s="757">
        <f t="shared" ref="D78:H78" si="10">SUM(D76:D77)</f>
        <v>0</v>
      </c>
      <c r="E78" s="757">
        <f t="shared" si="10"/>
        <v>0</v>
      </c>
      <c r="F78" s="757">
        <f t="shared" si="10"/>
        <v>0</v>
      </c>
      <c r="G78" s="757">
        <f t="shared" si="10"/>
        <v>0</v>
      </c>
      <c r="H78" s="757">
        <f t="shared" si="10"/>
        <v>0</v>
      </c>
      <c r="I78" s="757">
        <f>SUM(I76:I77)</f>
        <v>0</v>
      </c>
      <c r="J78" s="757">
        <f>SUM(J76:J77)</f>
        <v>20687.823529411766</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25120.928571428569</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29554.033613445372</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25120.928571428569</v>
      </c>
      <c r="C90" s="756">
        <f>SUM(C87:C89)</f>
        <v>0</v>
      </c>
      <c r="D90" s="756">
        <f t="shared" ref="D90:H90" si="12">SUM(D87:D89)</f>
        <v>0</v>
      </c>
      <c r="E90" s="756">
        <f t="shared" si="12"/>
        <v>0</v>
      </c>
      <c r="F90" s="756">
        <f t="shared" si="12"/>
        <v>0</v>
      </c>
      <c r="G90" s="756">
        <f t="shared" si="12"/>
        <v>0</v>
      </c>
      <c r="H90" s="756">
        <f t="shared" si="12"/>
        <v>0</v>
      </c>
      <c r="I90" s="756">
        <f>SUM(I87:I89)</f>
        <v>0</v>
      </c>
      <c r="J90" s="756">
        <f>SUM(J87:J89)</f>
        <v>29554.033613445372</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16557.126909613042</v>
      </c>
      <c r="C4" s="478">
        <f>huishoudens!C8</f>
        <v>0</v>
      </c>
      <c r="D4" s="478">
        <f>huishoudens!D8</f>
        <v>19435.303303957728</v>
      </c>
      <c r="E4" s="478">
        <f>huishoudens!E8</f>
        <v>2160.4066801468598</v>
      </c>
      <c r="F4" s="478">
        <f>huishoudens!F8</f>
        <v>23306.888897653123</v>
      </c>
      <c r="G4" s="478">
        <f>huishoudens!G8</f>
        <v>0</v>
      </c>
      <c r="H4" s="478">
        <f>huishoudens!H8</f>
        <v>0</v>
      </c>
      <c r="I4" s="478">
        <f>huishoudens!I8</f>
        <v>0</v>
      </c>
      <c r="J4" s="478">
        <f>huishoudens!J8</f>
        <v>2011.9655986329308</v>
      </c>
      <c r="K4" s="478">
        <f>huishoudens!K8</f>
        <v>0</v>
      </c>
      <c r="L4" s="478">
        <f>huishoudens!L8</f>
        <v>0</v>
      </c>
      <c r="M4" s="478">
        <f>huishoudens!M8</f>
        <v>0</v>
      </c>
      <c r="N4" s="478">
        <f>huishoudens!N8</f>
        <v>8549.035170279587</v>
      </c>
      <c r="O4" s="478">
        <f>huishoudens!O8</f>
        <v>176.65666666666667</v>
      </c>
      <c r="P4" s="479">
        <f>huishoudens!P8</f>
        <v>438.5333333333333</v>
      </c>
      <c r="Q4" s="480">
        <f>SUM(B4:P4)</f>
        <v>72635.916560283265</v>
      </c>
    </row>
    <row r="5" spans="1:17">
      <c r="A5" s="477" t="s">
        <v>156</v>
      </c>
      <c r="B5" s="478">
        <f ca="1">tertiair!B16</f>
        <v>6753.3354299999992</v>
      </c>
      <c r="C5" s="478">
        <f ca="1">tertiair!C16</f>
        <v>0</v>
      </c>
      <c r="D5" s="478">
        <f ca="1">tertiair!D16</f>
        <v>7071.2190167066547</v>
      </c>
      <c r="E5" s="478">
        <f>tertiair!E16</f>
        <v>66.816415662532563</v>
      </c>
      <c r="F5" s="478">
        <f ca="1">tertiair!F16</f>
        <v>1017.3929231881426</v>
      </c>
      <c r="G5" s="478">
        <f>tertiair!G16</f>
        <v>0</v>
      </c>
      <c r="H5" s="478">
        <f>tertiair!H16</f>
        <v>0</v>
      </c>
      <c r="I5" s="478">
        <f>tertiair!I16</f>
        <v>0</v>
      </c>
      <c r="J5" s="478">
        <f>tertiair!J16</f>
        <v>0</v>
      </c>
      <c r="K5" s="478">
        <f>tertiair!K16</f>
        <v>0</v>
      </c>
      <c r="L5" s="478">
        <f ca="1">tertiair!L16</f>
        <v>0</v>
      </c>
      <c r="M5" s="478">
        <f>tertiair!M16</f>
        <v>0</v>
      </c>
      <c r="N5" s="478">
        <f ca="1">tertiair!N16</f>
        <v>793.11813387627978</v>
      </c>
      <c r="O5" s="478">
        <f>tertiair!O16</f>
        <v>4.6900000000000004</v>
      </c>
      <c r="P5" s="479">
        <f>tertiair!P16</f>
        <v>19.066666666666666</v>
      </c>
      <c r="Q5" s="477">
        <f t="shared" ref="Q5:Q14" ca="1" si="0">SUM(B5:P5)</f>
        <v>15725.638586100276</v>
      </c>
    </row>
    <row r="6" spans="1:17">
      <c r="A6" s="477" t="s">
        <v>194</v>
      </c>
      <c r="B6" s="478">
        <f>'openbare verlichting'!B8</f>
        <v>677.21</v>
      </c>
      <c r="C6" s="478"/>
      <c r="D6" s="478"/>
      <c r="E6" s="478"/>
      <c r="F6" s="478"/>
      <c r="G6" s="478"/>
      <c r="H6" s="478"/>
      <c r="I6" s="478"/>
      <c r="J6" s="478"/>
      <c r="K6" s="478"/>
      <c r="L6" s="478"/>
      <c r="M6" s="478"/>
      <c r="N6" s="478"/>
      <c r="O6" s="478"/>
      <c r="P6" s="479"/>
      <c r="Q6" s="477">
        <f t="shared" si="0"/>
        <v>677.21</v>
      </c>
    </row>
    <row r="7" spans="1:17">
      <c r="A7" s="477" t="s">
        <v>112</v>
      </c>
      <c r="B7" s="478">
        <f>landbouw!B8</f>
        <v>2192.6407999999997</v>
      </c>
      <c r="C7" s="478">
        <f>landbouw!C8</f>
        <v>25120.928571428569</v>
      </c>
      <c r="D7" s="478">
        <f>landbouw!D8</f>
        <v>148.69078108233546</v>
      </c>
      <c r="E7" s="478">
        <f>landbouw!E8</f>
        <v>20.309157451984671</v>
      </c>
      <c r="F7" s="478">
        <f>landbouw!F8</f>
        <v>5563.1474072437504</v>
      </c>
      <c r="G7" s="478">
        <f>landbouw!G8</f>
        <v>0</v>
      </c>
      <c r="H7" s="478">
        <f>landbouw!H8</f>
        <v>0</v>
      </c>
      <c r="I7" s="478">
        <f>landbouw!I8</f>
        <v>0</v>
      </c>
      <c r="J7" s="478">
        <f>landbouw!J8</f>
        <v>336.1563045827458</v>
      </c>
      <c r="K7" s="478">
        <f>landbouw!K8</f>
        <v>0</v>
      </c>
      <c r="L7" s="478">
        <f>landbouw!L8</f>
        <v>0</v>
      </c>
      <c r="M7" s="478">
        <f>landbouw!M8</f>
        <v>0</v>
      </c>
      <c r="N7" s="478">
        <f>landbouw!N8</f>
        <v>0</v>
      </c>
      <c r="O7" s="478">
        <f>landbouw!O8</f>
        <v>0</v>
      </c>
      <c r="P7" s="479">
        <f>landbouw!P8</f>
        <v>0</v>
      </c>
      <c r="Q7" s="477">
        <f t="shared" si="0"/>
        <v>33381.873021789383</v>
      </c>
    </row>
    <row r="8" spans="1:17">
      <c r="A8" s="477" t="s">
        <v>650</v>
      </c>
      <c r="B8" s="478">
        <f>industrie!B18</f>
        <v>1481.2181599999999</v>
      </c>
      <c r="C8" s="478">
        <f>industrie!C18</f>
        <v>0</v>
      </c>
      <c r="D8" s="478">
        <f>industrie!D18</f>
        <v>1011.56478931468</v>
      </c>
      <c r="E8" s="478">
        <f>industrie!E18</f>
        <v>233.30907381896873</v>
      </c>
      <c r="F8" s="478">
        <f>industrie!F18</f>
        <v>1049.1459704202007</v>
      </c>
      <c r="G8" s="478">
        <f>industrie!G18</f>
        <v>0</v>
      </c>
      <c r="H8" s="478">
        <f>industrie!H18</f>
        <v>0</v>
      </c>
      <c r="I8" s="478">
        <f>industrie!I18</f>
        <v>0</v>
      </c>
      <c r="J8" s="478">
        <f>industrie!J18</f>
        <v>6.3818726404084387</v>
      </c>
      <c r="K8" s="478">
        <f>industrie!K18</f>
        <v>0</v>
      </c>
      <c r="L8" s="478">
        <f>industrie!L18</f>
        <v>0</v>
      </c>
      <c r="M8" s="478">
        <f>industrie!M18</f>
        <v>0</v>
      </c>
      <c r="N8" s="478">
        <f>industrie!N18</f>
        <v>431.38976526921704</v>
      </c>
      <c r="O8" s="478">
        <f>industrie!O18</f>
        <v>0</v>
      </c>
      <c r="P8" s="479">
        <f>industrie!P18</f>
        <v>0</v>
      </c>
      <c r="Q8" s="477">
        <f t="shared" si="0"/>
        <v>4213.0096314634748</v>
      </c>
    </row>
    <row r="9" spans="1:17" s="483" customFormat="1">
      <c r="A9" s="481" t="s">
        <v>571</v>
      </c>
      <c r="B9" s="482">
        <f>transport!B14</f>
        <v>5.1554306044258862</v>
      </c>
      <c r="C9" s="482">
        <f>transport!C14</f>
        <v>0</v>
      </c>
      <c r="D9" s="482">
        <f>transport!D14</f>
        <v>18.101365291467598</v>
      </c>
      <c r="E9" s="482">
        <f>transport!E14</f>
        <v>110.73049600894228</v>
      </c>
      <c r="F9" s="482">
        <f>transport!F14</f>
        <v>0</v>
      </c>
      <c r="G9" s="482">
        <f>transport!G14</f>
        <v>26293.414782872231</v>
      </c>
      <c r="H9" s="482">
        <f>transport!H14</f>
        <v>6724.2740642767976</v>
      </c>
      <c r="I9" s="482">
        <f>transport!I14</f>
        <v>0</v>
      </c>
      <c r="J9" s="482">
        <f>transport!J14</f>
        <v>0</v>
      </c>
      <c r="K9" s="482">
        <f>transport!K14</f>
        <v>0</v>
      </c>
      <c r="L9" s="482">
        <f>transport!L14</f>
        <v>0</v>
      </c>
      <c r="M9" s="482">
        <f>transport!M14</f>
        <v>1727.9553500647464</v>
      </c>
      <c r="N9" s="482">
        <f>transport!N14</f>
        <v>0</v>
      </c>
      <c r="O9" s="482">
        <f>transport!O14</f>
        <v>0</v>
      </c>
      <c r="P9" s="482">
        <f>transport!P14</f>
        <v>0</v>
      </c>
      <c r="Q9" s="481">
        <f>SUM(B9:P9)</f>
        <v>34879.631489118612</v>
      </c>
    </row>
    <row r="10" spans="1:17">
      <c r="A10" s="477" t="s">
        <v>561</v>
      </c>
      <c r="B10" s="478">
        <f>transport!B54</f>
        <v>0</v>
      </c>
      <c r="C10" s="478">
        <f>transport!C54</f>
        <v>0</v>
      </c>
      <c r="D10" s="478">
        <f>transport!D54</f>
        <v>0</v>
      </c>
      <c r="E10" s="478">
        <f>transport!E54</f>
        <v>0</v>
      </c>
      <c r="F10" s="478">
        <f>transport!F54</f>
        <v>0</v>
      </c>
      <c r="G10" s="478">
        <f>transport!G54</f>
        <v>585.72835387880741</v>
      </c>
      <c r="H10" s="478">
        <f>transport!H54</f>
        <v>0</v>
      </c>
      <c r="I10" s="478">
        <f>transport!I54</f>
        <v>0</v>
      </c>
      <c r="J10" s="478">
        <f>transport!J54</f>
        <v>0</v>
      </c>
      <c r="K10" s="478">
        <f>transport!K54</f>
        <v>0</v>
      </c>
      <c r="L10" s="478">
        <f>transport!L54</f>
        <v>0</v>
      </c>
      <c r="M10" s="478">
        <f>transport!M54</f>
        <v>33.402380531318641</v>
      </c>
      <c r="N10" s="478">
        <f>transport!N54</f>
        <v>0</v>
      </c>
      <c r="O10" s="478">
        <f>transport!O54</f>
        <v>0</v>
      </c>
      <c r="P10" s="479">
        <f>transport!P54</f>
        <v>0</v>
      </c>
      <c r="Q10" s="477">
        <f t="shared" si="0"/>
        <v>619.13073441012602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639.85609999999997</v>
      </c>
      <c r="C14" s="485"/>
      <c r="D14" s="485">
        <f>'SEAP template'!E25</f>
        <v>932.47867591743693</v>
      </c>
      <c r="E14" s="485"/>
      <c r="F14" s="485"/>
      <c r="G14" s="485"/>
      <c r="H14" s="485"/>
      <c r="I14" s="485"/>
      <c r="J14" s="485"/>
      <c r="K14" s="485"/>
      <c r="L14" s="485"/>
      <c r="M14" s="485"/>
      <c r="N14" s="485"/>
      <c r="O14" s="485"/>
      <c r="P14" s="486"/>
      <c r="Q14" s="477">
        <f t="shared" si="0"/>
        <v>1572.3347759174369</v>
      </c>
    </row>
    <row r="15" spans="1:17" s="487" customFormat="1">
      <c r="A15" s="1051" t="s">
        <v>565</v>
      </c>
      <c r="B15" s="991">
        <f ca="1">SUM(B4:B14)</f>
        <v>28306.54283021747</v>
      </c>
      <c r="C15" s="991">
        <f t="shared" ref="C15:Q15" ca="1" si="1">SUM(C4:C14)</f>
        <v>25120.928571428569</v>
      </c>
      <c r="D15" s="991">
        <f t="shared" ca="1" si="1"/>
        <v>28617.357932270304</v>
      </c>
      <c r="E15" s="991">
        <f t="shared" si="1"/>
        <v>2591.571823089288</v>
      </c>
      <c r="F15" s="991">
        <f t="shared" ca="1" si="1"/>
        <v>30936.575198505212</v>
      </c>
      <c r="G15" s="991">
        <f t="shared" si="1"/>
        <v>26879.143136751038</v>
      </c>
      <c r="H15" s="991">
        <f t="shared" si="1"/>
        <v>6724.2740642767976</v>
      </c>
      <c r="I15" s="991">
        <f t="shared" si="1"/>
        <v>0</v>
      </c>
      <c r="J15" s="991">
        <f t="shared" si="1"/>
        <v>2354.5037758560848</v>
      </c>
      <c r="K15" s="991">
        <f t="shared" si="1"/>
        <v>0</v>
      </c>
      <c r="L15" s="991">
        <f t="shared" ca="1" si="1"/>
        <v>0</v>
      </c>
      <c r="M15" s="991">
        <f t="shared" si="1"/>
        <v>1761.357730596065</v>
      </c>
      <c r="N15" s="991">
        <f t="shared" ca="1" si="1"/>
        <v>9773.5430694250845</v>
      </c>
      <c r="O15" s="991">
        <f t="shared" si="1"/>
        <v>181.34666666666666</v>
      </c>
      <c r="P15" s="991">
        <f t="shared" si="1"/>
        <v>457.59999999999997</v>
      </c>
      <c r="Q15" s="991">
        <f t="shared" ca="1" si="1"/>
        <v>163704.7447990826</v>
      </c>
    </row>
    <row r="17" spans="1:17">
      <c r="A17" s="488" t="s">
        <v>566</v>
      </c>
      <c r="B17" s="787">
        <f ca="1">huishoudens!B10</f>
        <v>6.8282296084874142E-2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1130.558641957035</v>
      </c>
      <c r="C22" s="478">
        <f t="shared" ref="C22:C32" ca="1" si="3">C4*$C$17</f>
        <v>0</v>
      </c>
      <c r="D22" s="478">
        <f t="shared" ref="D22:D32" si="4">D4*$D$17</f>
        <v>3925.9312673994614</v>
      </c>
      <c r="E22" s="478">
        <f t="shared" ref="E22:E32" si="5">E4*$E$17</f>
        <v>490.41231639333716</v>
      </c>
      <c r="F22" s="478">
        <f t="shared" ref="F22:F32" si="6">F4*$F$17</f>
        <v>6222.9393356733844</v>
      </c>
      <c r="G22" s="478">
        <f t="shared" ref="G22:G32" si="7">G4*$G$17</f>
        <v>0</v>
      </c>
      <c r="H22" s="478">
        <f t="shared" ref="H22:H32" si="8">H4*$H$17</f>
        <v>0</v>
      </c>
      <c r="I22" s="478">
        <f t="shared" ref="I22:I32" si="9">I4*$I$17</f>
        <v>0</v>
      </c>
      <c r="J22" s="478">
        <f t="shared" ref="J22:J32" si="10">J4*$J$17</f>
        <v>712.23582191605749</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12482.077383339276</v>
      </c>
    </row>
    <row r="23" spans="1:17">
      <c r="A23" s="477" t="s">
        <v>156</v>
      </c>
      <c r="B23" s="478">
        <f t="shared" ca="1" si="2"/>
        <v>461.13324939173077</v>
      </c>
      <c r="C23" s="478">
        <f t="shared" ca="1" si="3"/>
        <v>0</v>
      </c>
      <c r="D23" s="478">
        <f t="shared" ca="1" si="4"/>
        <v>1428.3862413747443</v>
      </c>
      <c r="E23" s="478">
        <f t="shared" si="5"/>
        <v>15.167326355394893</v>
      </c>
      <c r="F23" s="478">
        <f t="shared" ca="1" si="6"/>
        <v>271.64391049123407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2176.330727613104</v>
      </c>
    </row>
    <row r="24" spans="1:17">
      <c r="A24" s="477" t="s">
        <v>194</v>
      </c>
      <c r="B24" s="478">
        <f t="shared" ca="1" si="2"/>
        <v>46.24145373163762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46.24145373163762</v>
      </c>
    </row>
    <row r="25" spans="1:17">
      <c r="A25" s="477" t="s">
        <v>112</v>
      </c>
      <c r="B25" s="478">
        <f t="shared" ca="1" si="2"/>
        <v>149.71854831337529</v>
      </c>
      <c r="C25" s="478">
        <f t="shared" ca="1" si="3"/>
        <v>0</v>
      </c>
      <c r="D25" s="478">
        <f t="shared" si="4"/>
        <v>30.035537778631767</v>
      </c>
      <c r="E25" s="478">
        <f t="shared" si="5"/>
        <v>4.6101787416005209</v>
      </c>
      <c r="F25" s="478">
        <f t="shared" si="6"/>
        <v>1485.3603577340814</v>
      </c>
      <c r="G25" s="478">
        <f t="shared" si="7"/>
        <v>0</v>
      </c>
      <c r="H25" s="478">
        <f t="shared" si="8"/>
        <v>0</v>
      </c>
      <c r="I25" s="478">
        <f t="shared" si="9"/>
        <v>0</v>
      </c>
      <c r="J25" s="478">
        <f t="shared" si="10"/>
        <v>118.99933182229201</v>
      </c>
      <c r="K25" s="478">
        <f t="shared" si="11"/>
        <v>0</v>
      </c>
      <c r="L25" s="478">
        <f t="shared" si="12"/>
        <v>0</v>
      </c>
      <c r="M25" s="478">
        <f t="shared" si="13"/>
        <v>0</v>
      </c>
      <c r="N25" s="478">
        <f t="shared" si="14"/>
        <v>0</v>
      </c>
      <c r="O25" s="478">
        <f t="shared" si="15"/>
        <v>0</v>
      </c>
      <c r="P25" s="479">
        <f t="shared" si="16"/>
        <v>0</v>
      </c>
      <c r="Q25" s="477">
        <f t="shared" ca="1" si="17"/>
        <v>1788.7239543899811</v>
      </c>
    </row>
    <row r="26" spans="1:17">
      <c r="A26" s="477" t="s">
        <v>650</v>
      </c>
      <c r="B26" s="478">
        <f t="shared" ca="1" si="2"/>
        <v>101.14097696741247</v>
      </c>
      <c r="C26" s="478">
        <f t="shared" ca="1" si="3"/>
        <v>0</v>
      </c>
      <c r="D26" s="478">
        <f t="shared" si="4"/>
        <v>204.33608744156535</v>
      </c>
      <c r="E26" s="478">
        <f t="shared" si="5"/>
        <v>52.9611597569059</v>
      </c>
      <c r="F26" s="478">
        <f t="shared" si="6"/>
        <v>280.12197410219358</v>
      </c>
      <c r="G26" s="478">
        <f t="shared" si="7"/>
        <v>0</v>
      </c>
      <c r="H26" s="478">
        <f t="shared" si="8"/>
        <v>0</v>
      </c>
      <c r="I26" s="478">
        <f t="shared" si="9"/>
        <v>0</v>
      </c>
      <c r="J26" s="478">
        <f t="shared" si="10"/>
        <v>2.2591829147045872</v>
      </c>
      <c r="K26" s="478">
        <f t="shared" si="11"/>
        <v>0</v>
      </c>
      <c r="L26" s="478">
        <f t="shared" si="12"/>
        <v>0</v>
      </c>
      <c r="M26" s="478">
        <f t="shared" si="13"/>
        <v>0</v>
      </c>
      <c r="N26" s="478">
        <f t="shared" si="14"/>
        <v>0</v>
      </c>
      <c r="O26" s="478">
        <f t="shared" si="15"/>
        <v>0</v>
      </c>
      <c r="P26" s="479">
        <f t="shared" si="16"/>
        <v>0</v>
      </c>
      <c r="Q26" s="477">
        <f t="shared" ca="1" si="17"/>
        <v>640.81938118278197</v>
      </c>
    </row>
    <row r="27" spans="1:17" s="483" customFormat="1">
      <c r="A27" s="481" t="s">
        <v>571</v>
      </c>
      <c r="B27" s="781">
        <f t="shared" ca="1" si="2"/>
        <v>0.35202463897642999</v>
      </c>
      <c r="C27" s="482">
        <f t="shared" ca="1" si="3"/>
        <v>0</v>
      </c>
      <c r="D27" s="482">
        <f t="shared" si="4"/>
        <v>3.6564757888764552</v>
      </c>
      <c r="E27" s="482">
        <f t="shared" si="5"/>
        <v>25.1358225940299</v>
      </c>
      <c r="F27" s="482">
        <f t="shared" si="6"/>
        <v>0</v>
      </c>
      <c r="G27" s="482">
        <f t="shared" si="7"/>
        <v>7020.341747026886</v>
      </c>
      <c r="H27" s="482">
        <f t="shared" si="8"/>
        <v>1674.3442420049225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8723.8303120536912</v>
      </c>
    </row>
    <row r="28" spans="1:17">
      <c r="A28" s="477" t="s">
        <v>561</v>
      </c>
      <c r="B28" s="478">
        <f t="shared" ca="1" si="2"/>
        <v>0</v>
      </c>
      <c r="C28" s="478">
        <f t="shared" ca="1" si="3"/>
        <v>0</v>
      </c>
      <c r="D28" s="478">
        <f t="shared" si="4"/>
        <v>0</v>
      </c>
      <c r="E28" s="478">
        <f t="shared" si="5"/>
        <v>0</v>
      </c>
      <c r="F28" s="478">
        <f t="shared" si="6"/>
        <v>0</v>
      </c>
      <c r="G28" s="478">
        <f t="shared" si="7"/>
        <v>156.3894704856416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156.3894704856416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43.690843671912837</v>
      </c>
      <c r="C32" s="478">
        <f t="shared" ca="1" si="3"/>
        <v>0</v>
      </c>
      <c r="D32" s="478">
        <f t="shared" si="4"/>
        <v>188.36069253532227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232.0515362072351</v>
      </c>
    </row>
    <row r="33" spans="1:17" s="487" customFormat="1">
      <c r="A33" s="1051" t="s">
        <v>565</v>
      </c>
      <c r="B33" s="991">
        <f ca="1">SUM(B22:B32)</f>
        <v>1932.8357386720804</v>
      </c>
      <c r="C33" s="991">
        <f t="shared" ref="C33:Q33" ca="1" si="18">SUM(C22:C32)</f>
        <v>0</v>
      </c>
      <c r="D33" s="991">
        <f t="shared" ca="1" si="18"/>
        <v>5780.706302318602</v>
      </c>
      <c r="E33" s="991">
        <f t="shared" si="18"/>
        <v>588.28680384126847</v>
      </c>
      <c r="F33" s="991">
        <f t="shared" ca="1" si="18"/>
        <v>8260.0655780008947</v>
      </c>
      <c r="G33" s="991">
        <f t="shared" si="18"/>
        <v>7176.731217512528</v>
      </c>
      <c r="H33" s="991">
        <f t="shared" si="18"/>
        <v>1674.3442420049225</v>
      </c>
      <c r="I33" s="991">
        <f t="shared" si="18"/>
        <v>0</v>
      </c>
      <c r="J33" s="991">
        <f t="shared" si="18"/>
        <v>833.49433665305412</v>
      </c>
      <c r="K33" s="991">
        <f t="shared" si="18"/>
        <v>0</v>
      </c>
      <c r="L33" s="991">
        <f t="shared" ca="1" si="18"/>
        <v>0</v>
      </c>
      <c r="M33" s="991">
        <f t="shared" si="18"/>
        <v>0</v>
      </c>
      <c r="N33" s="991">
        <f t="shared" ca="1" si="18"/>
        <v>0</v>
      </c>
      <c r="O33" s="991">
        <f t="shared" si="18"/>
        <v>0</v>
      </c>
      <c r="P33" s="991">
        <f t="shared" si="18"/>
        <v>0</v>
      </c>
      <c r="Q33" s="991">
        <f t="shared" ca="1" si="18"/>
        <v>26246.464219003348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1976.029759303075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17584.650000000001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20687.823529411766</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19560.679759303075</v>
      </c>
      <c r="C10" s="1072">
        <f>SUM(C4:C9)</f>
        <v>0</v>
      </c>
      <c r="D10" s="1072">
        <f t="shared" ref="D10:H10" si="0">SUM(D8:D9)</f>
        <v>0</v>
      </c>
      <c r="E10" s="1072">
        <f t="shared" si="0"/>
        <v>0</v>
      </c>
      <c r="F10" s="1072">
        <f t="shared" si="0"/>
        <v>0</v>
      </c>
      <c r="G10" s="1072">
        <f t="shared" si="0"/>
        <v>0</v>
      </c>
      <c r="H10" s="1072">
        <f t="shared" si="0"/>
        <v>0</v>
      </c>
      <c r="I10" s="1072">
        <f>SUM(I8:I9)</f>
        <v>0</v>
      </c>
      <c r="J10" s="1072">
        <f>SUM(J8:J9)</f>
        <v>20687.823529411766</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6.8282296084874142E-2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25120.928571428569</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29554.033613445372</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25120.928571428569</v>
      </c>
      <c r="C20" s="1072">
        <f>SUM(C17:C19)</f>
        <v>0</v>
      </c>
      <c r="D20" s="1072">
        <f t="shared" ref="D20:H20" si="2">SUM(D17:D19)</f>
        <v>0</v>
      </c>
      <c r="E20" s="1072">
        <f t="shared" si="2"/>
        <v>0</v>
      </c>
      <c r="F20" s="1072">
        <f t="shared" si="2"/>
        <v>0</v>
      </c>
      <c r="G20" s="1072">
        <f t="shared" si="2"/>
        <v>0</v>
      </c>
      <c r="H20" s="1072">
        <f t="shared" si="2"/>
        <v>0</v>
      </c>
      <c r="I20" s="1072">
        <f>SUM(I17:I19)</f>
        <v>0</v>
      </c>
      <c r="J20" s="1072">
        <f>SUM(J17:J19)</f>
        <v>29554.033613445372</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6.8282296084874142E-2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6.8282296084874142E-2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6.8282296084874142E-2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44080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3412</v>
      </c>
      <c r="C9" s="342">
        <v>3320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2793</v>
      </c>
    </row>
    <row r="15" spans="1:6">
      <c r="A15" s="348" t="s">
        <v>184</v>
      </c>
      <c r="B15" s="334">
        <v>57</v>
      </c>
    </row>
    <row r="16" spans="1:6">
      <c r="A16" s="348" t="s">
        <v>6</v>
      </c>
      <c r="B16" s="334">
        <v>2581</v>
      </c>
    </row>
    <row r="17" spans="1:6">
      <c r="A17" s="348" t="s">
        <v>7</v>
      </c>
      <c r="B17" s="334">
        <v>669</v>
      </c>
    </row>
    <row r="18" spans="1:6">
      <c r="A18" s="348" t="s">
        <v>8</v>
      </c>
      <c r="B18" s="334">
        <v>1901</v>
      </c>
    </row>
    <row r="19" spans="1:6">
      <c r="A19" s="348" t="s">
        <v>9</v>
      </c>
      <c r="B19" s="334">
        <v>1826</v>
      </c>
    </row>
    <row r="20" spans="1:6">
      <c r="A20" s="348" t="s">
        <v>10</v>
      </c>
      <c r="B20" s="334">
        <v>1201</v>
      </c>
    </row>
    <row r="21" spans="1:6">
      <c r="A21" s="348" t="s">
        <v>11</v>
      </c>
      <c r="B21" s="334">
        <v>3861</v>
      </c>
    </row>
    <row r="22" spans="1:6">
      <c r="A22" s="348" t="s">
        <v>12</v>
      </c>
      <c r="B22" s="334">
        <v>13845</v>
      </c>
    </row>
    <row r="23" spans="1:6">
      <c r="A23" s="348" t="s">
        <v>13</v>
      </c>
      <c r="B23" s="334">
        <v>135</v>
      </c>
    </row>
    <row r="24" spans="1:6">
      <c r="A24" s="348" t="s">
        <v>14</v>
      </c>
      <c r="B24" s="334">
        <v>12</v>
      </c>
    </row>
    <row r="25" spans="1:6">
      <c r="A25" s="348" t="s">
        <v>15</v>
      </c>
      <c r="B25" s="334">
        <v>939</v>
      </c>
    </row>
    <row r="26" spans="1:6">
      <c r="A26" s="348" t="s">
        <v>16</v>
      </c>
      <c r="B26" s="334">
        <v>74</v>
      </c>
    </row>
    <row r="27" spans="1:6">
      <c r="A27" s="348" t="s">
        <v>17</v>
      </c>
      <c r="B27" s="334">
        <v>2</v>
      </c>
    </row>
    <row r="28" spans="1:6" s="356" customFormat="1">
      <c r="A28" s="355" t="s">
        <v>18</v>
      </c>
      <c r="B28" s="355">
        <v>111189</v>
      </c>
    </row>
    <row r="29" spans="1:6">
      <c r="A29" s="355" t="s">
        <v>901</v>
      </c>
      <c r="B29" s="355">
        <v>60</v>
      </c>
      <c r="C29" s="356"/>
      <c r="D29" s="356"/>
      <c r="E29" s="356"/>
      <c r="F29" s="356"/>
    </row>
    <row r="30" spans="1:6">
      <c r="A30" s="341" t="s">
        <v>902</v>
      </c>
      <c r="B30" s="341">
        <v>12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102926.8</v>
      </c>
    </row>
    <row r="39" spans="1:6">
      <c r="A39" s="348" t="s">
        <v>30</v>
      </c>
      <c r="B39" s="348" t="s">
        <v>31</v>
      </c>
      <c r="C39" s="334">
        <v>1458</v>
      </c>
      <c r="D39" s="334">
        <v>21546899.450064</v>
      </c>
      <c r="E39" s="334">
        <v>3159</v>
      </c>
      <c r="F39" s="334">
        <v>15028872</v>
      </c>
    </row>
    <row r="40" spans="1:6">
      <c r="A40" s="348" t="s">
        <v>30</v>
      </c>
      <c r="B40" s="348" t="s">
        <v>29</v>
      </c>
      <c r="C40" s="334">
        <v>0</v>
      </c>
      <c r="D40" s="334">
        <v>0</v>
      </c>
      <c r="E40" s="334">
        <v>0</v>
      </c>
      <c r="F40" s="334">
        <v>0</v>
      </c>
    </row>
    <row r="41" spans="1:6">
      <c r="A41" s="348" t="s">
        <v>32</v>
      </c>
      <c r="B41" s="348" t="s">
        <v>33</v>
      </c>
      <c r="C41" s="334">
        <v>24</v>
      </c>
      <c r="D41" s="334">
        <v>461386.67079023202</v>
      </c>
      <c r="E41" s="334">
        <v>86</v>
      </c>
      <c r="F41" s="334">
        <v>741990.6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45043.06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660082.05350542197</v>
      </c>
      <c r="E48" s="334">
        <v>38</v>
      </c>
      <c r="F48" s="334">
        <v>518404.3</v>
      </c>
    </row>
    <row r="49" spans="1:6">
      <c r="A49" s="348" t="s">
        <v>32</v>
      </c>
      <c r="B49" s="348" t="s">
        <v>40</v>
      </c>
      <c r="C49" s="334">
        <v>0</v>
      </c>
      <c r="D49" s="334">
        <v>0</v>
      </c>
      <c r="E49" s="334">
        <v>0</v>
      </c>
      <c r="F49" s="334">
        <v>0</v>
      </c>
    </row>
    <row r="50" spans="1:6">
      <c r="A50" s="348" t="s">
        <v>32</v>
      </c>
      <c r="B50" s="348" t="s">
        <v>41</v>
      </c>
      <c r="C50" s="334">
        <v>0</v>
      </c>
      <c r="D50" s="334">
        <v>0</v>
      </c>
      <c r="E50" s="334">
        <v>3</v>
      </c>
      <c r="F50" s="334">
        <v>175780.2</v>
      </c>
    </row>
    <row r="51" spans="1:6">
      <c r="A51" s="348" t="s">
        <v>42</v>
      </c>
      <c r="B51" s="348" t="s">
        <v>43</v>
      </c>
      <c r="C51" s="334">
        <v>0</v>
      </c>
      <c r="D51" s="334">
        <v>0</v>
      </c>
      <c r="E51" s="334">
        <v>105</v>
      </c>
      <c r="F51" s="334">
        <v>1888603</v>
      </c>
    </row>
    <row r="52" spans="1:6">
      <c r="A52" s="348" t="s">
        <v>42</v>
      </c>
      <c r="B52" s="348" t="s">
        <v>29</v>
      </c>
      <c r="C52" s="334">
        <v>8</v>
      </c>
      <c r="D52" s="334">
        <v>164845.65530192401</v>
      </c>
      <c r="E52" s="334">
        <v>17</v>
      </c>
      <c r="F52" s="334">
        <v>304037.8</v>
      </c>
    </row>
    <row r="53" spans="1:6">
      <c r="A53" s="348" t="s">
        <v>44</v>
      </c>
      <c r="B53" s="348" t="s">
        <v>45</v>
      </c>
      <c r="C53" s="334">
        <v>40</v>
      </c>
      <c r="D53" s="334">
        <v>932478.67591743695</v>
      </c>
      <c r="E53" s="334">
        <v>126</v>
      </c>
      <c r="F53" s="334">
        <v>639856.1</v>
      </c>
    </row>
    <row r="54" spans="1:6">
      <c r="A54" s="348" t="s">
        <v>46</v>
      </c>
      <c r="B54" s="348" t="s">
        <v>47</v>
      </c>
      <c r="C54" s="334">
        <v>0</v>
      </c>
      <c r="D54" s="334">
        <v>0</v>
      </c>
      <c r="E54" s="334">
        <v>3</v>
      </c>
      <c r="F54" s="334">
        <v>677210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1710880.23748823</v>
      </c>
      <c r="E57" s="334">
        <v>27</v>
      </c>
      <c r="F57" s="334">
        <v>812750.3</v>
      </c>
    </row>
    <row r="58" spans="1:6">
      <c r="A58" s="348" t="s">
        <v>49</v>
      </c>
      <c r="B58" s="348" t="s">
        <v>51</v>
      </c>
      <c r="C58" s="334">
        <v>0</v>
      </c>
      <c r="D58" s="334">
        <v>0</v>
      </c>
      <c r="E58" s="334">
        <v>12</v>
      </c>
      <c r="F58" s="334">
        <v>95002.6</v>
      </c>
    </row>
    <row r="59" spans="1:6">
      <c r="A59" s="348" t="s">
        <v>49</v>
      </c>
      <c r="B59" s="348" t="s">
        <v>52</v>
      </c>
      <c r="C59" s="334">
        <v>20</v>
      </c>
      <c r="D59" s="334">
        <v>708171.67253278499</v>
      </c>
      <c r="E59" s="334">
        <v>62</v>
      </c>
      <c r="F59" s="334">
        <v>1744546</v>
      </c>
    </row>
    <row r="60" spans="1:6">
      <c r="A60" s="348" t="s">
        <v>49</v>
      </c>
      <c r="B60" s="348" t="s">
        <v>53</v>
      </c>
      <c r="C60" s="334">
        <v>10</v>
      </c>
      <c r="D60" s="334">
        <v>461650.712389683</v>
      </c>
      <c r="E60" s="334">
        <v>22</v>
      </c>
      <c r="F60" s="334">
        <v>500531.9</v>
      </c>
    </row>
    <row r="61" spans="1:6">
      <c r="A61" s="348" t="s">
        <v>49</v>
      </c>
      <c r="B61" s="348" t="s">
        <v>54</v>
      </c>
      <c r="C61" s="334">
        <v>54</v>
      </c>
      <c r="D61" s="334">
        <v>1485161.40088826</v>
      </c>
      <c r="E61" s="334">
        <v>136</v>
      </c>
      <c r="F61" s="334">
        <v>1302079</v>
      </c>
    </row>
    <row r="62" spans="1:6">
      <c r="A62" s="348" t="s">
        <v>49</v>
      </c>
      <c r="B62" s="348" t="s">
        <v>55</v>
      </c>
      <c r="C62" s="334">
        <v>0</v>
      </c>
      <c r="D62" s="334">
        <v>0</v>
      </c>
      <c r="E62" s="334">
        <v>3</v>
      </c>
      <c r="F62" s="334">
        <v>41447.629999999997</v>
      </c>
    </row>
    <row r="63" spans="1:6">
      <c r="A63" s="348" t="s">
        <v>49</v>
      </c>
      <c r="B63" s="348" t="s">
        <v>29</v>
      </c>
      <c r="C63" s="334">
        <v>75</v>
      </c>
      <c r="D63" s="334">
        <v>3473624.9087483301</v>
      </c>
      <c r="E63" s="334">
        <v>143</v>
      </c>
      <c r="F63" s="334">
        <v>2256978</v>
      </c>
    </row>
    <row r="64" spans="1:6">
      <c r="A64" s="348" t="s">
        <v>56</v>
      </c>
      <c r="B64" s="348" t="s">
        <v>57</v>
      </c>
      <c r="C64" s="334">
        <v>0</v>
      </c>
      <c r="D64" s="334">
        <v>0</v>
      </c>
      <c r="E64" s="334">
        <v>0</v>
      </c>
      <c r="F64" s="334">
        <v>0</v>
      </c>
    </row>
    <row r="65" spans="1:6">
      <c r="A65" s="348" t="s">
        <v>56</v>
      </c>
      <c r="B65" s="348" t="s">
        <v>29</v>
      </c>
      <c r="C65" s="334">
        <v>2</v>
      </c>
      <c r="D65" s="334">
        <v>67086.240195346807</v>
      </c>
      <c r="E65" s="334">
        <v>3</v>
      </c>
      <c r="F65" s="334">
        <v>132779.20000000001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31544.925518257402</v>
      </c>
      <c r="E68" s="334">
        <v>9</v>
      </c>
      <c r="F68" s="334">
        <v>46169.1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12271921</v>
      </c>
      <c r="E73" s="476">
        <v>13048210.962295987</v>
      </c>
    </row>
    <row r="74" spans="1:6">
      <c r="A74" s="348" t="s">
        <v>64</v>
      </c>
      <c r="B74" s="348" t="s">
        <v>714</v>
      </c>
      <c r="C74" s="1311" t="s">
        <v>716</v>
      </c>
      <c r="D74" s="476">
        <v>876608.74314973538</v>
      </c>
      <c r="E74" s="476">
        <v>920432.09836481698</v>
      </c>
    </row>
    <row r="75" spans="1:6">
      <c r="A75" s="348" t="s">
        <v>65</v>
      </c>
      <c r="B75" s="348" t="s">
        <v>713</v>
      </c>
      <c r="C75" s="1311" t="s">
        <v>717</v>
      </c>
      <c r="D75" s="476">
        <v>25344264</v>
      </c>
      <c r="E75" s="476">
        <v>27463800.887292933</v>
      </c>
    </row>
    <row r="76" spans="1:6">
      <c r="A76" s="348" t="s">
        <v>65</v>
      </c>
      <c r="B76" s="348" t="s">
        <v>714</v>
      </c>
      <c r="C76" s="1311" t="s">
        <v>718</v>
      </c>
      <c r="D76" s="476">
        <v>657924.74314973538</v>
      </c>
      <c r="E76" s="476">
        <v>733995.24718981539</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165446.51370052915</v>
      </c>
      <c r="C83" s="476">
        <v>167864.64160896273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1528.2549096130438</v>
      </c>
    </row>
    <row r="92" spans="1:6">
      <c r="A92" s="341" t="s">
        <v>69</v>
      </c>
      <c r="B92" s="342">
        <v>447.7748496900312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570</v>
      </c>
    </row>
    <row r="98" spans="1:6">
      <c r="A98" s="348" t="s">
        <v>72</v>
      </c>
      <c r="B98" s="334">
        <v>0</v>
      </c>
    </row>
    <row r="99" spans="1:6">
      <c r="A99" s="348" t="s">
        <v>73</v>
      </c>
      <c r="B99" s="334">
        <v>92</v>
      </c>
    </row>
    <row r="100" spans="1:6">
      <c r="A100" s="348" t="s">
        <v>74</v>
      </c>
      <c r="B100" s="334">
        <v>401</v>
      </c>
    </row>
    <row r="101" spans="1:6">
      <c r="A101" s="348" t="s">
        <v>75</v>
      </c>
      <c r="B101" s="334">
        <v>96</v>
      </c>
    </row>
    <row r="102" spans="1:6">
      <c r="A102" s="348" t="s">
        <v>76</v>
      </c>
      <c r="B102" s="334">
        <v>61</v>
      </c>
    </row>
    <row r="103" spans="1:6">
      <c r="A103" s="348" t="s">
        <v>77</v>
      </c>
      <c r="B103" s="334">
        <v>146</v>
      </c>
    </row>
    <row r="104" spans="1:6">
      <c r="A104" s="348" t="s">
        <v>78</v>
      </c>
      <c r="B104" s="334">
        <v>1746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3</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28306.542830217466</v>
      </c>
      <c r="C3" s="43" t="s">
        <v>170</v>
      </c>
      <c r="D3" s="43"/>
      <c r="E3" s="154"/>
      <c r="F3" s="43"/>
      <c r="G3" s="43"/>
      <c r="H3" s="43"/>
      <c r="I3" s="43"/>
      <c r="J3" s="43"/>
      <c r="K3" s="96"/>
    </row>
    <row r="4" spans="1:11">
      <c r="A4" s="384" t="s">
        <v>171</v>
      </c>
      <c r="B4" s="49">
        <f>IF(ISERROR('SEAP template'!B78+'SEAP template'!C78),0,'SEAP template'!B78+'SEAP template'!C78)</f>
        <v>19560.679759303075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6.8282296084874142E-2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25120.928571428569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677.21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677.21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6.8282296084874142E-2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46.24145373163762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15028.871999999999</v>
      </c>
      <c r="C5" s="17">
        <f>IF(ISERROR('Eigen informatie GS &amp; warmtenet'!B57),0,'Eigen informatie GS &amp; warmtenet'!B57)</f>
        <v>0</v>
      </c>
      <c r="D5" s="30">
        <f>(SUM(HH_hh_gas_kWh,HH_rest_gas_kWh)/1000)*0.902</f>
        <v>19435.303303957728</v>
      </c>
      <c r="E5" s="17">
        <f>B46*B57</f>
        <v>2160.4066801468598</v>
      </c>
      <c r="F5" s="17">
        <f>B51*B62</f>
        <v>23306.888897653123</v>
      </c>
      <c r="G5" s="18"/>
      <c r="H5" s="17"/>
      <c r="I5" s="17"/>
      <c r="J5" s="17">
        <f>B50*B61+C50*C61</f>
        <v>2011.9655986329308</v>
      </c>
      <c r="K5" s="17"/>
      <c r="L5" s="17"/>
      <c r="M5" s="17"/>
      <c r="N5" s="17">
        <f>B48*B59+C48*C59</f>
        <v>8549.035170279587</v>
      </c>
      <c r="O5" s="17">
        <f>B69*B70*B71</f>
        <v>176.65666666666667</v>
      </c>
      <c r="P5" s="17">
        <f>B77*B78*B79/1000-B77*B78*B79/1000/B80</f>
        <v>438.5333333333333</v>
      </c>
    </row>
    <row r="6" spans="1:16">
      <c r="A6" s="16" t="s">
        <v>631</v>
      </c>
      <c r="B6" s="789">
        <f>kWh_PV_kleiner_dan_10kW</f>
        <v>1528.2549096130438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16557.126909613042</v>
      </c>
      <c r="C8" s="21">
        <f>C5</f>
        <v>0</v>
      </c>
      <c r="D8" s="21">
        <f>D5</f>
        <v>19435.303303957728</v>
      </c>
      <c r="E8" s="21">
        <f>E5</f>
        <v>2160.4066801468598</v>
      </c>
      <c r="F8" s="21">
        <f>F5</f>
        <v>23306.888897653123</v>
      </c>
      <c r="G8" s="21"/>
      <c r="H8" s="21"/>
      <c r="I8" s="21"/>
      <c r="J8" s="21">
        <f>J5</f>
        <v>2011.9655986329308</v>
      </c>
      <c r="K8" s="21"/>
      <c r="L8" s="21">
        <f>L5</f>
        <v>0</v>
      </c>
      <c r="M8" s="21">
        <f>M5</f>
        <v>0</v>
      </c>
      <c r="N8" s="21">
        <f>N5</f>
        <v>8549.035170279587</v>
      </c>
      <c r="O8" s="21">
        <f>O5</f>
        <v>176.65666666666667</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6.8282296084874142E-2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1130.558641957035</v>
      </c>
      <c r="C12" s="23">
        <f ca="1">C10*C8</f>
        <v>0</v>
      </c>
      <c r="D12" s="23">
        <f>D8*D10</f>
        <v>3925.9312673994614</v>
      </c>
      <c r="E12" s="23">
        <f>E10*E8</f>
        <v>490.41231639333716</v>
      </c>
      <c r="F12" s="23">
        <f>F10*F8</f>
        <v>6222.9393356733844</v>
      </c>
      <c r="G12" s="23"/>
      <c r="H12" s="23"/>
      <c r="I12" s="23"/>
      <c r="J12" s="23">
        <f>J10*J8</f>
        <v>712.23582191605749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570</v>
      </c>
      <c r="C18" s="166" t="s">
        <v>111</v>
      </c>
      <c r="D18" s="228"/>
      <c r="E18" s="15"/>
    </row>
    <row r="19" spans="1:7">
      <c r="A19" s="171" t="s">
        <v>72</v>
      </c>
      <c r="B19" s="37">
        <f>aantalw2001_ander</f>
        <v>0</v>
      </c>
      <c r="C19" s="166" t="s">
        <v>111</v>
      </c>
      <c r="D19" s="229"/>
      <c r="E19" s="15"/>
    </row>
    <row r="20" spans="1:7">
      <c r="A20" s="171" t="s">
        <v>73</v>
      </c>
      <c r="B20" s="37">
        <f>aantalw2001_propaan</f>
        <v>92</v>
      </c>
      <c r="C20" s="167">
        <f>IF(ISERROR(B20/SUM($B$20,$B$21,$B$22)*100),0,B20/SUM($B$20,$B$21,$B$22)*100)</f>
        <v>15.619694397283531</v>
      </c>
      <c r="D20" s="229"/>
      <c r="E20" s="15"/>
    </row>
    <row r="21" spans="1:7">
      <c r="A21" s="171" t="s">
        <v>74</v>
      </c>
      <c r="B21" s="37">
        <f>aantalw2001_elektriciteit</f>
        <v>401</v>
      </c>
      <c r="C21" s="167">
        <f>IF(ISERROR(B21/SUM($B$20,$B$21,$B$22)*100),0,B21/SUM($B$20,$B$21,$B$22)*100)</f>
        <v>68.081494057724953</v>
      </c>
      <c r="D21" s="229"/>
      <c r="E21" s="15"/>
    </row>
    <row r="22" spans="1:7">
      <c r="A22" s="171" t="s">
        <v>75</v>
      </c>
      <c r="B22" s="37">
        <f>aantalw2001_hout</f>
        <v>96</v>
      </c>
      <c r="C22" s="167">
        <f>IF(ISERROR(B22/SUM($B$20,$B$21,$B$22)*100),0,B22/SUM($B$20,$B$21,$B$22)*100)</f>
        <v>16.298811544991512</v>
      </c>
      <c r="D22" s="229"/>
      <c r="E22" s="15"/>
    </row>
    <row r="23" spans="1:7">
      <c r="A23" s="171" t="s">
        <v>76</v>
      </c>
      <c r="B23" s="37">
        <f>aantalw2001_niet_gespec</f>
        <v>61</v>
      </c>
      <c r="C23" s="166" t="s">
        <v>111</v>
      </c>
      <c r="D23" s="228"/>
      <c r="E23" s="15"/>
    </row>
    <row r="24" spans="1:7">
      <c r="A24" s="171" t="s">
        <v>77</v>
      </c>
      <c r="B24" s="37">
        <f>aantalw2001_steenkool</f>
        <v>146</v>
      </c>
      <c r="C24" s="166" t="s">
        <v>111</v>
      </c>
      <c r="D24" s="229"/>
      <c r="E24" s="15"/>
    </row>
    <row r="25" spans="1:7">
      <c r="A25" s="171" t="s">
        <v>78</v>
      </c>
      <c r="B25" s="37">
        <f>aantalw2001_stookolie</f>
        <v>1746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3412</v>
      </c>
      <c r="C28" s="36"/>
      <c r="D28" s="228"/>
    </row>
    <row r="29" spans="1:7" s="15" customFormat="1">
      <c r="A29" s="230" t="s">
        <v>741</v>
      </c>
      <c r="B29" s="37">
        <f>SUM(HH_hh_gas_aantal,HH_rest_gas_aantal)</f>
        <v>1458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1458</v>
      </c>
      <c r="C32" s="167">
        <f>IF(ISERROR(B32/SUM($B$32,$B$34,$B$35,$B$36,$B$38,$B$39)*100),0,B32/SUM($B$32,$B$34,$B$35,$B$36,$B$38,$B$39)*100)</f>
        <v>43.021540277367954</v>
      </c>
      <c r="D32" s="233"/>
      <c r="G32" s="15"/>
    </row>
    <row r="33" spans="1:7">
      <c r="A33" s="171" t="s">
        <v>72</v>
      </c>
      <c r="B33" s="34" t="s">
        <v>111</v>
      </c>
      <c r="C33" s="167"/>
      <c r="D33" s="233"/>
      <c r="G33" s="15"/>
    </row>
    <row r="34" spans="1:7">
      <c r="A34" s="171" t="s">
        <v>73</v>
      </c>
      <c r="B34" s="33">
        <f>IF((($B$28-$B$32-$B$39-$B$77-$B$38)*C20/100)&lt;0,0,($B$28-$B$32-$B$39-$B$77-$B$38)*C20/100)</f>
        <v>144.79456706281834</v>
      </c>
      <c r="C34" s="167">
        <f>IF(ISERROR(B34/SUM($B$32,$B$34,$B$35,$B$36,$B$38,$B$39)*100),0,B34/SUM($B$32,$B$34,$B$35,$B$36,$B$38,$B$39)*100)</f>
        <v>4.2724864875425892</v>
      </c>
      <c r="D34" s="233"/>
      <c r="G34" s="15"/>
    </row>
    <row r="35" spans="1:7">
      <c r="A35" s="171" t="s">
        <v>74</v>
      </c>
      <c r="B35" s="33">
        <f>IF((($B$28-$B$32-$B$39-$B$77-$B$38)*C21/100)&lt;0,0,($B$28-$B$32-$B$39-$B$77-$B$38)*C21/100)</f>
        <v>631.11544991511028</v>
      </c>
      <c r="C35" s="167">
        <f>IF(ISERROR(B35/SUM($B$32,$B$34,$B$35,$B$36,$B$38,$B$39)*100),0,B35/SUM($B$32,$B$34,$B$35,$B$36,$B$38,$B$39)*100)</f>
        <v>18.622468277223671</v>
      </c>
      <c r="D35" s="233"/>
      <c r="G35" s="15"/>
    </row>
    <row r="36" spans="1:7">
      <c r="A36" s="171" t="s">
        <v>75</v>
      </c>
      <c r="B36" s="33">
        <f>IF((($B$28-$B$32-$B$39-$B$77-$B$38)*C22/100)&lt;0,0,($B$28-$B$32-$B$39-$B$77-$B$38)*C22/100)</f>
        <v>151.08998302207132</v>
      </c>
      <c r="C36" s="167">
        <f>IF(ISERROR(B36/SUM($B$32,$B$34,$B$35,$B$36,$B$38,$B$39)*100),0,B36/SUM($B$32,$B$34,$B$35,$B$36,$B$38,$B$39)*100)</f>
        <v>4.4582467696096586</v>
      </c>
      <c r="D36" s="233"/>
      <c r="G36" s="15"/>
    </row>
    <row r="37" spans="1:7">
      <c r="A37" s="171" t="s">
        <v>76</v>
      </c>
      <c r="B37" s="34" t="s">
        <v>111</v>
      </c>
      <c r="C37" s="167"/>
      <c r="D37" s="173"/>
      <c r="G37" s="15"/>
    </row>
    <row r="38" spans="1:7">
      <c r="A38" s="171" t="s">
        <v>77</v>
      </c>
      <c r="B38" s="33">
        <f>IF((B24-(B29-B18)*0.1)&lt;0,0,B24-(B29-B18)*0.1)</f>
        <v>57.199999999999989</v>
      </c>
      <c r="C38" s="167">
        <f>IF(ISERROR(B38/SUM($B$32,$B$34,$B$35,$B$36,$B$38,$B$39)*100),0,B38/SUM($B$32,$B$34,$B$35,$B$36,$B$38,$B$39)*100)</f>
        <v>1.6878135143110058</v>
      </c>
      <c r="D38" s="234"/>
      <c r="G38" s="15"/>
    </row>
    <row r="39" spans="1:7">
      <c r="A39" s="171" t="s">
        <v>78</v>
      </c>
      <c r="B39" s="33">
        <f>IF((B25-(B29-B18))&lt;0,0,B25-(B29-B18)*0.9)</f>
        <v>946.8</v>
      </c>
      <c r="C39" s="167">
        <f>IF(ISERROR(B39/SUM($B$32,$B$34,$B$35,$B$36,$B$38,$B$39)*100),0,B39/SUM($B$32,$B$34,$B$35,$B$36,$B$38,$B$39)*100)</f>
        <v>27.937444673945116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1458</v>
      </c>
      <c r="C44" s="34" t="s">
        <v>111</v>
      </c>
      <c r="D44" s="174"/>
    </row>
    <row r="45" spans="1:7">
      <c r="A45" s="171" t="s">
        <v>72</v>
      </c>
      <c r="B45" s="33" t="str">
        <f t="shared" si="0"/>
        <v>-</v>
      </c>
      <c r="C45" s="34" t="s">
        <v>111</v>
      </c>
      <c r="D45" s="174"/>
    </row>
    <row r="46" spans="1:7">
      <c r="A46" s="171" t="s">
        <v>73</v>
      </c>
      <c r="B46" s="33">
        <f t="shared" si="0"/>
        <v>144.79456706281834</v>
      </c>
      <c r="C46" s="34" t="s">
        <v>111</v>
      </c>
      <c r="D46" s="174"/>
    </row>
    <row r="47" spans="1:7">
      <c r="A47" s="171" t="s">
        <v>74</v>
      </c>
      <c r="B47" s="33">
        <f t="shared" si="0"/>
        <v>631.11544991511028</v>
      </c>
      <c r="C47" s="34" t="s">
        <v>111</v>
      </c>
      <c r="D47" s="174"/>
    </row>
    <row r="48" spans="1:7">
      <c r="A48" s="171" t="s">
        <v>75</v>
      </c>
      <c r="B48" s="33">
        <f t="shared" si="0"/>
        <v>151.08998302207132</v>
      </c>
      <c r="C48" s="33">
        <f>B48*10</f>
        <v>1510.8998302207133</v>
      </c>
      <c r="D48" s="234"/>
    </row>
    <row r="49" spans="1:6">
      <c r="A49" s="171" t="s">
        <v>76</v>
      </c>
      <c r="B49" s="33" t="str">
        <f t="shared" si="0"/>
        <v>-</v>
      </c>
      <c r="C49" s="34" t="s">
        <v>111</v>
      </c>
      <c r="D49" s="234"/>
    </row>
    <row r="50" spans="1:6">
      <c r="A50" s="171" t="s">
        <v>77</v>
      </c>
      <c r="B50" s="33">
        <f t="shared" si="0"/>
        <v>57.199999999999989</v>
      </c>
      <c r="C50" s="33">
        <f>B50*2</f>
        <v>114.39999999999998</v>
      </c>
      <c r="D50" s="234"/>
    </row>
    <row r="51" spans="1:6">
      <c r="A51" s="171" t="s">
        <v>78</v>
      </c>
      <c r="B51" s="33">
        <f t="shared" si="0"/>
        <v>946.8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6753.3354299999992</v>
      </c>
      <c r="C5" s="17">
        <f>IF(ISERROR('Eigen informatie GS &amp; warmtenet'!B58),0,'Eigen informatie GS &amp; warmtenet'!B58)</f>
        <v>0</v>
      </c>
      <c r="D5" s="30">
        <f>SUM(D6:D12)</f>
        <v>7071.2190167066547</v>
      </c>
      <c r="E5" s="17">
        <f>SUM(E6:E12)</f>
        <v>66.816415662532563</v>
      </c>
      <c r="F5" s="17">
        <f>SUM(F6:F12)</f>
        <v>1017.3929231881426</v>
      </c>
      <c r="G5" s="18"/>
      <c r="H5" s="17"/>
      <c r="I5" s="17"/>
      <c r="J5" s="17">
        <f>SUM(J6:J12)</f>
        <v>0</v>
      </c>
      <c r="K5" s="17"/>
      <c r="L5" s="17"/>
      <c r="M5" s="17"/>
      <c r="N5" s="17">
        <f>SUM(N6:N12)</f>
        <v>793.11813387627978</v>
      </c>
      <c r="O5" s="17">
        <f>B38*B39*B40</f>
        <v>4.6900000000000004</v>
      </c>
      <c r="P5" s="17">
        <f>B46*B47*B48/1000-B46*B47*B48/1000/B49</f>
        <v>19.066666666666666</v>
      </c>
      <c r="R5" s="32"/>
    </row>
    <row r="6" spans="1:18">
      <c r="A6" s="32" t="s">
        <v>54</v>
      </c>
      <c r="B6" s="37">
        <f>B26</f>
        <v>1302.079</v>
      </c>
      <c r="C6" s="33"/>
      <c r="D6" s="37">
        <f>IF(ISERROR(TER_kantoor_gas_kWh/1000),0,TER_kantoor_gas_kWh/1000)*0.902</f>
        <v>1339.6155836012106</v>
      </c>
      <c r="E6" s="33">
        <f>$C$26*'E Balans VL '!I12/100/3.6*1000000</f>
        <v>3.7723139050776529</v>
      </c>
      <c r="F6" s="33">
        <f>$C$26*('E Balans VL '!L12+'E Balans VL '!N12)/100/3.6*1000000</f>
        <v>147.36665577545773</v>
      </c>
      <c r="G6" s="34"/>
      <c r="H6" s="33"/>
      <c r="I6" s="33"/>
      <c r="J6" s="33">
        <f>$C$26*('E Balans VL '!D12+'E Balans VL '!E12)/100/3.6*1000000</f>
        <v>0</v>
      </c>
      <c r="K6" s="33"/>
      <c r="L6" s="33"/>
      <c r="M6" s="33"/>
      <c r="N6" s="33">
        <f>$C$26*'E Balans VL '!Y12/100/3.6*1000000</f>
        <v>13.03285137535612</v>
      </c>
      <c r="O6" s="33"/>
      <c r="P6" s="33"/>
      <c r="R6" s="32"/>
    </row>
    <row r="7" spans="1:18">
      <c r="A7" s="32" t="s">
        <v>53</v>
      </c>
      <c r="B7" s="37">
        <f t="shared" ref="B7:B12" si="0">B27</f>
        <v>500.53190000000001</v>
      </c>
      <c r="C7" s="33"/>
      <c r="D7" s="37">
        <f>IF(ISERROR(TER_horeca_gas_kWh/1000),0,TER_horeca_gas_kWh/1000)*0.902</f>
        <v>416.40894257549411</v>
      </c>
      <c r="E7" s="33">
        <f>$C$27*'E Balans VL '!I9/100/3.6*1000000</f>
        <v>21.010930703510301</v>
      </c>
      <c r="F7" s="33">
        <f>$C$27*('E Balans VL '!L9+'E Balans VL '!N9)/100/3.6*1000000</f>
        <v>107.54954308833842</v>
      </c>
      <c r="G7" s="34"/>
      <c r="H7" s="33"/>
      <c r="I7" s="33"/>
      <c r="J7" s="33">
        <f>$C$27*('E Balans VL '!D9+'E Balans VL '!E9)/100/3.6*1000000</f>
        <v>0</v>
      </c>
      <c r="K7" s="33"/>
      <c r="L7" s="33"/>
      <c r="M7" s="33"/>
      <c r="N7" s="33">
        <f>$C$27*'E Balans VL '!Y9/100/3.6*1000000</f>
        <v>0.12898269331973744</v>
      </c>
      <c r="O7" s="33"/>
      <c r="P7" s="33"/>
      <c r="R7" s="32"/>
    </row>
    <row r="8" spans="1:18">
      <c r="A8" s="6" t="s">
        <v>52</v>
      </c>
      <c r="B8" s="37">
        <f t="shared" si="0"/>
        <v>1744.546</v>
      </c>
      <c r="C8" s="33"/>
      <c r="D8" s="37">
        <f>IF(ISERROR(TER_handel_gas_kWh/1000),0,TER_handel_gas_kWh/1000)*0.902</f>
        <v>638.77084862457207</v>
      </c>
      <c r="E8" s="33">
        <f>$C$28*'E Balans VL '!I13/100/3.6*1000000</f>
        <v>18.737875984361974</v>
      </c>
      <c r="F8" s="33">
        <f>$C$28*('E Balans VL '!L13+'E Balans VL '!N13)/100/3.6*1000000</f>
        <v>225.8458858638879</v>
      </c>
      <c r="G8" s="34"/>
      <c r="H8" s="33"/>
      <c r="I8" s="33"/>
      <c r="J8" s="33">
        <f>$C$28*('E Balans VL '!D13+'E Balans VL '!E13)/100/3.6*1000000</f>
        <v>0</v>
      </c>
      <c r="K8" s="33"/>
      <c r="L8" s="33"/>
      <c r="M8" s="33"/>
      <c r="N8" s="33">
        <f>$C$28*'E Balans VL '!Y13/100/3.6*1000000</f>
        <v>14.151852408353301</v>
      </c>
      <c r="O8" s="33"/>
      <c r="P8" s="33"/>
      <c r="R8" s="32"/>
    </row>
    <row r="9" spans="1:18">
      <c r="A9" s="32" t="s">
        <v>51</v>
      </c>
      <c r="B9" s="37">
        <f t="shared" si="0"/>
        <v>95.002600000000001</v>
      </c>
      <c r="C9" s="33"/>
      <c r="D9" s="37">
        <f>IF(ISERROR(TER_gezond_gas_kWh/1000),0,TER_gezond_gas_kWh/1000)*0.902</f>
        <v>0</v>
      </c>
      <c r="E9" s="33">
        <f>$C$29*'E Balans VL '!I10/100/3.6*1000000</f>
        <v>7.5628214203549204E-2</v>
      </c>
      <c r="F9" s="33">
        <f>$C$29*('E Balans VL '!L10+'E Balans VL '!N10)/100/3.6*1000000</f>
        <v>11.54893894122867</v>
      </c>
      <c r="G9" s="34"/>
      <c r="H9" s="33"/>
      <c r="I9" s="33"/>
      <c r="J9" s="33">
        <f>$C$29*('E Balans VL '!D10+'E Balans VL '!E10)/100/3.6*1000000</f>
        <v>0</v>
      </c>
      <c r="K9" s="33"/>
      <c r="L9" s="33"/>
      <c r="M9" s="33"/>
      <c r="N9" s="33">
        <f>$C$29*'E Balans VL '!Y10/100/3.6*1000000</f>
        <v>0.76740583351484515</v>
      </c>
      <c r="O9" s="33"/>
      <c r="P9" s="33"/>
      <c r="R9" s="32"/>
    </row>
    <row r="10" spans="1:18">
      <c r="A10" s="32" t="s">
        <v>50</v>
      </c>
      <c r="B10" s="37">
        <f t="shared" si="0"/>
        <v>812.75030000000004</v>
      </c>
      <c r="C10" s="33"/>
      <c r="D10" s="37">
        <f>IF(ISERROR(TER_ander_gas_kWh/1000),0,TER_ander_gas_kWh/1000)*0.902</f>
        <v>1543.2139742143836</v>
      </c>
      <c r="E10" s="33">
        <f>$C$30*'E Balans VL '!I14/100/3.6*1000000</f>
        <v>2.7853379745276792</v>
      </c>
      <c r="F10" s="33">
        <f>$C$30*('E Balans VL '!L14+'E Balans VL '!N14)/100/3.6*1000000</f>
        <v>181.53539073818845</v>
      </c>
      <c r="G10" s="34"/>
      <c r="H10" s="33"/>
      <c r="I10" s="33"/>
      <c r="J10" s="33">
        <f>$C$30*('E Balans VL '!D14+'E Balans VL '!E14)/100/3.6*1000000</f>
        <v>0</v>
      </c>
      <c r="K10" s="33"/>
      <c r="L10" s="33"/>
      <c r="M10" s="33"/>
      <c r="N10" s="33">
        <f>$C$30*'E Balans VL '!Y14/100/3.6*1000000</f>
        <v>572.50575128809953</v>
      </c>
      <c r="O10" s="33"/>
      <c r="P10" s="33"/>
      <c r="R10" s="32"/>
    </row>
    <row r="11" spans="1:18">
      <c r="A11" s="32" t="s">
        <v>55</v>
      </c>
      <c r="B11" s="37">
        <f t="shared" si="0"/>
        <v>41.447629999999997</v>
      </c>
      <c r="C11" s="33"/>
      <c r="D11" s="37">
        <f>IF(ISERROR(TER_onderwijs_gas_kWh/1000),0,TER_onderwijs_gas_kWh/1000)*0.902</f>
        <v>0</v>
      </c>
      <c r="E11" s="33">
        <f>$C$31*'E Balans VL '!I11/100/3.6*1000000</f>
        <v>2.8651470132457078E-2</v>
      </c>
      <c r="F11" s="33">
        <f>$C$31*('E Balans VL '!L11+'E Balans VL '!N11)/100/3.6*1000000</f>
        <v>10.849785562039958</v>
      </c>
      <c r="G11" s="34"/>
      <c r="H11" s="33"/>
      <c r="I11" s="33"/>
      <c r="J11" s="33">
        <f>$C$31*('E Balans VL '!D11+'E Balans VL '!E11)/100/3.6*1000000</f>
        <v>0</v>
      </c>
      <c r="K11" s="33"/>
      <c r="L11" s="33"/>
      <c r="M11" s="33"/>
      <c r="N11" s="33">
        <f>$C$31*'E Balans VL '!Y11/100/3.6*1000000</f>
        <v>4.1257585431264003E-2</v>
      </c>
      <c r="O11" s="33"/>
      <c r="P11" s="33"/>
      <c r="R11" s="32"/>
    </row>
    <row r="12" spans="1:18">
      <c r="A12" s="32" t="s">
        <v>260</v>
      </c>
      <c r="B12" s="37">
        <f t="shared" si="0"/>
        <v>2256.9780000000001</v>
      </c>
      <c r="C12" s="33"/>
      <c r="D12" s="37">
        <f>IF(ISERROR(TER_rest_gas_kWh/1000),0,TER_rest_gas_kWh/1000)*0.902</f>
        <v>3133.2096676909941</v>
      </c>
      <c r="E12" s="33">
        <f>$C$32*'E Balans VL '!I8/100/3.6*1000000</f>
        <v>20.405677410718944</v>
      </c>
      <c r="F12" s="33">
        <f>$C$32*('E Balans VL '!L8+'E Balans VL '!N8)/100/3.6*1000000</f>
        <v>332.69672321900146</v>
      </c>
      <c r="G12" s="34"/>
      <c r="H12" s="33"/>
      <c r="I12" s="33"/>
      <c r="J12" s="33">
        <f>$C$32*('E Balans VL '!D8+'E Balans VL '!E8)/100/3.6*1000000</f>
        <v>0</v>
      </c>
      <c r="K12" s="33"/>
      <c r="L12" s="33"/>
      <c r="M12" s="33"/>
      <c r="N12" s="33">
        <f>$C$32*'E Balans VL '!Y8/100/3.6*1000000</f>
        <v>192.49003269220495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6753.3354299999992</v>
      </c>
      <c r="C16" s="21">
        <f t="shared" ca="1" si="1"/>
        <v>0</v>
      </c>
      <c r="D16" s="21">
        <f t="shared" ca="1" si="1"/>
        <v>7071.2190167066547</v>
      </c>
      <c r="E16" s="21">
        <f t="shared" si="1"/>
        <v>66.816415662532563</v>
      </c>
      <c r="F16" s="21">
        <f t="shared" ca="1" si="1"/>
        <v>1017.3929231881426</v>
      </c>
      <c r="G16" s="21">
        <f t="shared" si="1"/>
        <v>0</v>
      </c>
      <c r="H16" s="21">
        <f t="shared" si="1"/>
        <v>0</v>
      </c>
      <c r="I16" s="21">
        <f t="shared" si="1"/>
        <v>0</v>
      </c>
      <c r="J16" s="21">
        <f t="shared" si="1"/>
        <v>0</v>
      </c>
      <c r="K16" s="21">
        <f t="shared" si="1"/>
        <v>0</v>
      </c>
      <c r="L16" s="21">
        <f t="shared" ca="1" si="1"/>
        <v>0</v>
      </c>
      <c r="M16" s="21">
        <f t="shared" si="1"/>
        <v>0</v>
      </c>
      <c r="N16" s="21">
        <f t="shared" ca="1" si="1"/>
        <v>793.11813387627978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6.8282296084874142E-2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461.13324939173077</v>
      </c>
      <c r="C20" s="23">
        <f t="shared" ref="C20:P20" ca="1" si="2">C16*C18</f>
        <v>0</v>
      </c>
      <c r="D20" s="23">
        <f t="shared" ca="1" si="2"/>
        <v>1428.3862413747443</v>
      </c>
      <c r="E20" s="23">
        <f t="shared" si="2"/>
        <v>15.167326355394893</v>
      </c>
      <c r="F20" s="23">
        <f t="shared" ca="1" si="2"/>
        <v>271.64391049123407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1302.079</v>
      </c>
      <c r="C26" s="39">
        <f>IF(ISERROR(B26*3.6/1000000/'E Balans VL '!Z12*100),0,B26*3.6/1000000/'E Balans VL '!Z12*100)</f>
        <v>2.860167058906601E-2</v>
      </c>
      <c r="D26" s="237" t="s">
        <v>692</v>
      </c>
      <c r="F26" s="6"/>
    </row>
    <row r="27" spans="1:18">
      <c r="A27" s="231" t="s">
        <v>53</v>
      </c>
      <c r="B27" s="33">
        <f>IF(ISERROR(TER_horeca_ele_kWh/1000),0,TER_horeca_ele_kWh/1000)</f>
        <v>500.53190000000001</v>
      </c>
      <c r="C27" s="39">
        <f>IF(ISERROR(B27*3.6/1000000/'E Balans VL '!Z9*100),0,B27*3.6/1000000/'E Balans VL '!Z9*100)</f>
        <v>4.0222727525908941E-2</v>
      </c>
      <c r="D27" s="237" t="s">
        <v>692</v>
      </c>
      <c r="F27" s="6"/>
    </row>
    <row r="28" spans="1:18">
      <c r="A28" s="171" t="s">
        <v>52</v>
      </c>
      <c r="B28" s="33">
        <f>IF(ISERROR(TER_handel_ele_kWh/1000),0,TER_handel_ele_kWh/1000)</f>
        <v>1744.546</v>
      </c>
      <c r="C28" s="39">
        <f>IF(ISERROR(B28*3.6/1000000/'E Balans VL '!Z13*100),0,B28*3.6/1000000/'E Balans VL '!Z13*100)</f>
        <v>5.1585006454574506E-2</v>
      </c>
      <c r="D28" s="237" t="s">
        <v>692</v>
      </c>
      <c r="F28" s="6"/>
    </row>
    <row r="29" spans="1:18">
      <c r="A29" s="231" t="s">
        <v>51</v>
      </c>
      <c r="B29" s="33">
        <f>IF(ISERROR(TER_gezond_ele_kWh/1000),0,TER_gezond_ele_kWh/1000)</f>
        <v>95.002600000000001</v>
      </c>
      <c r="C29" s="39">
        <f>IF(ISERROR(B29*3.6/1000000/'E Balans VL '!Z10*100),0,B29*3.6/1000000/'E Balans VL '!Z10*100)</f>
        <v>1.070434026907854E-2</v>
      </c>
      <c r="D29" s="237" t="s">
        <v>692</v>
      </c>
      <c r="F29" s="6"/>
    </row>
    <row r="30" spans="1:18">
      <c r="A30" s="231" t="s">
        <v>50</v>
      </c>
      <c r="B30" s="33">
        <f>IF(ISERROR(TER_ander_ele_kWh/1000),0,TER_ander_ele_kWh/1000)</f>
        <v>812.75030000000004</v>
      </c>
      <c r="C30" s="39">
        <f>IF(ISERROR(B30*3.6/1000000/'E Balans VL '!Z14*100),0,B30*3.6/1000000/'E Balans VL '!Z14*100)</f>
        <v>6.1466915855118445E-2</v>
      </c>
      <c r="D30" s="237" t="s">
        <v>692</v>
      </c>
      <c r="F30" s="6"/>
    </row>
    <row r="31" spans="1:18">
      <c r="A31" s="231" t="s">
        <v>55</v>
      </c>
      <c r="B31" s="33">
        <f>IF(ISERROR(TER_onderwijs_ele_kWh/1000),0,TER_onderwijs_ele_kWh/1000)</f>
        <v>41.447629999999997</v>
      </c>
      <c r="C31" s="39">
        <f>IF(ISERROR(B31*3.6/1000000/'E Balans VL '!Z11*100),0,B31*3.6/1000000/'E Balans VL '!Z11*100)</f>
        <v>8.6035658225757199E-3</v>
      </c>
      <c r="D31" s="237" t="s">
        <v>692</v>
      </c>
    </row>
    <row r="32" spans="1:18">
      <c r="A32" s="231" t="s">
        <v>260</v>
      </c>
      <c r="B32" s="33">
        <f>IF(ISERROR(TER_rest_ele_kWh/1000),0,TER_rest_ele_kWh/1000)</f>
        <v>2256.9780000000001</v>
      </c>
      <c r="C32" s="39">
        <f>IF(ISERROR(B32*3.6/1000000/'E Balans VL '!Z8*100),0,B32*3.6/1000000/'E Balans VL '!Z8*100)</f>
        <v>1.9013711914805879E-2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1481.2181599999999</v>
      </c>
      <c r="C5" s="17">
        <f>IF(ISERROR('Eigen informatie GS &amp; warmtenet'!B59),0,'Eigen informatie GS &amp; warmtenet'!B59)</f>
        <v>0</v>
      </c>
      <c r="D5" s="30">
        <f>SUM(D6:D15)</f>
        <v>1011.56478931468</v>
      </c>
      <c r="E5" s="17">
        <f>SUM(E6:E15)</f>
        <v>233.30907381896873</v>
      </c>
      <c r="F5" s="17">
        <f>SUM(F6:F15)</f>
        <v>1049.1459704202007</v>
      </c>
      <c r="G5" s="18"/>
      <c r="H5" s="17"/>
      <c r="I5" s="17"/>
      <c r="J5" s="17">
        <f>SUM(J6:J15)</f>
        <v>6.3818726404084387</v>
      </c>
      <c r="K5" s="17"/>
      <c r="L5" s="17"/>
      <c r="M5" s="17"/>
      <c r="N5" s="17">
        <f>SUM(N6:N15)</f>
        <v>431.38976526921704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45.043059999999997</v>
      </c>
      <c r="C8" s="33"/>
      <c r="D8" s="37">
        <f>IF( ISERROR(IND_metaal_Gas_kWH/1000),0,IND_metaal_Gas_kWH/1000)*0.902</f>
        <v>0</v>
      </c>
      <c r="E8" s="33">
        <f>C30*'E Balans VL '!I18/100/3.6*1000000</f>
        <v>1.1272701444673738</v>
      </c>
      <c r="F8" s="33">
        <f>C30*'E Balans VL '!L18/100/3.6*1000000+C30*'E Balans VL '!N18/100/3.6*1000000</f>
        <v>14.116719059703168</v>
      </c>
      <c r="G8" s="34"/>
      <c r="H8" s="33"/>
      <c r="I8" s="33"/>
      <c r="J8" s="40">
        <f>C30*'E Balans VL '!D18/100/3.6*1000000+C30*'E Balans VL '!E18/100/3.6*1000000</f>
        <v>0</v>
      </c>
      <c r="K8" s="33"/>
      <c r="L8" s="33"/>
      <c r="M8" s="33"/>
      <c r="N8" s="33">
        <f>C30*'E Balans VL '!Y18/100/3.6*1000000</f>
        <v>1.1315985641341915</v>
      </c>
      <c r="O8" s="33"/>
      <c r="P8" s="33"/>
      <c r="R8" s="32"/>
    </row>
    <row r="9" spans="1:18">
      <c r="A9" s="6" t="s">
        <v>33</v>
      </c>
      <c r="B9" s="37">
        <f t="shared" si="0"/>
        <v>741.99059999999997</v>
      </c>
      <c r="C9" s="33"/>
      <c r="D9" s="37">
        <f>IF( ISERROR(IND_andere_gas_kWh/1000),0,IND_andere_gas_kWh/1000)*0.902</f>
        <v>416.17077705278928</v>
      </c>
      <c r="E9" s="33">
        <f>C31*'E Balans VL '!I19/100/3.6*1000000</f>
        <v>204.01698221429061</v>
      </c>
      <c r="F9" s="33">
        <f>C31*'E Balans VL '!L19/100/3.6*1000000+C31*'E Balans VL '!N19/100/3.6*1000000</f>
        <v>584.81770843463914</v>
      </c>
      <c r="G9" s="34"/>
      <c r="H9" s="33"/>
      <c r="I9" s="33"/>
      <c r="J9" s="40">
        <f>C31*'E Balans VL '!D19/100/3.6*1000000+C31*'E Balans VL '!E19/100/3.6*1000000</f>
        <v>0</v>
      </c>
      <c r="K9" s="33"/>
      <c r="L9" s="33"/>
      <c r="M9" s="33"/>
      <c r="N9" s="33">
        <f>C31*'E Balans VL '!Y19/100/3.6*1000000</f>
        <v>240.20194249445694</v>
      </c>
      <c r="O9" s="33"/>
      <c r="P9" s="33"/>
      <c r="R9" s="32"/>
    </row>
    <row r="10" spans="1:18">
      <c r="A10" s="6" t="s">
        <v>41</v>
      </c>
      <c r="B10" s="37">
        <f t="shared" si="0"/>
        <v>175.78020000000001</v>
      </c>
      <c r="C10" s="33"/>
      <c r="D10" s="37">
        <f>IF( ISERROR(IND_voed_gas_kWh/1000),0,IND_voed_gas_kWh/1000)*0.902</f>
        <v>0</v>
      </c>
      <c r="E10" s="33">
        <f>C32*'E Balans VL '!I20/100/3.6*1000000</f>
        <v>1.7919823011352605</v>
      </c>
      <c r="F10" s="33">
        <f>C32*'E Balans VL '!L20/100/3.6*1000000+C32*'E Balans VL '!N20/100/3.6*1000000</f>
        <v>332.04769840097504</v>
      </c>
      <c r="G10" s="34"/>
      <c r="H10" s="33"/>
      <c r="I10" s="33"/>
      <c r="J10" s="40">
        <f>C32*'E Balans VL '!D20/100/3.6*1000000+C32*'E Balans VL '!E20/100/3.6*1000000</f>
        <v>4.2069953414183567</v>
      </c>
      <c r="K10" s="33"/>
      <c r="L10" s="33"/>
      <c r="M10" s="33"/>
      <c r="N10" s="33">
        <f>C32*'E Balans VL '!Y20/100/3.6*1000000</f>
        <v>92.656412796232061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518.40430000000003</v>
      </c>
      <c r="C15" s="33"/>
      <c r="D15" s="37">
        <f>IF( ISERROR(IND_rest_gas_kWh/1000),0,IND_rest_gas_kWh/1000)*0.902</f>
        <v>595.39401226189068</v>
      </c>
      <c r="E15" s="33">
        <f>C37*'E Balans VL '!I15/100/3.6*1000000</f>
        <v>26.372839159075518</v>
      </c>
      <c r="F15" s="33">
        <f>C37*'E Balans VL '!L15/100/3.6*1000000+C37*'E Balans VL '!N15/100/3.6*1000000</f>
        <v>118.1638445248834</v>
      </c>
      <c r="G15" s="34"/>
      <c r="H15" s="33"/>
      <c r="I15" s="33"/>
      <c r="J15" s="40">
        <f>C37*'E Balans VL '!D15/100/3.6*1000000+C37*'E Balans VL '!E15/100/3.6*1000000</f>
        <v>2.1748772989900815</v>
      </c>
      <c r="K15" s="33"/>
      <c r="L15" s="33"/>
      <c r="M15" s="33"/>
      <c r="N15" s="33">
        <f>C37*'E Balans VL '!Y15/100/3.6*1000000</f>
        <v>97.399811414393852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1481.2181599999999</v>
      </c>
      <c r="C18" s="21">
        <f>C5+C16</f>
        <v>0</v>
      </c>
      <c r="D18" s="21">
        <f>MAX((D5+D16),0)</f>
        <v>1011.56478931468</v>
      </c>
      <c r="E18" s="21">
        <f>MAX((E5+E16),0)</f>
        <v>233.30907381896873</v>
      </c>
      <c r="F18" s="21">
        <f>MAX((F5+F16),0)</f>
        <v>1049.1459704202007</v>
      </c>
      <c r="G18" s="21"/>
      <c r="H18" s="21"/>
      <c r="I18" s="21"/>
      <c r="J18" s="21">
        <f>MAX((J5+J16),0)</f>
        <v>6.3818726404084387</v>
      </c>
      <c r="K18" s="21"/>
      <c r="L18" s="21">
        <f>MAX((L5+L16),0)</f>
        <v>0</v>
      </c>
      <c r="M18" s="21"/>
      <c r="N18" s="21">
        <f>MAX((N5+N16),0)</f>
        <v>431.38976526921704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6.8282296084874142E-2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101.14097696741247</v>
      </c>
      <c r="C22" s="23">
        <f ca="1">C18*C20</f>
        <v>0</v>
      </c>
      <c r="D22" s="23">
        <f>D18*D20</f>
        <v>204.33608744156535</v>
      </c>
      <c r="E22" s="23">
        <f>E18*E20</f>
        <v>52.9611597569059</v>
      </c>
      <c r="F22" s="23">
        <f>F18*F20</f>
        <v>280.12197410219358</v>
      </c>
      <c r="G22" s="23"/>
      <c r="H22" s="23"/>
      <c r="I22" s="23"/>
      <c r="J22" s="23">
        <f>J18*J20</f>
        <v>2.2591829147045872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45.043059999999997</v>
      </c>
      <c r="C30" s="39">
        <f>IF(ISERROR(B30*3.6/1000000/'E Balans VL '!Z18*100),0,B30*3.6/1000000/'E Balans VL '!Z18*100)</f>
        <v>6.3045273234426493E-3</v>
      </c>
      <c r="D30" s="237" t="s">
        <v>692</v>
      </c>
    </row>
    <row r="31" spans="1:18">
      <c r="A31" s="6" t="s">
        <v>33</v>
      </c>
      <c r="B31" s="37">
        <f>IF( ISERROR(IND_ander_ele_kWh/1000),0,IND_ander_ele_kWh/1000)</f>
        <v>741.99059999999997</v>
      </c>
      <c r="C31" s="39">
        <f>IF(ISERROR(B31*3.6/1000000/'E Balans VL '!Z19*100),0,B31*3.6/1000000/'E Balans VL '!Z19*100)</f>
        <v>3.2476808194023481E-2</v>
      </c>
      <c r="D31" s="237" t="s">
        <v>692</v>
      </c>
    </row>
    <row r="32" spans="1:18">
      <c r="A32" s="171" t="s">
        <v>41</v>
      </c>
      <c r="B32" s="37">
        <f>IF( ISERROR(IND_voed_ele_kWh/1000),0,IND_voed_ele_kWh/1000)</f>
        <v>175.78020000000001</v>
      </c>
      <c r="C32" s="39">
        <f>IF(ISERROR(B32*3.6/1000000/'E Balans VL '!Z20*100),0,B32*3.6/1000000/'E Balans VL '!Z20*100)</f>
        <v>4.3517340147489196E-2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518.40430000000003</v>
      </c>
      <c r="C37" s="39">
        <f>IF(ISERROR(B37*3.6/1000000/'E Balans VL '!Z15*100),0,B37*3.6/1000000/'E Balans VL '!Z15*100)</f>
        <v>3.8438791299280624E-3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2192.6407999999997</v>
      </c>
      <c r="C5" s="17">
        <f>'Eigen informatie GS &amp; warmtenet'!B60</f>
        <v>0</v>
      </c>
      <c r="D5" s="30">
        <f>IF(ISERROR(SUM(LB_lb_gas_kWh,LB_rest_gas_kWh)/1000),0,SUM(LB_lb_gas_kWh,LB_rest_gas_kWh)/1000)*0.902</f>
        <v>148.69078108233546</v>
      </c>
      <c r="E5" s="17">
        <f>B17*'E Balans VL '!I25/3.6*1000000/100</f>
        <v>20.309157451984671</v>
      </c>
      <c r="F5" s="17">
        <f>B17*('E Balans VL '!L25/3.6*1000000+'E Balans VL '!N25/3.6*1000000)/100</f>
        <v>5563.1474072437504</v>
      </c>
      <c r="G5" s="18"/>
      <c r="H5" s="17"/>
      <c r="I5" s="17"/>
      <c r="J5" s="17">
        <f>('E Balans VL '!D25+'E Balans VL '!E25)/3.6*1000000*landbouw!B17/100</f>
        <v>336.1563045827458</v>
      </c>
      <c r="K5" s="17"/>
      <c r="L5" s="17">
        <f>L6*(-1)</f>
        <v>0</v>
      </c>
      <c r="M5" s="17"/>
      <c r="N5" s="17">
        <f>N6*(-1)</f>
        <v>50241.857142857138</v>
      </c>
      <c r="O5" s="17"/>
      <c r="P5" s="17"/>
      <c r="R5" s="32"/>
    </row>
    <row r="6" spans="1:18">
      <c r="A6" s="16" t="s">
        <v>494</v>
      </c>
      <c r="B6" s="17" t="s">
        <v>211</v>
      </c>
      <c r="C6" s="17">
        <f>'lokale energieproductie'!O92+'lokale energieproductie'!O61</f>
        <v>25120.928571428569</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-50241.857142857138</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2192.6407999999997</v>
      </c>
      <c r="C8" s="21">
        <f>C5+C6</f>
        <v>25120.928571428569</v>
      </c>
      <c r="D8" s="21">
        <f>MAX((D5+D6),0)</f>
        <v>148.69078108233546</v>
      </c>
      <c r="E8" s="21">
        <f>MAX((E5+E6),0)</f>
        <v>20.309157451984671</v>
      </c>
      <c r="F8" s="21">
        <f>MAX((F5+F6),0)</f>
        <v>5563.1474072437504</v>
      </c>
      <c r="G8" s="21"/>
      <c r="H8" s="21"/>
      <c r="I8" s="21"/>
      <c r="J8" s="21">
        <f>MAX((J5+J6),0)</f>
        <v>336.1563045827458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6.8282296084874142E-2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149.71854831337529</v>
      </c>
      <c r="C12" s="23">
        <f ca="1">C8*C10</f>
        <v>0</v>
      </c>
      <c r="D12" s="23">
        <f>D8*D10</f>
        <v>30.035537778631767</v>
      </c>
      <c r="E12" s="23">
        <f>E8*E10</f>
        <v>4.6101787416005209</v>
      </c>
      <c r="F12" s="23">
        <f>F8*F10</f>
        <v>1485.3603577340814</v>
      </c>
      <c r="G12" s="23"/>
      <c r="H12" s="23"/>
      <c r="I12" s="23"/>
      <c r="J12" s="23">
        <f>J8*J10</f>
        <v>118.99933182229201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0.31174702973893736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668.66927582312542</v>
      </c>
      <c r="C26" s="247">
        <f>B26*'GWP N2O_CH4'!B5</f>
        <v>14042.054792285633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209.04920180608025</v>
      </c>
      <c r="C27" s="247">
        <f>B27*'GWP N2O_CH4'!B5</f>
        <v>4390.0332379276851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8.1925104655811918</v>
      </c>
      <c r="C28" s="247">
        <f>B28*'GWP N2O_CH4'!B4</f>
        <v>2539.6782443301695</v>
      </c>
      <c r="D28" s="50"/>
    </row>
    <row r="29" spans="1:4">
      <c r="A29" s="41" t="s">
        <v>277</v>
      </c>
      <c r="B29" s="247">
        <f>B34*'ha_N2O bodem landbouw'!B4</f>
        <v>18.489065503217134</v>
      </c>
      <c r="C29" s="247">
        <f>B29*'GWP N2O_CH4'!B4</f>
        <v>5731.6103059973111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4.1467716647662486E-3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1.8559550175933189E-5</v>
      </c>
      <c r="C5" s="464" t="s">
        <v>211</v>
      </c>
      <c r="D5" s="449">
        <f>SUM(D6:D11)</f>
        <v>6.5164915049283349E-5</v>
      </c>
      <c r="E5" s="449">
        <f>SUM(E6:E11)</f>
        <v>3.9862978563219223E-4</v>
      </c>
      <c r="F5" s="462" t="s">
        <v>211</v>
      </c>
      <c r="G5" s="449">
        <f>SUM(G6:G11)</f>
        <v>9.4656293218340029E-2</v>
      </c>
      <c r="H5" s="449">
        <f>SUM(H6:H11)</f>
        <v>2.4207386631396471E-2</v>
      </c>
      <c r="I5" s="464" t="s">
        <v>211</v>
      </c>
      <c r="J5" s="464" t="s">
        <v>211</v>
      </c>
      <c r="K5" s="464" t="s">
        <v>211</v>
      </c>
      <c r="L5" s="464" t="s">
        <v>211</v>
      </c>
      <c r="M5" s="449">
        <f>SUM(M6:M11)</f>
        <v>6.2206392602330877E-3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6.054875941156398E-6</v>
      </c>
      <c r="C6" s="450"/>
      <c r="D6" s="893">
        <f>vkm_2011_GW_PW*SUMIFS(TableVerdeelsleutelVkm[CNG],TableVerdeelsleutelVkm[Voertuigtype],"Lichte voertuigen")*SUMIFS(TableECFTransport[EnergieConsumptieFactor (PJ per km)],TableECFTransport[Index],CONCATENATE($A6,"_CNG_CNG"))</f>
        <v>1.4005594666121582E-5</v>
      </c>
      <c r="E6" s="893">
        <f>vkm_2011_GW_PW*SUMIFS(TableVerdeelsleutelVkm[LPG],TableVerdeelsleutelVkm[Voertuigtype],"Lichte voertuigen")*SUMIFS(TableECFTransport[EnergieConsumptieFactor (PJ per km)],TableECFTransport[Index],CONCATENATE($A6,"_LPG_LPG"))</f>
        <v>9.1195974724072042E-5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1.8945289056490098E-2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5.3402854689287597E-3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1.260295423107093E-3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8.1777466256935192E-3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2.7966408311903021E-6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4.7312899586783168E-4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1.250467423477679E-5</v>
      </c>
      <c r="C8" s="450"/>
      <c r="D8" s="452">
        <f>vkm_2011_NGW_PW*SUMIFS(TableVerdeelsleutelVkm[CNG],TableVerdeelsleutelVkm[Voertuigtype],"Lichte voertuigen")*SUMIFS(TableECFTransport[EnergieConsumptieFactor (PJ per km)],TableECFTransport[Index],CONCATENATE($A8,"_CNG_CNG"))</f>
        <v>5.1159320383161769E-5</v>
      </c>
      <c r="E8" s="452">
        <f>vkm_2011_NGW_PW*SUMIFS(TableVerdeelsleutelVkm[LPG],TableVerdeelsleutelVkm[Voertuigtype],"Lichte voertuigen")*SUMIFS(TableECFTransport[EnergieConsumptieFactor (PJ per km)],TableECFTransport[Index],CONCATENATE($A8,"_LPG_LPG"))</f>
        <v>3.0743381090812019E-4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5.9703194438251853E-2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1.8861770804427976E-2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4.0342057420045376E-3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7.8300630979045525E-3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2.5337172085455118E-6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4.5300909925362522E-4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5.1554306044258862</v>
      </c>
      <c r="C14" s="21"/>
      <c r="D14" s="21">
        <f t="shared" ref="D14:M14" si="0">((D5)*10^9/3600)+D12</f>
        <v>18.101365291467598</v>
      </c>
      <c r="E14" s="21">
        <f t="shared" si="0"/>
        <v>110.73049600894228</v>
      </c>
      <c r="F14" s="21"/>
      <c r="G14" s="21">
        <f t="shared" si="0"/>
        <v>26293.414782872231</v>
      </c>
      <c r="H14" s="21">
        <f t="shared" si="0"/>
        <v>6724.2740642767976</v>
      </c>
      <c r="I14" s="21"/>
      <c r="J14" s="21"/>
      <c r="K14" s="21"/>
      <c r="L14" s="21"/>
      <c r="M14" s="21">
        <f t="shared" si="0"/>
        <v>1727.9553500647464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6.8282296084874142E-2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0.35202463897642999</v>
      </c>
      <c r="C18" s="23"/>
      <c r="D18" s="23">
        <f t="shared" ref="D18:M18" si="1">D14*D16</f>
        <v>3.6564757888764552</v>
      </c>
      <c r="E18" s="23">
        <f t="shared" si="1"/>
        <v>25.1358225940299</v>
      </c>
      <c r="F18" s="23"/>
      <c r="G18" s="23">
        <f t="shared" si="1"/>
        <v>7020.341747026886</v>
      </c>
      <c r="H18" s="23">
        <f t="shared" si="1"/>
        <v>1674.3442420049225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2.1086220739637068E-3</v>
      </c>
      <c r="H50" s="321">
        <f t="shared" si="2"/>
        <v>0</v>
      </c>
      <c r="I50" s="321">
        <f t="shared" si="2"/>
        <v>0</v>
      </c>
      <c r="J50" s="321">
        <f t="shared" si="2"/>
        <v>0</v>
      </c>
      <c r="K50" s="321">
        <f t="shared" si="2"/>
        <v>0</v>
      </c>
      <c r="L50" s="321">
        <f t="shared" si="2"/>
        <v>0</v>
      </c>
      <c r="M50" s="321">
        <f t="shared" si="2"/>
        <v>1.202485699127471E-4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2.1086220739637068E-3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1.202485699127471E-4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585.72835387880741</v>
      </c>
      <c r="H54" s="21">
        <f t="shared" si="3"/>
        <v>0</v>
      </c>
      <c r="I54" s="21">
        <f t="shared" si="3"/>
        <v>0</v>
      </c>
      <c r="J54" s="21">
        <f t="shared" si="3"/>
        <v>0</v>
      </c>
      <c r="K54" s="21">
        <f t="shared" si="3"/>
        <v>0</v>
      </c>
      <c r="L54" s="21">
        <f t="shared" si="3"/>
        <v>0</v>
      </c>
      <c r="M54" s="21">
        <f t="shared" si="3"/>
        <v>33.402380531318641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6.8282296084874142E-2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156.3894704856416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1976.029759303075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17584.650000000001</v>
      </c>
      <c r="C8" s="571">
        <f>B101</f>
        <v>0</v>
      </c>
      <c r="D8" s="1056"/>
      <c r="E8" s="1056">
        <f>E101</f>
        <v>0</v>
      </c>
      <c r="F8" s="1057"/>
      <c r="G8" s="572"/>
      <c r="H8" s="1056">
        <f>I101</f>
        <v>0</v>
      </c>
      <c r="I8" s="1056">
        <f>G101+F101</f>
        <v>0</v>
      </c>
      <c r="J8" s="1056">
        <f>H101+D101+C101</f>
        <v>20687.823529411766</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19560.679759303075</v>
      </c>
      <c r="C10" s="584">
        <f t="shared" ref="C10:L10" si="0">SUM(C8:C9)</f>
        <v>0</v>
      </c>
      <c r="D10" s="584">
        <f t="shared" si="0"/>
        <v>0</v>
      </c>
      <c r="E10" s="584">
        <f t="shared" si="0"/>
        <v>0</v>
      </c>
      <c r="F10" s="584">
        <f t="shared" si="0"/>
        <v>0</v>
      </c>
      <c r="G10" s="584">
        <f t="shared" si="0"/>
        <v>0</v>
      </c>
      <c r="H10" s="584">
        <f t="shared" si="0"/>
        <v>0</v>
      </c>
      <c r="I10" s="584">
        <f t="shared" si="0"/>
        <v>0</v>
      </c>
      <c r="J10" s="584">
        <f t="shared" si="0"/>
        <v>20687.823529411766</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25120.928571428569</v>
      </c>
      <c r="C17" s="596">
        <f>B102</f>
        <v>0</v>
      </c>
      <c r="D17" s="597"/>
      <c r="E17" s="597">
        <f>E102</f>
        <v>0</v>
      </c>
      <c r="F17" s="1062"/>
      <c r="G17" s="598"/>
      <c r="H17" s="596">
        <f>I102</f>
        <v>0</v>
      </c>
      <c r="I17" s="597">
        <f>G102+F102</f>
        <v>0</v>
      </c>
      <c r="J17" s="597">
        <f>H102+D102+C102</f>
        <v>29554.033613445372</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25120.928571428569</v>
      </c>
      <c r="C20" s="583">
        <f>SUM(C17:C19)</f>
        <v>0</v>
      </c>
      <c r="D20" s="583">
        <f t="shared" ref="D20:L20" si="1">SUM(D17:D19)</f>
        <v>0</v>
      </c>
      <c r="E20" s="583">
        <f t="shared" si="1"/>
        <v>0</v>
      </c>
      <c r="F20" s="583">
        <f t="shared" si="1"/>
        <v>0</v>
      </c>
      <c r="G20" s="583">
        <f t="shared" si="1"/>
        <v>0</v>
      </c>
      <c r="H20" s="583">
        <f t="shared" si="1"/>
        <v>0</v>
      </c>
      <c r="I20" s="583">
        <f t="shared" si="1"/>
        <v>0</v>
      </c>
      <c r="J20" s="583">
        <f t="shared" si="1"/>
        <v>29554.033613445372</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44080</v>
      </c>
      <c r="C28" s="797">
        <v>9930</v>
      </c>
      <c r="D28" s="654" t="s">
        <v>907</v>
      </c>
      <c r="E28" s="653" t="s">
        <v>908</v>
      </c>
      <c r="F28" s="653" t="s">
        <v>909</v>
      </c>
      <c r="G28" s="653" t="s">
        <v>910</v>
      </c>
      <c r="H28" s="653" t="s">
        <v>911</v>
      </c>
      <c r="I28" s="653" t="s">
        <v>908</v>
      </c>
      <c r="J28" s="796">
        <v>39702</v>
      </c>
      <c r="K28" s="796">
        <v>39373</v>
      </c>
      <c r="L28" s="653" t="s">
        <v>912</v>
      </c>
      <c r="M28" s="653">
        <v>1038</v>
      </c>
      <c r="N28" s="653">
        <v>4671</v>
      </c>
      <c r="O28" s="653">
        <v>6672.8571428571431</v>
      </c>
      <c r="P28" s="653">
        <v>0</v>
      </c>
      <c r="Q28" s="653">
        <v>13345.714285714286</v>
      </c>
      <c r="R28" s="653">
        <v>0</v>
      </c>
      <c r="S28" s="653">
        <v>0</v>
      </c>
      <c r="T28" s="653">
        <v>0</v>
      </c>
      <c r="U28" s="653">
        <v>0</v>
      </c>
      <c r="V28" s="653">
        <v>0</v>
      </c>
      <c r="W28" s="653">
        <v>0</v>
      </c>
      <c r="X28" s="653">
        <v>10</v>
      </c>
      <c r="Y28" s="653" t="s">
        <v>112</v>
      </c>
      <c r="Z28" s="655" t="s">
        <v>112</v>
      </c>
    </row>
    <row r="29" spans="1:26" s="607" customFormat="1" ht="25.5">
      <c r="A29" s="606"/>
      <c r="B29" s="797">
        <v>44080</v>
      </c>
      <c r="C29" s="797">
        <v>9930</v>
      </c>
      <c r="D29" s="654" t="s">
        <v>913</v>
      </c>
      <c r="E29" s="653" t="s">
        <v>914</v>
      </c>
      <c r="F29" s="653" t="s">
        <v>915</v>
      </c>
      <c r="G29" s="653" t="s">
        <v>910</v>
      </c>
      <c r="H29" s="653" t="s">
        <v>911</v>
      </c>
      <c r="I29" s="653" t="s">
        <v>914</v>
      </c>
      <c r="J29" s="796">
        <v>40744</v>
      </c>
      <c r="K29" s="796">
        <v>40192</v>
      </c>
      <c r="L29" s="653" t="s">
        <v>912</v>
      </c>
      <c r="M29" s="653">
        <v>2860</v>
      </c>
      <c r="N29" s="653">
        <v>12870</v>
      </c>
      <c r="O29" s="653">
        <v>18385.714285714286</v>
      </c>
      <c r="P29" s="653">
        <v>0</v>
      </c>
      <c r="Q29" s="653">
        <v>36771.428571428572</v>
      </c>
      <c r="R29" s="653">
        <v>0</v>
      </c>
      <c r="S29" s="653">
        <v>0</v>
      </c>
      <c r="T29" s="653">
        <v>0</v>
      </c>
      <c r="U29" s="653">
        <v>0</v>
      </c>
      <c r="V29" s="653">
        <v>0</v>
      </c>
      <c r="W29" s="653">
        <v>0</v>
      </c>
      <c r="X29" s="653">
        <v>10</v>
      </c>
      <c r="Y29" s="653" t="s">
        <v>112</v>
      </c>
      <c r="Z29" s="655" t="s">
        <v>112</v>
      </c>
    </row>
    <row r="30" spans="1:26" s="607" customFormat="1" ht="25.5">
      <c r="A30" s="606"/>
      <c r="B30" s="797">
        <v>44080</v>
      </c>
      <c r="C30" s="797">
        <v>9931</v>
      </c>
      <c r="D30" s="654" t="s">
        <v>916</v>
      </c>
      <c r="E30" s="653" t="s">
        <v>917</v>
      </c>
      <c r="F30" s="653" t="s">
        <v>918</v>
      </c>
      <c r="G30" s="653" t="s">
        <v>910</v>
      </c>
      <c r="H30" s="653" t="s">
        <v>911</v>
      </c>
      <c r="I30" s="653" t="s">
        <v>917</v>
      </c>
      <c r="J30" s="796">
        <v>41124</v>
      </c>
      <c r="K30" s="796">
        <v>41244</v>
      </c>
      <c r="L30" s="653" t="s">
        <v>912</v>
      </c>
      <c r="M30" s="653">
        <v>9.6999999999999993</v>
      </c>
      <c r="N30" s="653">
        <v>43.649999999999991</v>
      </c>
      <c r="O30" s="653">
        <v>62.357142857142847</v>
      </c>
      <c r="P30" s="653">
        <v>0</v>
      </c>
      <c r="Q30" s="653">
        <v>124.71428571428569</v>
      </c>
      <c r="R30" s="653">
        <v>0</v>
      </c>
      <c r="S30" s="653">
        <v>0</v>
      </c>
      <c r="T30" s="653">
        <v>0</v>
      </c>
      <c r="U30" s="653">
        <v>0</v>
      </c>
      <c r="V30" s="653">
        <v>0</v>
      </c>
      <c r="W30" s="653">
        <v>0</v>
      </c>
      <c r="X30" s="653">
        <v>10</v>
      </c>
      <c r="Y30" s="653" t="s">
        <v>112</v>
      </c>
      <c r="Z30" s="655" t="s">
        <v>112</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3907.7</v>
      </c>
      <c r="N58" s="611">
        <f>SUM(N28:N57)</f>
        <v>17584.650000000001</v>
      </c>
      <c r="O58" s="611">
        <f t="shared" ref="O58:W58" si="2">SUM(O28:O57)</f>
        <v>25120.928571428569</v>
      </c>
      <c r="P58" s="611">
        <f t="shared" si="2"/>
        <v>0</v>
      </c>
      <c r="Q58" s="611">
        <f t="shared" si="2"/>
        <v>50241.857142857138</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3907.7</v>
      </c>
      <c r="N61" s="616">
        <f t="shared" si="4"/>
        <v>17584.650000000001</v>
      </c>
      <c r="O61" s="616">
        <f t="shared" si="4"/>
        <v>25120.928571428569</v>
      </c>
      <c r="P61" s="616">
        <f t="shared" si="4"/>
        <v>0</v>
      </c>
      <c r="Q61" s="616">
        <f t="shared" si="4"/>
        <v>50241.857142857138</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0.58823529411764697</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20687.823529411766</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29554.033613445372</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2019-08-12T08:09:53Z</dcterms:modified>
</cp:coreProperties>
</file>