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P26"/>
  <c r="J26"/>
  <c r="I26"/>
  <c r="H26"/>
  <c r="O22"/>
  <c r="L90" l="1"/>
  <c r="L18" i="59"/>
  <c r="E88" i="14"/>
  <c r="E18" i="59" s="1"/>
  <c r="D20" i="18"/>
  <c r="P32" i="48"/>
  <c r="P29"/>
  <c r="P28"/>
  <c r="N78" i="14"/>
  <c r="N9" i="59"/>
  <c r="N10" s="1"/>
  <c r="P27" i="48"/>
  <c r="D22" i="14"/>
  <c r="L20" i="59"/>
  <c r="P25" i="48"/>
  <c r="N6" i="17"/>
  <c r="H90" i="14"/>
  <c r="H18" i="59"/>
  <c r="G77" i="14"/>
  <c r="G9" i="59" s="1"/>
  <c r="G10" s="1"/>
  <c r="O10"/>
  <c r="H20"/>
  <c r="M22" i="14"/>
  <c r="K20" i="59"/>
  <c r="C98" i="18"/>
  <c r="I101" s="1"/>
  <c r="H8" s="1"/>
  <c r="D13" i="15"/>
  <c r="C16" i="16"/>
  <c r="P22" i="14"/>
  <c r="E20" i="59"/>
  <c r="L10" i="18"/>
  <c r="C13" i="15"/>
  <c r="B16" i="16"/>
  <c r="L78" i="14"/>
  <c r="K10" i="59"/>
  <c r="D14" i="48"/>
  <c r="K10" i="18"/>
  <c r="I9"/>
  <c r="I77" i="14" s="1"/>
  <c r="I9" i="59" s="1"/>
  <c r="F20" i="18"/>
  <c r="K78" i="14"/>
  <c r="B17" i="18"/>
  <c r="B20" s="1"/>
  <c r="M77" i="14"/>
  <c r="M9" i="59" s="1"/>
  <c r="H9" i="18"/>
  <c r="O9" s="1"/>
  <c r="B13" i="15"/>
  <c r="B10" i="18"/>
  <c r="N13" i="15"/>
  <c r="L13"/>
  <c r="F77" i="14"/>
  <c r="F9" i="59" s="1"/>
  <c r="E101" i="18"/>
  <c r="E8" s="1"/>
  <c r="F101"/>
  <c r="H101"/>
  <c r="D101"/>
  <c r="G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O90" l="1"/>
  <c r="O18" i="59"/>
  <c r="O20" s="1"/>
  <c r="N90" i="14"/>
  <c r="N18" i="59"/>
  <c r="N20" s="1"/>
  <c r="H78" i="14"/>
  <c r="H9" i="59"/>
  <c r="H10" s="1"/>
  <c r="Q14" i="48"/>
  <c r="Q77" i="14"/>
  <c r="P9" i="59" s="1"/>
  <c r="B89" i="14"/>
  <c r="B19" i="59" s="1"/>
  <c r="J17" i="18"/>
  <c r="J20" s="1"/>
  <c r="I8"/>
  <c r="I76" i="14" s="1"/>
  <c r="I8" i="59" s="1"/>
  <c r="I10" s="1"/>
  <c r="C101" i="18"/>
  <c r="G78" i="14"/>
  <c r="D10" i="59"/>
  <c r="B101" i="18"/>
  <c r="C8" s="1"/>
  <c r="C10" s="1"/>
  <c r="Q89" i="14"/>
  <c r="P19" i="59" s="1"/>
  <c r="C77" i="14"/>
  <c r="C9" i="59" s="1"/>
  <c r="J87" i="14"/>
  <c r="H20" i="18"/>
  <c r="M87" i="14"/>
  <c r="F76"/>
  <c r="E10" i="18"/>
  <c r="C20"/>
  <c r="D87" i="14"/>
  <c r="D17" i="59" s="1"/>
  <c r="D20" s="1"/>
  <c r="H10" i="18"/>
  <c r="M76" i="14"/>
  <c r="B88"/>
  <c r="B18" i="59" s="1"/>
  <c r="I17" i="18"/>
  <c r="O17" s="1"/>
  <c r="O20" s="1"/>
  <c r="D76" i="14"/>
  <c r="D8" i="59" s="1"/>
  <c r="J8" i="18"/>
  <c r="C88" i="14"/>
  <c r="C18" i="59" s="1"/>
  <c r="I10" i="18"/>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O8" i="18"/>
  <c r="O10"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30"/>
  <c r="F24"/>
  <c r="F32"/>
  <c r="F29"/>
  <c r="F31"/>
  <c r="F27"/>
  <c r="F28"/>
  <c r="N24"/>
  <c r="N32"/>
  <c r="N30"/>
  <c r="N27"/>
  <c r="N31"/>
  <c r="N29"/>
  <c r="N28"/>
  <c r="B10"/>
  <c r="C19" i="14"/>
  <c r="E31" i="48"/>
  <c r="E32"/>
  <c r="E28"/>
  <c r="E30"/>
  <c r="E29"/>
  <c r="E24"/>
  <c r="M32"/>
  <c r="M30"/>
  <c r="M24"/>
  <c r="M26"/>
  <c r="M25"/>
  <c r="M22"/>
  <c r="M29"/>
  <c r="M23"/>
  <c r="L10" i="14"/>
  <c r="L16" s="1"/>
  <c r="L27" s="1"/>
  <c r="K5" i="48"/>
  <c r="D30"/>
  <c r="D31"/>
  <c r="D28"/>
  <c r="D29"/>
  <c r="D24"/>
  <c r="D32"/>
  <c r="L32"/>
  <c r="L28"/>
  <c r="L27"/>
  <c r="L24"/>
  <c r="L31"/>
  <c r="L22"/>
  <c r="L29"/>
  <c r="L30"/>
  <c r="Q10" i="14"/>
  <c r="P5" i="48"/>
  <c r="P23" s="1"/>
  <c r="K28"/>
  <c r="K32"/>
  <c r="K22"/>
  <c r="K27"/>
  <c r="K30"/>
  <c r="K26"/>
  <c r="K31"/>
  <c r="K25"/>
  <c r="K24"/>
  <c r="K29"/>
  <c r="B7"/>
  <c r="C24" i="14"/>
  <c r="C26" s="1"/>
  <c r="J32" i="48"/>
  <c r="J30"/>
  <c r="J27"/>
  <c r="J31"/>
  <c r="J24"/>
  <c r="J28"/>
  <c r="J29"/>
  <c r="Q11" i="14"/>
  <c r="P4" i="48"/>
  <c r="O4"/>
  <c r="P11" i="14"/>
  <c r="I32" i="48"/>
  <c r="I22"/>
  <c r="I26"/>
  <c r="I25"/>
  <c r="I31"/>
  <c r="I29"/>
  <c r="I30"/>
  <c r="I24"/>
  <c r="I28"/>
  <c r="I27"/>
  <c r="E11" i="14"/>
  <c r="D4" i="48"/>
  <c r="D22" s="1"/>
  <c r="H29"/>
  <c r="H26"/>
  <c r="H25"/>
  <c r="H32"/>
  <c r="H28"/>
  <c r="H30"/>
  <c r="H24"/>
  <c r="H22"/>
  <c r="H23"/>
  <c r="D11" i="14"/>
  <c r="C4" i="48"/>
  <c r="G26"/>
  <c r="G25"/>
  <c r="G32"/>
  <c r="G22"/>
  <c r="G30"/>
  <c r="G24"/>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G11"/>
  <c r="F4" i="48"/>
  <c r="F22" s="1"/>
  <c r="P22"/>
  <c r="P33" s="1"/>
  <c r="P15"/>
  <c r="M12" i="22"/>
  <c r="M13" i="48"/>
  <c r="M31" s="1"/>
  <c r="N18" i="14"/>
  <c r="O22" i="48"/>
  <c r="G13"/>
  <c r="H18" i="14"/>
  <c r="R18" s="1"/>
  <c r="H13" i="48"/>
  <c r="H31" s="1"/>
  <c r="I18" i="14"/>
  <c r="P22" i="16"/>
  <c r="Q43" i="14" s="1"/>
  <c r="P8" i="48"/>
  <c r="P26" s="1"/>
  <c r="Q13" i="14"/>
  <c r="K23" i="48"/>
  <c r="K15"/>
  <c r="C22" i="14"/>
  <c r="J10"/>
  <c r="J16" s="1"/>
  <c r="J27" s="1"/>
  <c r="I5" i="48"/>
  <c r="F20" i="14"/>
  <c r="F22" s="1"/>
  <c r="E9" i="48"/>
  <c r="E27" s="1"/>
  <c r="D9"/>
  <c r="D27" s="1"/>
  <c r="E20" i="14"/>
  <c r="E22" s="1"/>
  <c r="O5" i="48"/>
  <c r="O23" s="1"/>
  <c r="P10" i="14"/>
  <c r="J7" i="48"/>
  <c r="J25" s="1"/>
  <c r="K24" i="14"/>
  <c r="K26" s="1"/>
  <c r="Q16"/>
  <c r="Q27" s="1"/>
  <c r="L63"/>
  <c r="J46"/>
  <c r="J61" s="1"/>
  <c r="D10"/>
  <c r="K33" i="48"/>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F24" i="14"/>
  <c r="F26" s="1"/>
  <c r="E7" i="48"/>
  <c r="E25" s="1"/>
  <c r="N20" i="14"/>
  <c r="M9" i="48"/>
  <c r="H20" i="14"/>
  <c r="H22" s="1"/>
  <c r="H27" s="1"/>
  <c r="G9" i="48"/>
  <c r="N19" i="14"/>
  <c r="M10" i="48"/>
  <c r="M28" s="1"/>
  <c r="O22" i="16"/>
  <c r="P43" i="14" s="1"/>
  <c r="P46" s="1"/>
  <c r="P61" s="1"/>
  <c r="O8" i="48"/>
  <c r="O26" s="1"/>
  <c r="P13" i="14"/>
  <c r="P16" s="1"/>
  <c r="P27" s="1"/>
  <c r="I23" i="48"/>
  <c r="I33" s="1"/>
  <c r="I15"/>
  <c r="H19" i="14"/>
  <c r="R19" s="1"/>
  <c r="G10" i="48"/>
  <c r="K11" i="14"/>
  <c r="J4" i="48"/>
  <c r="Q13"/>
  <c r="G31"/>
  <c r="Q63" i="14"/>
  <c r="N22"/>
  <c r="N27" s="1"/>
  <c r="Q46"/>
  <c r="Q61" s="1"/>
  <c r="O33" i="48"/>
  <c r="J63"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J22" i="48"/>
  <c r="M27"/>
  <c r="M33" s="1"/>
  <c r="M15"/>
  <c r="K10" i="14"/>
  <c r="J5" i="48"/>
  <c r="J23" s="1"/>
  <c r="F10" i="14"/>
  <c r="E5" i="48"/>
  <c r="E23" s="1"/>
  <c r="G27"/>
  <c r="G15"/>
  <c r="E22"/>
  <c r="Q4"/>
  <c r="I20" i="14"/>
  <c r="I22" s="1"/>
  <c r="I27" s="1"/>
  <c r="I63" s="1"/>
  <c r="H9" i="48"/>
  <c r="G28"/>
  <c r="Q10"/>
  <c r="O15"/>
  <c r="R20" i="14"/>
  <c r="R22" s="1"/>
  <c r="L25" i="48"/>
  <c r="Q7"/>
  <c r="M26" i="14"/>
  <c r="R24"/>
  <c r="R26" s="1"/>
  <c r="E20" i="15"/>
  <c r="F40" i="14" s="1"/>
  <c r="F18" i="16"/>
  <c r="F22" s="1"/>
  <c r="G43" i="14" s="1"/>
  <c r="J18" i="16"/>
  <c r="E18"/>
  <c r="J20" i="15"/>
  <c r="K40" i="14" s="1"/>
  <c r="N18" i="16"/>
  <c r="N22" s="1"/>
  <c r="O43" i="14" s="1"/>
  <c r="G18" i="22"/>
  <c r="H50" i="14" s="1"/>
  <c r="H52" s="1"/>
  <c r="H61" s="1"/>
  <c r="H63" s="1"/>
  <c r="H18" i="22"/>
  <c r="I50" i="14" s="1"/>
  <c r="I52" s="1"/>
  <c r="I61" s="1"/>
  <c r="E8" i="48" l="1"/>
  <c r="F13" i="14"/>
  <c r="F16" s="1"/>
  <c r="F27" s="1"/>
  <c r="H27" i="48"/>
  <c r="H33" s="1"/>
  <c r="H15"/>
  <c r="Q9"/>
  <c r="J22" i="16"/>
  <c r="K43" i="14" s="1"/>
  <c r="K46" s="1"/>
  <c r="K61" s="1"/>
  <c r="K63" s="1"/>
  <c r="K13"/>
  <c r="K16" s="1"/>
  <c r="K27" s="1"/>
  <c r="J8" i="48"/>
  <c r="J26" s="1"/>
  <c r="E22" i="16"/>
  <c r="F43" i="14" s="1"/>
  <c r="F46" s="1"/>
  <c r="F61" s="1"/>
  <c r="F63" s="1"/>
  <c r="G33" i="48"/>
  <c r="J15"/>
  <c r="J33"/>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<sst xmlns="http://schemas.openxmlformats.org/spreadsheetml/2006/main" count="2419" uniqueCount="907">
  <si>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</si>
  <si>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</si>
  <si>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</si>
  <si>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</si>
  <si>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</si>
  <si>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</si>
  <si>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</si>
  <si>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</si>
  <si>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</si>
  <si>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</si>
  <si>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</si>
  <si>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</si>
  <si>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</si>
  <si>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</si>
  <si>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</si>
  <si>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</si>
  <si>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</si>
  <si>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</si>
  <si>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</si>
  <si>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</si>
  <si>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</si>
  <si>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</si>
  <si>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</si>
  <si>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</si>
  <si>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</si>
  <si>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</si>
  <si>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</si>
  <si>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</si>
  <si>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</si>
  <si>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</si>
  <si>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</si>
  <si>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</si>
  <si>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</si>
  <si>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</si>
  <si>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</si>
  <si>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</si>
  <si>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</si>
  <si>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</si>
  <si>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</si>
  <si>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</si>
  <si>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</si>
  <si>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</si>
  <si>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</si>
  <si>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</si>
  <si>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</si>
  <si>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</si>
  <si>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</si>
  <si>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</si>
  <si>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</si>
  <si>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</si>
  <si>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</si>
  <si>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</si>
  <si>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</si>
  <si>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</si>
  <si>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</si>
  <si>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</si>
  <si>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</si>
  <si>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</si>
  <si>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</si>
  <si>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</si>
  <si>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</si>
  <si>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</si>
  <si>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</si>
  <si>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</si>
  <si>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</si>
  <si>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</si>
  <si>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</si>
  <si>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</si>
  <si>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</si>
  <si>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</si>
  <si>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</si>
  <si>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</si>
  <si>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</si>
  <si>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</si>
  <si>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</si>
  <si>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</si>
  <si>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</si>
  <si>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</si>
  <si>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</si>
  <si>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</si>
  <si>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</si>
  <si>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</si>
  <si>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</si>
  <si>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</si>
  <si>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</si>
  <si>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</si>
  <si>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</si>
  <si>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</si>
  <si>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</si>
  <si>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</si>
  <si>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</si>
  <si>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</si>
  <si>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</si>
  <si>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</si>
  <si>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</si>
  <si>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</si>
  <si>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</si>
  <si>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</si>
  <si>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</si>
  <si>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</si>
  <si>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</si>
  <si>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</si>
  <si>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</si>
  <si>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</si>
  <si>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</si>
  <si>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</si>
  <si>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</si>
  <si>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</si>
  <si>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</si>
  <si>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</si>
  <si>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</si>
  <si>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</si>
  <si>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</si>
  <si>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</si>
  <si>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</si>
  <si>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</si>
  <si>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</si>
  <si>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</si>
  <si>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</si>
  <si>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</si>
  <si>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</si>
  <si>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</si>
  <si>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</si>
  <si>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</si>
  <si>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</si>
  <si>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</si>
  <si>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</si>
  <si>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</si>
  <si>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</si>
  <si>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</si>
  <si>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</si>
  <si>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</si>
  <si>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</si>
  <si>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</si>
  <si>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</si>
  <si>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</si>
  <si>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</si>
  <si>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</si>
  <si>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</si>
  <si>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</si>
  <si>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</si>
  <si>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</si>
  <si>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</si>
  <si>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</si>
  <si>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</si>
  <si>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</si>
  <si>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</si>
  <si>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</si>
  <si>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</si>
  <si>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</si>
  <si>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</si>
  <si>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</si>
  <si>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</si>
  <si>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</si>
  <si>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</si>
  <si>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</si>
  <si>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</si>
  <si>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</si>
  <si>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</si>
  <si>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</si>
  <si>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</si>
  <si>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</si>
  <si>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</si>
  <si>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</si>
  <si>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</si>
  <si>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</si>
  <si>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</si>
  <si>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</si>
  <si>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</si>
  <si>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</si>
  <si>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</si>
  <si>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</si>
  <si>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</si>
  <si>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</si>
  <si>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</si>
  <si>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</si>
  <si>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</si>
  <si>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</si>
  <si>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</si>
  <si>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</si>
  <si>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</si>
  <si>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</si>
  <si>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</si>
  <si>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</si>
  <si>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</si>
  <si>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</si>
  <si>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</si>
  <si>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</si>
  <si>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</si>
  <si>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</si>
  <si>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</si>
  <si>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</si>
  <si>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</si>
  <si>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</si>
  <si>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</si>
  <si>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</si>
  <si>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</si>
  <si>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</si>
  <si>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</si>
  <si>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</si>
  <si>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</si>
  <si>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</si>
  <si>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</si>
  <si>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</si>
  <si>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</si>
  <si>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</si>
  <si>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</si>
  <si>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</si>
  <si>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</si>
  <si>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</si>
  <si>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</si>
  <si>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</si>
  <si>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</si>
  <si>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</si>
  <si>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</si>
  <si>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</si>
  <si>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</si>
  <si>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</si>
  <si>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</si>
  <si>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</si>
  <si>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</si>
  <si>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</si>
  <si>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</si>
  <si>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</si>
  <si>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</si>
  <si>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</si>
  <si>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</si>
  <si>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</si>
  <si>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</si>
  <si>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</si>
  <si>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</si>
  <si>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</si>
  <si>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</si>
  <si>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</si>
  <si>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</si>
  <si>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</si>
  <si>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</si>
  <si>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</si>
  <si>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</si>
  <si>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</si>
  <si>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</si>
  <si>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</si>
  <si>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</si>
  <si>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</si>
  <si>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</si>
  <si>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</si>
  <si>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</si>
  <si>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</si>
  <si>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</si>
  <si>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</si>
  <si>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</si>
  <si>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</si>
  <si>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</si>
  <si>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</si>
  <si>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</si>
  <si>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</si>
  <si>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</si>
  <si>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</si>
  <si>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</si>
  <si>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</si>
  <si>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</si>
  <si>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</si>
  <si>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</si>
  <si>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</si>
  <si>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</si>
  <si>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</si>
  <si>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</si>
  <si>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</si>
  <si>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</si>
  <si>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</si>
  <si>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</si>
  <si>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</si>
  <si>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</si>
  <si>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</si>
  <si>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</si>
  <si>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</si>
  <si>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</si>
  <si>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</si>
  <si>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</si>
  <si>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</si>
  <si>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</si>
  <si>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</si>
  <si>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</si>
  <si>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</si>
  <si>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</si>
  <si>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</si>
  <si>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</si>
  <si>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</si>
  <si>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</si>
  <si>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</si>
  <si>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</si>
  <si>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</si>
  <si>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</si>
  <si>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</si>
  <si>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</si>
  <si>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</si>
  <si>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</si>
  <si>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</si>
  <si>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</si>
  <si>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</si>
  <si>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</si>
  <si>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</si>
  <si>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</si>
  <si>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</si>
  <si>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</si>
  <si>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</si>
  <si>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</si>
  <si>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</si>
  <si>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</si>
  <si>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</si>
  <si>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</si>
  <si>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</si>
  <si>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</si>
  <si>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</si>
  <si>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</si>
  <si>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</si>
  <si>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</si>
  <si>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</si>
  <si>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</si>
  <si>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</si>
  <si>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</si>
  <si>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</si>
  <si>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</si>
  <si>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</si>
  <si>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</si>
  <si>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</si>
  <si>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</si>
  <si>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</si>
  <si>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</si>
  <si>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</si>
  <si>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</si>
  <si>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</si>
  <si>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</si>
  <si>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</si>
  <si>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</si>
  <si>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</si>
  <si>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</si>
  <si>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</si>
  <si>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</si>
  <si>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</si>
  <si>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</si>
  <si>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</si>
  <si>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</si>
  <si>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</si>
  <si>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</si>
  <si>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</si>
  <si>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</si>
  <si>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</si>
  <si>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</si>
  <si>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</si>
  <si>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</si>
  <si>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</si>
  <si>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</si>
  <si>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</si>
  <si>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</si>
  <si>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</si>
  <si>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</si>
  <si>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</si>
  <si>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</si>
  <si>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</si>
  <si>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</si>
  <si>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</si>
  <si>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</si>
  <si>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</si>
  <si>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</si>
  <si>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</si>
  <si>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</si>
  <si>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</si>
  <si>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</si>
  <si>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</si>
  <si>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</si>
  <si>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</si>
  <si>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</si>
  <si>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</si>
  <si>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</si>
  <si>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</si>
  <si>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</si>
  <si>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</si>
  <si>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</si>
  <si>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</si>
  <si>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</si>
  <si>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</si>
  <si>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</si>
  <si>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</si>
  <si>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</si>
  <si>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</si>
  <si>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</si>
  <si>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</si>
  <si>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</si>
  <si>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</si>
  <si>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</si>
  <si>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</si>
  <si>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</si>
  <si>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</si>
  <si>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</si>
  <si>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</si>
  <si>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</si>
  <si>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</si>
  <si>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</si>
  <si>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</si>
  <si>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</si>
  <si>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</si>
  <si>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</si>
  <si>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</si>
  <si>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</si>
  <si>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</si>
  <si>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</si>
  <si>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</si>
  <si>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</si>
  <si>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</si>
  <si>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</si>
  <si>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</si>
  <si>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</si>
  <si>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</si>
  <si>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</si>
  <si>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</si>
  <si>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</si>
  <si>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</si>
  <si>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</si>
  <si>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</si>
  <si>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</si>
  <si>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</si>
  <si>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</si>
  <si>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</si>
  <si>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</si>
  <si>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</si>
  <si>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</si>
  <si>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</si>
  <si>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</si>
  <si>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</si>
  <si>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</si>
  <si>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</si>
  <si>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</si>
  <si>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</si>
  <si>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</si>
  <si>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</si>
  <si>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</si>
  <si>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</si>
  <si>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</si>
  <si>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</si>
  <si>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</si>
  <si>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</si>
  <si>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</si>
  <si>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</si>
  <si>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</si>
  <si>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</si>
  <si>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</si>
  <si>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</si>
  <si>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</si>
  <si>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</si>
  <si>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</si>
  <si>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</si>
  <si>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</si>
  <si>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</si>
  <si>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</si>
  <si>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</si>
  <si>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</si>
  <si>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</si>
  <si>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</si>
  <si>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</si>
  <si>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</si>
  <si>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</si>
  <si>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</si>
  <si>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</si>
  <si>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</si>
  <si>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</si>
  <si>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</si>
  <si>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</si>
  <si>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</si>
  <si>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</si>
  <si>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</si>
  <si>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</si>
  <si>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</si>
  <si>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</si>
  <si>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</si>
  <si>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</si>
  <si>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</si>
  <si>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</si>
  <si>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</si>
  <si>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</si>
  <si>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</si>
  <si>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</si>
  <si>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</si>
  <si>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</si>
  <si>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</si>
  <si>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</si>
  <si>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</si>
  <si>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</si>
  <si>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</si>
  <si>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</si>
  <si>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</si>
  <si>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</si>
  <si>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</si>
  <si>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</si>
  <si>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</si>
  <si>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</si>
  <si>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</si>
  <si>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</si>
  <si>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</si>
  <si>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</si>
  <si>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</si>
  <si>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</si>
  <si>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</si>
  <si>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</si>
  <si>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</si>
  <si>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</si>
  <si>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</si>
  <si>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</si>
  <si>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</si>
  <si>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</si>
  <si>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</si>
  <si>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</si>
  <si>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</si>
  <si>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</si>
  <si>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</si>
  <si>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</si>
  <si>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</si>
  <si>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</si>
  <si>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</si>
  <si>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</si>
  <si>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</si>
  <si>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</si>
  <si>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</si>
  <si>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</si>
  <si>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</si>
  <si>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</si>
  <si>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</si>
  <si>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</si>
  <si>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</si>
  <si>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</si>
  <si>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</si>
  <si>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</si>
  <si>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</si>
  <si>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</si>
  <si>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</si>
  <si>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</si>
  <si>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</si>
  <si>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</si>
  <si>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</si>
  <si>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</si>
  <si>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</si>
  <si>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</si>
  <si>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</si>
  <si>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</si>
  <si>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</si>
  <si>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</si>
  <si>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</si>
  <si>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</si>
  <si>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</si>
  <si>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</si>
  <si>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</si>
  <si>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</si>
  <si>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</si>
  <si>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</si>
  <si>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</si>
  <si>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</si>
  <si>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</si>
  <si>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</si>
  <si>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</si>
  <si>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</si>
  <si>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</si>
  <si>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</si>
  <si>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</si>
  <si>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</si>
  <si>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</si>
  <si>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</si>
  <si>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</si>
  <si>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</si>
  <si>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</si>
  <si>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</si>
  <si>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</si>
  <si>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</si>
  <si>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</si>
  <si>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</si>
  <si>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</si>
  <si>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</si>
  <si>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</si>
  <si>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</si>
  <si>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</si>
  <si>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</si>
  <si>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</si>
  <si>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</si>
  <si>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</si>
  <si>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</si>
  <si>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</si>
  <si>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</si>
  <si>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</si>
  <si>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</si>
  <si>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</si>
  <si>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</si>
  <si>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</si>
  <si>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</si>
  <si>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</si>
  <si>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</si>
  <si>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</si>
  <si>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</si>
  <si>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</si>
  <si>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</si>
  <si>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</si>
  <si>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</si>
  <si>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</si>
  <si>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</si>
  <si>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</si>
  <si>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</si>
  <si>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</si>
  <si>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</si>
  <si>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</si>
  <si>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</si>
  <si>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</si>
  <si>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</si>
  <si>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</si>
  <si>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</si>
  <si>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</si>
  <si>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</si>
  <si>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</si>
  <si>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</si>
  <si>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</si>
  <si>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</si>
  <si>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</si>
  <si>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</si>
  <si>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</si>
  <si>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</si>
  <si>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</si>
  <si>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</si>
  <si>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</si>
  <si>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</si>
  <si>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</si>
  <si>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</si>
  <si>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</si>
  <si>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</si>
  <si>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</si>
  <si>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</si>
  <si>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</si>
  <si>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</si>
  <si>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</si>
  <si>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</si>
  <si>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</si>
  <si>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</si>
  <si>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</si>
  <si>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</si>
  <si>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</si>
  <si>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</si>
  <si>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</si>
  <si>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</si>
  <si>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</si>
  <si>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</si>
  <si>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</si>
  <si>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</si>
  <si>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</si>
  <si>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</si>
  <si>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</si>
  <si>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</si>
  <si>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</si>
  <si>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</si>
  <si>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</si>
  <si>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</si>
  <si>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</si>
  <si>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</si>
  <si>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</si>
  <si>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</si>
  <si>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</si>
  <si>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</si>
  <si>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</si>
  <si>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</si>
  <si>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</si>
  <si>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</si>
  <si>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</si>
  <si>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</si>
  <si>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</si>
  <si>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</si>
  <si>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</si>
  <si>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</si>
  <si>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</si>
  <si>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</si>
  <si>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</si>
  <si>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</si>
  <si>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</si>
  <si>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</si>
  <si>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</si>
  <si>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</si>
  <si>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</si>
  <si>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</si>
  <si>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</si>
  <si>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</si>
  <si>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</si>
  <si>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</si>
  <si>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</si>
  <si>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</si>
  <si>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</si>
  <si>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</si>
  <si>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</si>
  <si>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</si>
  <si>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</si>
  <si>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</si>
  <si>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</si>
  <si>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</si>
  <si>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</si>
  <si>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</si>
  <si>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</si>
  <si>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</si>
  <si>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</si>
  <si>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</si>
  <si>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</si>
  <si>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</si>
  <si>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</si>
  <si>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</si>
  <si>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</si>
  <si>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</si>
  <si>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</si>
  <si>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</si>
  <si>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</si>
  <si>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</si>
  <si>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</si>
  <si>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</si>
  <si>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</si>
  <si>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</si>
  <si>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</si>
  <si>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</si>
  <si>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</si>
  <si>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</si>
  <si>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</si>
  <si>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</si>
  <si>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</si>
  <si>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</si>
  <si>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</si>
  <si>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</si>
  <si>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</si>
  <si>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</si>
  <si>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</si>
  <si>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</si>
  <si>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</si>
  <si>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</si>
  <si>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</si>
  <si>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</si>
  <si>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</si>
  <si>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</si>
  <si>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</si>
  <si>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</si>
  <si>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</si>
  <si>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</si>
  <si>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</si>
  <si>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</si>
  <si>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</si>
  <si>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</si>
  <si>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</si>
  <si>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</si>
  <si>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</si>
  <si>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</si>
  <si>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</si>
  <si>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</si>
  <si>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</si>
  <si>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</si>
  <si>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</si>
  <si>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</si>
  <si>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</si>
  <si>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</si>
  <si>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</si>
  <si>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</si>
  <si>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</si>
  <si>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</si>
  <si>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</si>
  <si>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</si>
  <si>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</si>
  <si>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</si>
  <si>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</si>
  <si>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</si>
  <si>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</si>
  <si>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</si>
  <si>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</si>
  <si>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</si>
  <si>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</si>
  <si>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</si>
  <si>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</si>
  <si>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</si>
  <si>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</si>
  <si>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</si>
  <si>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</si>
  <si>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</si>
  <si>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</si>
  <si>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</si>
  <si>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</si>
  <si>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</si>
  <si>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</si>
  <si>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</si>
  <si>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</si>
  <si>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</si>
  <si>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</si>
  <si>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</si>
  <si>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</si>
  <si>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</si>
  <si>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</si>
  <si>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</si>
  <si>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</si>
  <si>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</si>
  <si>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</si>
  <si>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</si>
  <si>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</si>
  <si>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</si>
  <si>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</si>
  <si>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</si>
  <si>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</si>
  <si>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</si>
  <si>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</si>
  <si>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</si>
  <si>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</si>
  <si>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</si>
  <si>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</si>
  <si>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</si>
  <si>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</si>
  <si>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</si>
  <si>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</si>
  <si>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</si>
  <si>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</si>
  <si>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</si>
  <si>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</si>
  <si>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</si>
  <si>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</si>
  <si>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</si>
  <si>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</si>
  <si>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</si>
  <si>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</si>
  <si>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</si>
  <si>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</si>
  <si>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</si>
  <si>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</si>
  <si>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</si>
  <si>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</si>
  <si>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</si>
  <si>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</si>
  <si>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</si>
  <si>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</si>
  <si>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</si>
  <si>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</si>
  <si>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</si>
  <si>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</si>
  <si>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</si>
  <si>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</si>
  <si>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</si>
  <si>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</si>
  <si>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</si>
  <si>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</si>
  <si>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</si>
  <si>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</si>
  <si>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</si>
  <si>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</si>
  <si>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</si>
  <si>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</si>
  <si>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</si>
  <si>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</si>
  <si>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</si>
  <si>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</si>
  <si>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</si>
  <si>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</si>
  <si>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</si>
  <si>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</si>
  <si>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</si>
  <si>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</si>
  <si>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</si>
  <si>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</si>
  <si>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</si>
  <si>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</si>
  <si>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</si>
  <si>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</si>
  <si>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</si>
  <si>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</si>
  <si>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</si>
  <si>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</si>
  <si>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</si>
  <si>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</si>
  <si>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</si>
  <si>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</si>
  <si>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</si>
  <si>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</si>
  <si>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</si>
  <si>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</si>
  <si>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</si>
  <si>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</si>
  <si>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</si>
  <si>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</si>
  <si>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</si>
  <si>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</si>
  <si>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</si>
  <si>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</si>
  <si>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</si>
  <si>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</si>
  <si>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</si>
  <si>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</si>
  <si>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</si>
  <si>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</si>
  <si>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</si>
  <si>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</si>
  <si>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</si>
  <si>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</si>
  <si>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</si>
  <si>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</si>
  <si>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</si>
  <si>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</si>
  <si>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</si>
  <si>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</si>
  <si>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44064</t>
  </si>
  <si>
    <t>SINT-MARTENS-LATEM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</si>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</sst>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81870.099571890663</c:v>
                </c:pt>
                <c:pt idx="1">
                  <c:v>35438.007367569277</c:v>
                </c:pt>
                <c:pt idx="2">
                  <c:v>585.96199999999999</c:v>
                </c:pt>
                <c:pt idx="3">
                  <c:v>1317.9849807738976</c:v>
                </c:pt>
                <c:pt idx="4">
                  <c:v>5978.2342946960507</c:v>
                </c:pt>
                <c:pt idx="5">
                  <c:v>43757.202509669311</c:v>
                </c:pt>
                <c:pt idx="6">
                  <c:v>659.28522805685213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2704"/>
        <c:axId val="143034240"/>
      </c:barChart>
      <c:catAx>
        <c:axId val="143032704"/>
        <c:scaling>
          <c:orientation val="minMax"/>
        </c:scaling>
        <c:axPos val="b"/>
        <c:numFmt formatCode="General" sourceLinked="0"/>
        <c:tickLblPos val="nextTo"/>
        <c:crossAx val="143034240"/>
        <c:crosses val="autoZero"/>
        <c:auto val="1"/>
        <c:lblAlgn val="ctr"/>
        <c:lblOffset val="100"/>
      </c:catAx>
      <c:valAx>
        <c:axId val="143034240"/>
        <c:scaling>
          <c:orientation val="minMax"/>
        </c:scaling>
        <c:axPos val="l"/>
        <c:majorGridlines/>
        <c:numFmt formatCode="#,##0" sourceLinked="1"/>
        <c:tickLblPos val="nextTo"/>
        <c:crossAx val="143032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81870.099571890663</c:v>
                </c:pt>
                <c:pt idx="1">
                  <c:v>35438.007367569277</c:v>
                </c:pt>
                <c:pt idx="2">
                  <c:v>585.96199999999999</c:v>
                </c:pt>
                <c:pt idx="3">
                  <c:v>1317.9849807738976</c:v>
                </c:pt>
                <c:pt idx="4">
                  <c:v>5978.2342946960507</c:v>
                </c:pt>
                <c:pt idx="5">
                  <c:v>43757.202509669311</c:v>
                </c:pt>
                <c:pt idx="6">
                  <c:v>659.28522805685213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18615.813875323194</c:v>
                </c:pt>
                <c:pt idx="2">
                  <c:v>7366.5926197680892</c:v>
                </c:pt>
                <c:pt idx="3">
                  <c:v>126.63524897524796</c:v>
                </c:pt>
                <c:pt idx="4">
                  <c:v>337.42060002774662</c:v>
                </c:pt>
                <c:pt idx="5">
                  <c:v>1221.9121283622087</c:v>
                </c:pt>
                <c:pt idx="6">
                  <c:v>10968.529146390109</c:v>
                </c:pt>
                <c:pt idx="7">
                  <c:v>166.53230405860828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0544"/>
        <c:axId val="147186432"/>
      </c:barChart>
      <c:catAx>
        <c:axId val="147180544"/>
        <c:scaling>
          <c:orientation val="minMax"/>
        </c:scaling>
        <c:axPos val="b"/>
        <c:numFmt formatCode="General" sourceLinked="0"/>
        <c:tickLblPos val="nextTo"/>
        <c:crossAx val="147186432"/>
        <c:crosses val="autoZero"/>
        <c:auto val="1"/>
        <c:lblAlgn val="ctr"/>
        <c:lblOffset val="100"/>
      </c:catAx>
      <c:valAx>
        <c:axId val="147186432"/>
        <c:scaling>
          <c:orientation val="minMax"/>
        </c:scaling>
        <c:axPos val="l"/>
        <c:majorGridlines/>
        <c:numFmt formatCode="#,##0" sourceLinked="1"/>
        <c:tickLblPos val="nextTo"/>
        <c:crossAx val="147180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18615.813875323194</c:v>
                </c:pt>
                <c:pt idx="2">
                  <c:v>7366.5926197680892</c:v>
                </c:pt>
                <c:pt idx="3">
                  <c:v>126.63524897524796</c:v>
                </c:pt>
                <c:pt idx="4">
                  <c:v>337.42060002774662</c:v>
                </c:pt>
                <c:pt idx="5">
                  <c:v>1221.9121283622087</c:v>
                </c:pt>
                <c:pt idx="6">
                  <c:v>10968.529146390109</c:v>
                </c:pt>
                <c:pt idx="7">
                  <c:v>166.53230405860828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44064</v>
      </c>
      <c r="B6" s="416"/>
      <c r="C6" s="417"/>
    </row>
    <row r="7" spans="1:7" s="414" customFormat="1" ht="15.75" customHeight="1">
      <c r="A7" s="418" t="str">
        <f>txtMunicipality</f>
        <v>SINT-MARTENS-LATEM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0.21611512175746544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0.21611512175746544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3470</v>
      </c>
      <c r="C9" s="342">
        <v>3460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386</v>
      </c>
    </row>
    <row r="15" spans="1:6">
      <c r="A15" s="348" t="s">
        <v>184</v>
      </c>
      <c r="B15" s="334">
        <v>0</v>
      </c>
    </row>
    <row r="16" spans="1:6">
      <c r="A16" s="348" t="s">
        <v>6</v>
      </c>
      <c r="B16" s="334">
        <v>0</v>
      </c>
    </row>
    <row r="17" spans="1:6">
      <c r="A17" s="348" t="s">
        <v>7</v>
      </c>
      <c r="B17" s="334">
        <v>15</v>
      </c>
    </row>
    <row r="18" spans="1:6">
      <c r="A18" s="348" t="s">
        <v>8</v>
      </c>
      <c r="B18" s="334">
        <v>14</v>
      </c>
    </row>
    <row r="19" spans="1:6">
      <c r="A19" s="348" t="s">
        <v>9</v>
      </c>
      <c r="B19" s="334">
        <v>26</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0</v>
      </c>
    </row>
    <row r="29" spans="1:6">
      <c r="A29" s="355" t="s">
        <v>901</v>
      </c>
      <c r="B29" s="355">
        <v>80</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29875.040000000001</v>
      </c>
    </row>
    <row r="39" spans="1:6">
      <c r="A39" s="348" t="s">
        <v>30</v>
      </c>
      <c r="B39" s="348" t="s">
        <v>31</v>
      </c>
      <c r="C39" s="334">
        <v>1199</v>
      </c>
      <c r="D39" s="334">
        <v>24815431.604550499</v>
      </c>
      <c r="E39" s="334">
        <v>3119</v>
      </c>
      <c r="F39" s="334">
        <v>20478786</v>
      </c>
    </row>
    <row r="40" spans="1:6">
      <c r="A40" s="348" t="s">
        <v>30</v>
      </c>
      <c r="B40" s="348" t="s">
        <v>29</v>
      </c>
      <c r="C40" s="334">
        <v>0</v>
      </c>
      <c r="D40" s="334">
        <v>0</v>
      </c>
      <c r="E40" s="334">
        <v>0</v>
      </c>
      <c r="F40" s="334">
        <v>0</v>
      </c>
    </row>
    <row r="41" spans="1:6">
      <c r="A41" s="348" t="s">
        <v>32</v>
      </c>
      <c r="B41" s="348" t="s">
        <v>33</v>
      </c>
      <c r="C41" s="334">
        <v>27</v>
      </c>
      <c r="D41" s="334">
        <v>617474.96011957596</v>
      </c>
      <c r="E41" s="334">
        <v>65</v>
      </c>
      <c r="F41" s="334">
        <v>814266.2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55701.87</v>
      </c>
    </row>
    <row r="48" spans="1:6">
      <c r="A48" s="348" t="s">
        <v>32</v>
      </c>
      <c r="B48" s="348" t="s">
        <v>29</v>
      </c>
      <c r="C48" s="334">
        <v>22</v>
      </c>
      <c r="D48" s="334">
        <v>982895.91810788098</v>
      </c>
      <c r="E48" s="334">
        <v>37</v>
      </c>
      <c r="F48" s="334">
        <v>586980.9</v>
      </c>
    </row>
    <row r="49" spans="1:6">
      <c r="A49" s="348" t="s">
        <v>32</v>
      </c>
      <c r="B49" s="348" t="s">
        <v>40</v>
      </c>
      <c r="C49" s="334">
        <v>0</v>
      </c>
      <c r="D49" s="334">
        <v>0</v>
      </c>
      <c r="E49" s="334">
        <v>3</v>
      </c>
      <c r="F49" s="334">
        <v>92061.56</v>
      </c>
    </row>
    <row r="50" spans="1:6">
      <c r="A50" s="348" t="s">
        <v>32</v>
      </c>
      <c r="B50" s="348" t="s">
        <v>41</v>
      </c>
      <c r="C50" s="334">
        <v>0</v>
      </c>
      <c r="D50" s="334">
        <v>0</v>
      </c>
      <c r="E50" s="334">
        <v>6</v>
      </c>
      <c r="F50" s="334">
        <v>449259</v>
      </c>
    </row>
    <row r="51" spans="1:6">
      <c r="A51" s="348" t="s">
        <v>42</v>
      </c>
      <c r="B51" s="348" t="s">
        <v>43</v>
      </c>
      <c r="C51" s="334">
        <v>0</v>
      </c>
      <c r="D51" s="334">
        <v>0</v>
      </c>
      <c r="E51" s="334">
        <v>18</v>
      </c>
      <c r="F51" s="334">
        <v>272163.3</v>
      </c>
    </row>
    <row r="52" spans="1:6">
      <c r="A52" s="348" t="s">
        <v>42</v>
      </c>
      <c r="B52" s="348" t="s">
        <v>29</v>
      </c>
      <c r="C52" s="334">
        <v>1</v>
      </c>
      <c r="D52" s="334">
        <v>19720.7326941219</v>
      </c>
      <c r="E52" s="334">
        <v>10</v>
      </c>
      <c r="F52" s="334">
        <v>79263.67</v>
      </c>
    </row>
    <row r="53" spans="1:6">
      <c r="A53" s="348" t="s">
        <v>44</v>
      </c>
      <c r="B53" s="348" t="s">
        <v>45</v>
      </c>
      <c r="C53" s="334">
        <v>70</v>
      </c>
      <c r="D53" s="334">
        <v>1596789.11728228</v>
      </c>
      <c r="E53" s="334">
        <v>163</v>
      </c>
      <c r="F53" s="334">
        <v>1083272</v>
      </c>
    </row>
    <row r="54" spans="1:6">
      <c r="A54" s="348" t="s">
        <v>46</v>
      </c>
      <c r="B54" s="348" t="s">
        <v>47</v>
      </c>
      <c r="C54" s="334">
        <v>0</v>
      </c>
      <c r="D54" s="334">
        <v>0</v>
      </c>
      <c r="E54" s="334">
        <v>2</v>
      </c>
      <c r="F54" s="334">
        <v>585962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104654.37617239699</v>
      </c>
      <c r="E57" s="334">
        <v>31</v>
      </c>
      <c r="F57" s="334">
        <v>698508.9</v>
      </c>
    </row>
    <row r="58" spans="1:6">
      <c r="A58" s="348" t="s">
        <v>49</v>
      </c>
      <c r="B58" s="348" t="s">
        <v>51</v>
      </c>
      <c r="C58" s="334">
        <v>20</v>
      </c>
      <c r="D58" s="334">
        <v>848377.796934932</v>
      </c>
      <c r="E58" s="334">
        <v>46</v>
      </c>
      <c r="F58" s="334">
        <v>708653.9</v>
      </c>
    </row>
    <row r="59" spans="1:6">
      <c r="A59" s="348" t="s">
        <v>49</v>
      </c>
      <c r="B59" s="348" t="s">
        <v>52</v>
      </c>
      <c r="C59" s="334">
        <v>56</v>
      </c>
      <c r="D59" s="334">
        <v>2098035.5917406701</v>
      </c>
      <c r="E59" s="334">
        <v>144</v>
      </c>
      <c r="F59" s="334">
        <v>3738385</v>
      </c>
    </row>
    <row r="60" spans="1:6">
      <c r="A60" s="348" t="s">
        <v>49</v>
      </c>
      <c r="B60" s="348" t="s">
        <v>53</v>
      </c>
      <c r="C60" s="334">
        <v>30</v>
      </c>
      <c r="D60" s="334">
        <v>2574684.48164343</v>
      </c>
      <c r="E60" s="334">
        <v>66</v>
      </c>
      <c r="F60" s="334">
        <v>2064863</v>
      </c>
    </row>
    <row r="61" spans="1:6">
      <c r="A61" s="348" t="s">
        <v>49</v>
      </c>
      <c r="B61" s="348" t="s">
        <v>54</v>
      </c>
      <c r="C61" s="334">
        <v>135</v>
      </c>
      <c r="D61" s="334">
        <v>5152623.6230126899</v>
      </c>
      <c r="E61" s="334">
        <v>432</v>
      </c>
      <c r="F61" s="334">
        <v>5784136</v>
      </c>
    </row>
    <row r="62" spans="1:6">
      <c r="A62" s="348" t="s">
        <v>49</v>
      </c>
      <c r="B62" s="348" t="s">
        <v>55</v>
      </c>
      <c r="C62" s="334">
        <v>0</v>
      </c>
      <c r="D62" s="334">
        <v>0</v>
      </c>
      <c r="E62" s="334">
        <v>4</v>
      </c>
      <c r="F62" s="334">
        <v>87203.05</v>
      </c>
    </row>
    <row r="63" spans="1:6">
      <c r="A63" s="348" t="s">
        <v>49</v>
      </c>
      <c r="B63" s="348" t="s">
        <v>29</v>
      </c>
      <c r="C63" s="334">
        <v>131</v>
      </c>
      <c r="D63" s="334">
        <v>5706618.18419543</v>
      </c>
      <c r="E63" s="334">
        <v>170</v>
      </c>
      <c r="F63" s="334">
        <v>3919207</v>
      </c>
    </row>
    <row r="64" spans="1:6">
      <c r="A64" s="348" t="s">
        <v>56</v>
      </c>
      <c r="B64" s="348" t="s">
        <v>57</v>
      </c>
      <c r="C64" s="334">
        <v>0</v>
      </c>
      <c r="D64" s="334">
        <v>0</v>
      </c>
      <c r="E64" s="334">
        <v>0</v>
      </c>
      <c r="F64" s="334">
        <v>0</v>
      </c>
    </row>
    <row r="65" spans="1:6">
      <c r="A65" s="348" t="s">
        <v>56</v>
      </c>
      <c r="B65" s="348" t="s">
        <v>29</v>
      </c>
      <c r="C65" s="334">
        <v>3</v>
      </c>
      <c r="D65" s="334">
        <v>42879.328264103497</v>
      </c>
      <c r="E65" s="334">
        <v>7</v>
      </c>
      <c r="F65" s="334">
        <v>284333.59999999998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38772279</v>
      </c>
      <c r="E73" s="476">
        <v>40411298.828270592</v>
      </c>
    </row>
    <row r="74" spans="1:6">
      <c r="A74" s="348" t="s">
        <v>64</v>
      </c>
      <c r="B74" s="348" t="s">
        <v>714</v>
      </c>
      <c r="C74" s="1311" t="s">
        <v>716</v>
      </c>
      <c r="D74" s="476">
        <v>4282607.6234633494</v>
      </c>
      <c r="E74" s="476">
        <v>4430404.8305597631</v>
      </c>
    </row>
    <row r="75" spans="1:6">
      <c r="A75" s="348" t="s">
        <v>65</v>
      </c>
      <c r="B75" s="348" t="s">
        <v>713</v>
      </c>
      <c r="C75" s="1311" t="s">
        <v>717</v>
      </c>
      <c r="D75" s="476">
        <v>8459205</v>
      </c>
      <c r="E75" s="476">
        <v>8829755.5214708634</v>
      </c>
    </row>
    <row r="76" spans="1:6">
      <c r="A76" s="348" t="s">
        <v>65</v>
      </c>
      <c r="B76" s="348" t="s">
        <v>714</v>
      </c>
      <c r="C76" s="1311" t="s">
        <v>718</v>
      </c>
      <c r="D76" s="476">
        <v>515660.62346334936</v>
      </c>
      <c r="E76" s="476">
        <v>539686.44980508601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176176.75307330128</v>
      </c>
      <c r="C83" s="476">
        <v>178751.71167409047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874.32445132115527</v>
      </c>
    </row>
    <row r="92" spans="1:6">
      <c r="A92" s="341" t="s">
        <v>69</v>
      </c>
      <c r="B92" s="342">
        <v>62.411096306353919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13</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45</v>
      </c>
    </row>
    <row r="130" spans="1:6">
      <c r="A130" s="348" t="s">
        <v>295</v>
      </c>
      <c r="B130" s="334">
        <v>1</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42379.471042509904</v>
      </c>
      <c r="C3" s="43" t="s">
        <v>170</v>
      </c>
      <c r="D3" s="43"/>
      <c r="E3" s="154"/>
      <c r="F3" s="43"/>
      <c r="G3" s="43"/>
      <c r="H3" s="43"/>
      <c r="I3" s="43"/>
      <c r="J3" s="43"/>
      <c r="K3" s="96"/>
    </row>
    <row r="4" spans="1:11">
      <c r="A4" s="384" t="s">
        <v>171</v>
      </c>
      <c r="B4" s="49">
        <f>IF(ISERROR('SEAP template'!B78+'SEAP template'!C78),0,'SEAP template'!B78+'SEAP template'!C78)</f>
        <v>936.73554762750916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0.21611512175746544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585.96199999999999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585.96199999999999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0.21611512175746544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126.63524897524796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20478.786</v>
      </c>
      <c r="C5" s="17">
        <f>IF(ISERROR('Eigen informatie GS &amp; warmtenet'!B57),0,'Eigen informatie GS &amp; warmtenet'!B57)</f>
        <v>0</v>
      </c>
      <c r="D5" s="30">
        <f>(SUM(HH_hh_gas_kWh,HH_rest_gas_kWh)/1000)*0.902</f>
        <v>22383.519307304552</v>
      </c>
      <c r="E5" s="17">
        <f>B46*B57</f>
        <v>1111.6181284299539</v>
      </c>
      <c r="F5" s="17">
        <f>B51*B62</f>
        <v>34559.084625491363</v>
      </c>
      <c r="G5" s="18"/>
      <c r="H5" s="17"/>
      <c r="I5" s="17"/>
      <c r="J5" s="17">
        <f>B50*B61+C50*C61</f>
        <v>0</v>
      </c>
      <c r="K5" s="17"/>
      <c r="L5" s="17"/>
      <c r="M5" s="17"/>
      <c r="N5" s="17">
        <f>B48*B59+C48*C59</f>
        <v>1264.6637260102968</v>
      </c>
      <c r="O5" s="17">
        <f>B69*B70*B71</f>
        <v>92.236666666666679</v>
      </c>
      <c r="P5" s="17">
        <f>B77*B78*B79/1000-B77*B78*B79/1000/B80</f>
        <v>1105.8666666666668</v>
      </c>
    </row>
    <row r="6" spans="1:16">
      <c r="A6" s="16" t="s">
        <v>631</v>
      </c>
      <c r="B6" s="789">
        <f>kWh_PV_kleiner_dan_10kW</f>
        <v>874.32445132115527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21353.110451321154</v>
      </c>
      <c r="C8" s="21">
        <f>C5</f>
        <v>0</v>
      </c>
      <c r="D8" s="21">
        <f>D5</f>
        <v>22383.519307304552</v>
      </c>
      <c r="E8" s="21">
        <f>E5</f>
        <v>1111.6181284299539</v>
      </c>
      <c r="F8" s="21">
        <f>F5</f>
        <v>34559.084625491363</v>
      </c>
      <c r="G8" s="21"/>
      <c r="H8" s="21"/>
      <c r="I8" s="21"/>
      <c r="J8" s="21">
        <f>J5</f>
        <v>0</v>
      </c>
      <c r="K8" s="21"/>
      <c r="L8" s="21">
        <f>L5</f>
        <v>0</v>
      </c>
      <c r="M8" s="21">
        <f>M5</f>
        <v>0</v>
      </c>
      <c r="N8" s="21">
        <f>N5</f>
        <v>1264.6637260102968</v>
      </c>
      <c r="O8" s="21">
        <f>O5</f>
        <v>92.236666666666679</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0.21611512175746544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4614.7300650878788</v>
      </c>
      <c r="C12" s="23">
        <f ca="1">C10*C8</f>
        <v>0</v>
      </c>
      <c r="D12" s="23">
        <f>D8*D10</f>
        <v>4521.4709000755201</v>
      </c>
      <c r="E12" s="23">
        <f>E10*E8</f>
        <v>252.33731515359955</v>
      </c>
      <c r="F12" s="23">
        <f>F10*F8</f>
        <v>9227.2755950061946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3470</v>
      </c>
      <c r="C28" s="36"/>
      <c r="D28" s="228"/>
    </row>
    <row r="29" spans="1:7" s="15" customFormat="1">
      <c r="A29" s="230" t="s">
        <v>741</v>
      </c>
      <c r="B29" s="37">
        <f>SUM(HH_hh_gas_aantal,HH_rest_gas_aantal)</f>
        <v>1199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1199</v>
      </c>
      <c r="C32" s="167">
        <f>IF(ISERROR(B32/SUM($B$32,$B$34,$B$35,$B$36,$B$38,$B$39)*100),0,B32/SUM($B$32,$B$34,$B$35,$B$36,$B$38,$B$39)*100)</f>
        <v>35.140679953106684</v>
      </c>
      <c r="D32" s="233"/>
      <c r="G32" s="15"/>
    </row>
    <row r="33" spans="1:7">
      <c r="A33" s="171" t="s">
        <v>72</v>
      </c>
      <c r="B33" s="34" t="s">
        <v>111</v>
      </c>
      <c r="C33" s="167"/>
      <c r="D33" s="233"/>
      <c r="G33" s="15"/>
    </row>
    <row r="34" spans="1:7">
      <c r="A34" s="171" t="s">
        <v>73</v>
      </c>
      <c r="B34" s="33">
        <f>IF((($B$28-$B$32-$B$39-$B$77-$B$38)*C20/100)&lt;0,0,($B$28-$B$32-$B$39-$B$77-$B$38)*C20/100)</f>
        <v>74.502762430939214</v>
      </c>
      <c r="C34" s="167">
        <f>IF(ISERROR(B34/SUM($B$32,$B$34,$B$35,$B$36,$B$38,$B$39)*100),0,B34/SUM($B$32,$B$34,$B$35,$B$36,$B$38,$B$39)*100)</f>
        <v>2.1835510677297543</v>
      </c>
      <c r="D34" s="233"/>
      <c r="G34" s="15"/>
    </row>
    <row r="35" spans="1:7">
      <c r="A35" s="171" t="s">
        <v>74</v>
      </c>
      <c r="B35" s="33">
        <f>IF((($B$28-$B$32-$B$39-$B$77-$B$38)*C21/100)&lt;0,0,($B$28-$B$32-$B$39-$B$77-$B$38)*C21/100)</f>
        <v>712.24640883977884</v>
      </c>
      <c r="C35" s="167">
        <f>IF(ISERROR(B35/SUM($B$32,$B$34,$B$35,$B$36,$B$38,$B$39)*100),0,B35/SUM($B$32,$B$34,$B$35,$B$36,$B$38,$B$39)*100)</f>
        <v>20.874748207496449</v>
      </c>
      <c r="D35" s="233"/>
      <c r="G35" s="15"/>
    </row>
    <row r="36" spans="1:7">
      <c r="A36" s="171" t="s">
        <v>75</v>
      </c>
      <c r="B36" s="33">
        <f>IF((($B$28-$B$32-$B$39-$B$77-$B$38)*C22/100)&lt;0,0,($B$28-$B$32-$B$39-$B$77-$B$38)*C22/100)</f>
        <v>22.350828729281766</v>
      </c>
      <c r="C36" s="167">
        <f>IF(ISERROR(B36/SUM($B$32,$B$34,$B$35,$B$36,$B$38,$B$39)*100),0,B36/SUM($B$32,$B$34,$B$35,$B$36,$B$38,$B$39)*100)</f>
        <v>0.65506532031892628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1403.9</v>
      </c>
      <c r="C39" s="167">
        <f>IF(ISERROR(B39/SUM($B$32,$B$34,$B$35,$B$36,$B$38,$B$39)*100),0,B39/SUM($B$32,$B$34,$B$35,$B$36,$B$38,$B$39)*100)</f>
        <v>41.145955451348186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1199</v>
      </c>
      <c r="C44" s="34" t="s">
        <v>111</v>
      </c>
      <c r="D44" s="174"/>
    </row>
    <row r="45" spans="1:7">
      <c r="A45" s="171" t="s">
        <v>72</v>
      </c>
      <c r="B45" s="33" t="str">
        <f t="shared" si="0"/>
        <v>-</v>
      </c>
      <c r="C45" s="34" t="s">
        <v>111</v>
      </c>
      <c r="D45" s="174"/>
    </row>
    <row r="46" spans="1:7">
      <c r="A46" s="171" t="s">
        <v>73</v>
      </c>
      <c r="B46" s="33">
        <f t="shared" si="0"/>
        <v>74.502762430939214</v>
      </c>
      <c r="C46" s="34" t="s">
        <v>111</v>
      </c>
      <c r="D46" s="174"/>
    </row>
    <row r="47" spans="1:7">
      <c r="A47" s="171" t="s">
        <v>74</v>
      </c>
      <c r="B47" s="33">
        <f t="shared" si="0"/>
        <v>712.24640883977884</v>
      </c>
      <c r="C47" s="34" t="s">
        <v>111</v>
      </c>
      <c r="D47" s="174"/>
    </row>
    <row r="48" spans="1:7">
      <c r="A48" s="171" t="s">
        <v>75</v>
      </c>
      <c r="B48" s="33">
        <f t="shared" si="0"/>
        <v>22.350828729281766</v>
      </c>
      <c r="C48" s="33">
        <f>B48*10</f>
        <v>223.50828729281767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1403.9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17000.956849999999</v>
      </c>
      <c r="C5" s="17">
        <f>IF(ISERROR('Eigen informatie GS &amp; warmtenet'!B58),0,'Eigen informatie GS &amp; warmtenet'!B58)</f>
        <v>0</v>
      </c>
      <c r="D5" s="30">
        <f>SUM(D6:D12)</f>
        <v>14869.464636436995</v>
      </c>
      <c r="E5" s="17">
        <f>SUM(E6:E12)</f>
        <v>182.04041805648404</v>
      </c>
      <c r="F5" s="17">
        <f>SUM(F6:F12)</f>
        <v>2424.9952384937401</v>
      </c>
      <c r="G5" s="18"/>
      <c r="H5" s="17"/>
      <c r="I5" s="17"/>
      <c r="J5" s="17">
        <f>SUM(J6:J12)</f>
        <v>0</v>
      </c>
      <c r="K5" s="17"/>
      <c r="L5" s="17"/>
      <c r="M5" s="17"/>
      <c r="N5" s="17">
        <f>SUM(N6:N12)</f>
        <v>920.85355791540087</v>
      </c>
      <c r="O5" s="17">
        <f>B38*B39*B40</f>
        <v>1.5633333333333335</v>
      </c>
      <c r="P5" s="17">
        <f>B46*B47*B48/1000-B46*B47*B48/1000/B49</f>
        <v>38.133333333333333</v>
      </c>
      <c r="R5" s="32"/>
    </row>
    <row r="6" spans="1:18">
      <c r="A6" s="32" t="s">
        <v>54</v>
      </c>
      <c r="B6" s="37">
        <f>B26</f>
        <v>5784.1360000000004</v>
      </c>
      <c r="C6" s="33"/>
      <c r="D6" s="37">
        <f>IF(ISERROR(TER_kantoor_gas_kWh/1000),0,TER_kantoor_gas_kWh/1000)*0.902</f>
        <v>4647.6665079574459</v>
      </c>
      <c r="E6" s="33">
        <f>$C$26*'E Balans VL '!I12/100/3.6*1000000</f>
        <v>16.757490645083923</v>
      </c>
      <c r="F6" s="33">
        <f>$C$26*('E Balans VL '!L12+'E Balans VL '!N12)/100/3.6*1000000</f>
        <v>654.63676080363234</v>
      </c>
      <c r="G6" s="34"/>
      <c r="H6" s="33"/>
      <c r="I6" s="33"/>
      <c r="J6" s="33">
        <f>$C$26*('E Balans VL '!D12+'E Balans VL '!E12)/100/3.6*1000000</f>
        <v>0</v>
      </c>
      <c r="K6" s="33"/>
      <c r="L6" s="33"/>
      <c r="M6" s="33"/>
      <c r="N6" s="33">
        <f>$C$26*'E Balans VL '!Y12/100/3.6*1000000</f>
        <v>57.894939418304745</v>
      </c>
      <c r="O6" s="33"/>
      <c r="P6" s="33"/>
      <c r="R6" s="32"/>
    </row>
    <row r="7" spans="1:18">
      <c r="A7" s="32" t="s">
        <v>53</v>
      </c>
      <c r="B7" s="37">
        <f t="shared" ref="B7:B12" si="0">B27</f>
        <v>2064.8629999999998</v>
      </c>
      <c r="C7" s="33"/>
      <c r="D7" s="37">
        <f>IF(ISERROR(TER_horeca_gas_kWh/1000),0,TER_horeca_gas_kWh/1000)*0.902</f>
        <v>2322.365402442374</v>
      </c>
      <c r="E7" s="33">
        <f>$C$27*'E Balans VL '!I9/100/3.6*1000000</f>
        <v>86.677179626797766</v>
      </c>
      <c r="F7" s="33">
        <f>$C$27*('E Balans VL '!L9+'E Balans VL '!N9)/100/3.6*1000000</f>
        <v>443.67815955389801</v>
      </c>
      <c r="G7" s="34"/>
      <c r="H7" s="33"/>
      <c r="I7" s="33"/>
      <c r="J7" s="33">
        <f>$C$27*('E Balans VL '!D9+'E Balans VL '!E9)/100/3.6*1000000</f>
        <v>0</v>
      </c>
      <c r="K7" s="33"/>
      <c r="L7" s="33"/>
      <c r="M7" s="33"/>
      <c r="N7" s="33">
        <f>$C$27*'E Balans VL '!Y9/100/3.6*1000000</f>
        <v>0.53209713721797347</v>
      </c>
      <c r="O7" s="33"/>
      <c r="P7" s="33"/>
      <c r="R7" s="32"/>
    </row>
    <row r="8" spans="1:18">
      <c r="A8" s="6" t="s">
        <v>52</v>
      </c>
      <c r="B8" s="37">
        <f t="shared" si="0"/>
        <v>3738.3850000000002</v>
      </c>
      <c r="C8" s="33"/>
      <c r="D8" s="37">
        <f>IF(ISERROR(TER_handel_gas_kWh/1000),0,TER_handel_gas_kWh/1000)*0.902</f>
        <v>1892.4281037500843</v>
      </c>
      <c r="E8" s="33">
        <f>$C$28*'E Balans VL '!I13/100/3.6*1000000</f>
        <v>40.153366269389878</v>
      </c>
      <c r="F8" s="33">
        <f>$C$28*('E Balans VL '!L13+'E Balans VL '!N13)/100/3.6*1000000</f>
        <v>483.96480919693192</v>
      </c>
      <c r="G8" s="34"/>
      <c r="H8" s="33"/>
      <c r="I8" s="33"/>
      <c r="J8" s="33">
        <f>$C$28*('E Balans VL '!D13+'E Balans VL '!E13)/100/3.6*1000000</f>
        <v>0</v>
      </c>
      <c r="K8" s="33"/>
      <c r="L8" s="33"/>
      <c r="M8" s="33"/>
      <c r="N8" s="33">
        <f>$C$28*'E Balans VL '!Y13/100/3.6*1000000</f>
        <v>30.325983244696253</v>
      </c>
      <c r="O8" s="33"/>
      <c r="P8" s="33"/>
      <c r="R8" s="32"/>
    </row>
    <row r="9" spans="1:18">
      <c r="A9" s="32" t="s">
        <v>51</v>
      </c>
      <c r="B9" s="37">
        <f t="shared" si="0"/>
        <v>708.65390000000002</v>
      </c>
      <c r="C9" s="33"/>
      <c r="D9" s="37">
        <f>IF(ISERROR(TER_gezond_gas_kWh/1000),0,TER_gezond_gas_kWh/1000)*0.902</f>
        <v>765.23677283530867</v>
      </c>
      <c r="E9" s="33">
        <f>$C$29*'E Balans VL '!I10/100/3.6*1000000</f>
        <v>0.56413433890630926</v>
      </c>
      <c r="F9" s="33">
        <f>$C$29*('E Balans VL '!L10+'E Balans VL '!N10)/100/3.6*1000000</f>
        <v>86.147122516263423</v>
      </c>
      <c r="G9" s="34"/>
      <c r="H9" s="33"/>
      <c r="I9" s="33"/>
      <c r="J9" s="33">
        <f>$C$29*('E Balans VL '!D10+'E Balans VL '!E10)/100/3.6*1000000</f>
        <v>0</v>
      </c>
      <c r="K9" s="33"/>
      <c r="L9" s="33"/>
      <c r="M9" s="33"/>
      <c r="N9" s="33">
        <f>$C$29*'E Balans VL '!Y10/100/3.6*1000000</f>
        <v>5.7243184586847713</v>
      </c>
      <c r="O9" s="33"/>
      <c r="P9" s="33"/>
      <c r="R9" s="32"/>
    </row>
    <row r="10" spans="1:18">
      <c r="A10" s="32" t="s">
        <v>50</v>
      </c>
      <c r="B10" s="37">
        <f t="shared" si="0"/>
        <v>698.50890000000004</v>
      </c>
      <c r="C10" s="33"/>
      <c r="D10" s="37">
        <f>IF(ISERROR(TER_ander_gas_kWh/1000),0,TER_ander_gas_kWh/1000)*0.902</f>
        <v>94.398247307502089</v>
      </c>
      <c r="E10" s="33">
        <f>$C$30*'E Balans VL '!I14/100/3.6*1000000</f>
        <v>2.3938266952538285</v>
      </c>
      <c r="F10" s="33">
        <f>$C$30*('E Balans VL '!L14+'E Balans VL '!N14)/100/3.6*1000000</f>
        <v>156.01850420184678</v>
      </c>
      <c r="G10" s="34"/>
      <c r="H10" s="33"/>
      <c r="I10" s="33"/>
      <c r="J10" s="33">
        <f>$C$30*('E Balans VL '!D14+'E Balans VL '!E14)/100/3.6*1000000</f>
        <v>0</v>
      </c>
      <c r="K10" s="33"/>
      <c r="L10" s="33"/>
      <c r="M10" s="33"/>
      <c r="N10" s="33">
        <f>$C$30*'E Balans VL '!Y14/100/3.6*1000000</f>
        <v>492.03348503953066</v>
      </c>
      <c r="O10" s="33"/>
      <c r="P10" s="33"/>
      <c r="R10" s="32"/>
    </row>
    <row r="11" spans="1:18">
      <c r="A11" s="32" t="s">
        <v>55</v>
      </c>
      <c r="B11" s="37">
        <f t="shared" si="0"/>
        <v>87.203050000000005</v>
      </c>
      <c r="C11" s="33"/>
      <c r="D11" s="37">
        <f>IF(ISERROR(TER_onderwijs_gas_kWh/1000),0,TER_onderwijs_gas_kWh/1000)*0.902</f>
        <v>0</v>
      </c>
      <c r="E11" s="33">
        <f>$C$31*'E Balans VL '!I11/100/3.6*1000000</f>
        <v>6.0280782822423426E-2</v>
      </c>
      <c r="F11" s="33">
        <f>$C$31*('E Balans VL '!L11+'E Balans VL '!N11)/100/3.6*1000000</f>
        <v>22.827225413270892</v>
      </c>
      <c r="G11" s="34"/>
      <c r="H11" s="33"/>
      <c r="I11" s="33"/>
      <c r="J11" s="33">
        <f>$C$31*('E Balans VL '!D11+'E Balans VL '!E11)/100/3.6*1000000</f>
        <v>0</v>
      </c>
      <c r="K11" s="33"/>
      <c r="L11" s="33"/>
      <c r="M11" s="33"/>
      <c r="N11" s="33">
        <f>$C$31*'E Balans VL '!Y11/100/3.6*1000000</f>
        <v>8.6803208898597731E-2</v>
      </c>
      <c r="O11" s="33"/>
      <c r="P11" s="33"/>
      <c r="R11" s="32"/>
    </row>
    <row r="12" spans="1:18">
      <c r="A12" s="32" t="s">
        <v>260</v>
      </c>
      <c r="B12" s="37">
        <f t="shared" si="0"/>
        <v>3919.2069999999999</v>
      </c>
      <c r="C12" s="33"/>
      <c r="D12" s="37">
        <f>IF(ISERROR(TER_rest_gas_kWh/1000),0,TER_rest_gas_kWh/1000)*0.902</f>
        <v>5147.3696021442784</v>
      </c>
      <c r="E12" s="33">
        <f>$C$32*'E Balans VL '!I8/100/3.6*1000000</f>
        <v>35.434139698229913</v>
      </c>
      <c r="F12" s="33">
        <f>$C$32*('E Balans VL '!L8+'E Balans VL '!N8)/100/3.6*1000000</f>
        <v>577.72265680789667</v>
      </c>
      <c r="G12" s="34"/>
      <c r="H12" s="33"/>
      <c r="I12" s="33"/>
      <c r="J12" s="33">
        <f>$C$32*('E Balans VL '!D8+'E Balans VL '!E8)/100/3.6*1000000</f>
        <v>0</v>
      </c>
      <c r="K12" s="33"/>
      <c r="L12" s="33"/>
      <c r="M12" s="33"/>
      <c r="N12" s="33">
        <f>$C$32*'E Balans VL '!Y8/100/3.6*1000000</f>
        <v>334.25593140806791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17000.956849999999</v>
      </c>
      <c r="C16" s="21">
        <f t="shared" ca="1" si="1"/>
        <v>0</v>
      </c>
      <c r="D16" s="21">
        <f t="shared" ca="1" si="1"/>
        <v>14869.464636436995</v>
      </c>
      <c r="E16" s="21">
        <f t="shared" si="1"/>
        <v>182.04041805648404</v>
      </c>
      <c r="F16" s="21">
        <f t="shared" ca="1" si="1"/>
        <v>2424.9952384937401</v>
      </c>
      <c r="G16" s="21">
        <f t="shared" si="1"/>
        <v>0</v>
      </c>
      <c r="H16" s="21">
        <f t="shared" si="1"/>
        <v>0</v>
      </c>
      <c r="I16" s="21">
        <f t="shared" si="1"/>
        <v>0</v>
      </c>
      <c r="J16" s="21">
        <f t="shared" si="1"/>
        <v>0</v>
      </c>
      <c r="K16" s="21">
        <f t="shared" si="1"/>
        <v>0</v>
      </c>
      <c r="L16" s="21">
        <f t="shared" ca="1" si="1"/>
        <v>0</v>
      </c>
      <c r="M16" s="21">
        <f t="shared" si="1"/>
        <v>0</v>
      </c>
      <c r="N16" s="21">
        <f t="shared" ca="1" si="1"/>
        <v>920.85355791540087</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0.21611512175746544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3674.1638596311659</v>
      </c>
      <c r="C20" s="23">
        <f t="shared" ref="C20:P20" ca="1" si="2">C16*C18</f>
        <v>0</v>
      </c>
      <c r="D20" s="23">
        <f t="shared" ca="1" si="2"/>
        <v>3003.6318565602733</v>
      </c>
      <c r="E20" s="23">
        <f t="shared" si="2"/>
        <v>41.323174898821883</v>
      </c>
      <c r="F20" s="23">
        <f t="shared" ca="1" si="2"/>
        <v>647.4737286778286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5784.1360000000004</v>
      </c>
      <c r="C26" s="39">
        <f>IF(ISERROR(B26*3.6/1000000/'E Balans VL '!Z12*100),0,B26*3.6/1000000/'E Balans VL '!Z12*100)</f>
        <v>0.12705523437084684</v>
      </c>
      <c r="D26" s="237" t="s">
        <v>692</v>
      </c>
      <c r="F26" s="6"/>
    </row>
    <row r="27" spans="1:18">
      <c r="A27" s="231" t="s">
        <v>53</v>
      </c>
      <c r="B27" s="33">
        <f>IF(ISERROR(TER_horeca_ele_kWh/1000),0,TER_horeca_ele_kWh/1000)</f>
        <v>2064.8629999999998</v>
      </c>
      <c r="C27" s="39">
        <f>IF(ISERROR(B27*3.6/1000000/'E Balans VL '!Z9*100),0,B27*3.6/1000000/'E Balans VL '!Z9*100)</f>
        <v>0.16593232484748902</v>
      </c>
      <c r="D27" s="237" t="s">
        <v>692</v>
      </c>
      <c r="F27" s="6"/>
    </row>
    <row r="28" spans="1:18">
      <c r="A28" s="171" t="s">
        <v>52</v>
      </c>
      <c r="B28" s="33">
        <f>IF(ISERROR(TER_handel_ele_kWh/1000),0,TER_handel_ele_kWh/1000)</f>
        <v>3738.3850000000002</v>
      </c>
      <c r="C28" s="39">
        <f>IF(ISERROR(B28*3.6/1000000/'E Balans VL '!Z13*100),0,B28*3.6/1000000/'E Balans VL '!Z13*100)</f>
        <v>0.11054143275940247</v>
      </c>
      <c r="D28" s="237" t="s">
        <v>692</v>
      </c>
      <c r="F28" s="6"/>
    </row>
    <row r="29" spans="1:18">
      <c r="A29" s="231" t="s">
        <v>51</v>
      </c>
      <c r="B29" s="33">
        <f>IF(ISERROR(TER_gezond_ele_kWh/1000),0,TER_gezond_ele_kWh/1000)</f>
        <v>708.65390000000002</v>
      </c>
      <c r="C29" s="39">
        <f>IF(ISERROR(B29*3.6/1000000/'E Balans VL '!Z10*100),0,B29*3.6/1000000/'E Balans VL '!Z10*100)</f>
        <v>7.9846998699083571E-2</v>
      </c>
      <c r="D29" s="237" t="s">
        <v>692</v>
      </c>
      <c r="F29" s="6"/>
    </row>
    <row r="30" spans="1:18">
      <c r="A30" s="231" t="s">
        <v>50</v>
      </c>
      <c r="B30" s="33">
        <f>IF(ISERROR(TER_ander_ele_kWh/1000),0,TER_ander_ele_kWh/1000)</f>
        <v>698.50890000000004</v>
      </c>
      <c r="C30" s="39">
        <f>IF(ISERROR(B30*3.6/1000000/'E Balans VL '!Z14*100),0,B30*3.6/1000000/'E Balans VL '!Z14*100)</f>
        <v>5.2827034059970635E-2</v>
      </c>
      <c r="D30" s="237" t="s">
        <v>692</v>
      </c>
      <c r="F30" s="6"/>
    </row>
    <row r="31" spans="1:18">
      <c r="A31" s="231" t="s">
        <v>55</v>
      </c>
      <c r="B31" s="33">
        <f>IF(ISERROR(TER_onderwijs_ele_kWh/1000),0,TER_onderwijs_ele_kWh/1000)</f>
        <v>87.203050000000005</v>
      </c>
      <c r="C31" s="39">
        <f>IF(ISERROR(B31*3.6/1000000/'E Balans VL '!Z11*100),0,B31*3.6/1000000/'E Balans VL '!Z11*100)</f>
        <v>1.8101328848099681E-2</v>
      </c>
      <c r="D31" s="237" t="s">
        <v>692</v>
      </c>
    </row>
    <row r="32" spans="1:18">
      <c r="A32" s="231" t="s">
        <v>260</v>
      </c>
      <c r="B32" s="33">
        <f>IF(ISERROR(TER_rest_ele_kWh/1000),0,TER_rest_ele_kWh/1000)</f>
        <v>3919.2069999999999</v>
      </c>
      <c r="C32" s="39">
        <f>IF(ISERROR(B32*3.6/1000000/'E Balans VL '!Z8*100),0,B32*3.6/1000000/'E Balans VL '!Z8*100)</f>
        <v>3.3017013383599927E-2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1998.2695300000003</v>
      </c>
      <c r="C5" s="17">
        <f>IF(ISERROR('Eigen informatie GS &amp; warmtenet'!B59),0,'Eigen informatie GS &amp; warmtenet'!B59)</f>
        <v>0</v>
      </c>
      <c r="D5" s="30">
        <f>SUM(D6:D15)</f>
        <v>1443.5345321611662</v>
      </c>
      <c r="E5" s="17">
        <f>SUM(E6:E15)</f>
        <v>258.6906704362309</v>
      </c>
      <c r="F5" s="17">
        <f>SUM(F6:F15)</f>
        <v>1629.4421827894437</v>
      </c>
      <c r="G5" s="18"/>
      <c r="H5" s="17"/>
      <c r="I5" s="17"/>
      <c r="J5" s="17">
        <f>SUM(J6:J15)</f>
        <v>13.214816643117787</v>
      </c>
      <c r="K5" s="17"/>
      <c r="L5" s="17"/>
      <c r="M5" s="17"/>
      <c r="N5" s="17">
        <f>SUM(N6:N15)</f>
        <v>635.08256266609146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814.26619999999991</v>
      </c>
      <c r="C9" s="33"/>
      <c r="D9" s="37">
        <f>IF( ISERROR(IND_andere_gas_kWh/1000),0,IND_andere_gas_kWh/1000)*0.902</f>
        <v>556.96241402785756</v>
      </c>
      <c r="E9" s="33">
        <f>C31*'E Balans VL '!I19/100/3.6*1000000</f>
        <v>223.88980782653852</v>
      </c>
      <c r="F9" s="33">
        <f>C31*'E Balans VL '!L19/100/3.6*1000000+C31*'E Balans VL '!N19/100/3.6*1000000</f>
        <v>641.78345809203165</v>
      </c>
      <c r="G9" s="34"/>
      <c r="H9" s="33"/>
      <c r="I9" s="33"/>
      <c r="J9" s="40">
        <f>C31*'E Balans VL '!D19/100/3.6*1000000+C31*'E Balans VL '!E19/100/3.6*1000000</f>
        <v>0</v>
      </c>
      <c r="K9" s="33"/>
      <c r="L9" s="33"/>
      <c r="M9" s="33"/>
      <c r="N9" s="33">
        <f>C31*'E Balans VL '!Y19/100/3.6*1000000</f>
        <v>263.59946197105444</v>
      </c>
      <c r="O9" s="33"/>
      <c r="P9" s="33"/>
      <c r="R9" s="32"/>
    </row>
    <row r="10" spans="1:18">
      <c r="A10" s="6" t="s">
        <v>41</v>
      </c>
      <c r="B10" s="37">
        <f t="shared" si="0"/>
        <v>449.25900000000001</v>
      </c>
      <c r="C10" s="33"/>
      <c r="D10" s="37">
        <f>IF( ISERROR(IND_voed_gas_kWh/1000),0,IND_voed_gas_kWh/1000)*0.902</f>
        <v>0</v>
      </c>
      <c r="E10" s="33">
        <f>C32*'E Balans VL '!I20/100/3.6*1000000</f>
        <v>4.5799480068046696</v>
      </c>
      <c r="F10" s="33">
        <f>C32*'E Balans VL '!L20/100/3.6*1000000+C32*'E Balans VL '!N20/100/3.6*1000000</f>
        <v>848.6474411561918</v>
      </c>
      <c r="G10" s="34"/>
      <c r="H10" s="33"/>
      <c r="I10" s="33"/>
      <c r="J10" s="40">
        <f>C32*'E Balans VL '!D20/100/3.6*1000000+C32*'E Balans VL '!E20/100/3.6*1000000</f>
        <v>10.752237852103192</v>
      </c>
      <c r="K10" s="33"/>
      <c r="L10" s="33"/>
      <c r="M10" s="33"/>
      <c r="N10" s="33">
        <f>C32*'E Balans VL '!Y20/100/3.6*1000000</f>
        <v>236.81124129124001</v>
      </c>
      <c r="O10" s="33"/>
      <c r="P10" s="33"/>
      <c r="R10" s="32"/>
    </row>
    <row r="11" spans="1:18">
      <c r="A11" s="6" t="s">
        <v>40</v>
      </c>
      <c r="B11" s="37">
        <f t="shared" si="0"/>
        <v>92.06156</v>
      </c>
      <c r="C11" s="33"/>
      <c r="D11" s="37">
        <f>IF( ISERROR(IND_textiel_gas_kWh/1000),0,IND_textiel_gas_kWh/1000)*0.902</f>
        <v>0</v>
      </c>
      <c r="E11" s="33">
        <f>C33*'E Balans VL '!I21/100/3.6*1000000</f>
        <v>0.24400817212645382</v>
      </c>
      <c r="F11" s="33">
        <f>C33*'E Balans VL '!L21/100/3.6*1000000+C33*'E Balans VL '!N21/100/3.6*1000000</f>
        <v>4.1115642381706872</v>
      </c>
      <c r="G11" s="34"/>
      <c r="H11" s="33"/>
      <c r="I11" s="33"/>
      <c r="J11" s="40">
        <f>C33*'E Balans VL '!D21/100/3.6*1000000+C33*'E Balans VL '!E21/100/3.6*1000000</f>
        <v>0</v>
      </c>
      <c r="K11" s="33"/>
      <c r="L11" s="33"/>
      <c r="M11" s="33"/>
      <c r="N11" s="33">
        <f>C33*'E Balans VL '!Y21/100/3.6*1000000</f>
        <v>0.86761439352013847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55.70187</v>
      </c>
      <c r="C13" s="33"/>
      <c r="D13" s="37">
        <f>IF( ISERROR(IND_papier_gas_kWh/1000),0,IND_papier_gas_kWh/1000)*0.902</f>
        <v>0</v>
      </c>
      <c r="E13" s="33">
        <f>C35*'E Balans VL '!I23/100/3.6*1000000</f>
        <v>0.11536233255569092</v>
      </c>
      <c r="F13" s="33">
        <f>C35*'E Balans VL '!L23/100/3.6*1000000+C35*'E Balans VL '!N23/100/3.6*1000000</f>
        <v>1.1046874974180572</v>
      </c>
      <c r="G13" s="34"/>
      <c r="H13" s="33"/>
      <c r="I13" s="33"/>
      <c r="J13" s="40">
        <f>C35*'E Balans VL '!D23/100/3.6*1000000+C35*'E Balans VL '!E23/100/3.6*1000000</f>
        <v>0</v>
      </c>
      <c r="K13" s="33"/>
      <c r="L13" s="33"/>
      <c r="M13" s="33"/>
      <c r="N13" s="33">
        <f>C35*'E Balans VL '!Y23/100/3.6*1000000</f>
        <v>23.519995894574784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586.98090000000002</v>
      </c>
      <c r="C15" s="33"/>
      <c r="D15" s="37">
        <f>IF( ISERROR(IND_rest_gas_kWh/1000),0,IND_rest_gas_kWh/1000)*0.902</f>
        <v>886.57211813330866</v>
      </c>
      <c r="E15" s="33">
        <f>C37*'E Balans VL '!I15/100/3.6*1000000</f>
        <v>29.86154409820557</v>
      </c>
      <c r="F15" s="33">
        <f>C37*'E Balans VL '!L15/100/3.6*1000000+C37*'E Balans VL '!N15/100/3.6*1000000</f>
        <v>133.79503180563145</v>
      </c>
      <c r="G15" s="34"/>
      <c r="H15" s="33"/>
      <c r="I15" s="33"/>
      <c r="J15" s="40">
        <f>C37*'E Balans VL '!D15/100/3.6*1000000+C37*'E Balans VL '!E15/100/3.6*1000000</f>
        <v>2.4625787910145944</v>
      </c>
      <c r="K15" s="33"/>
      <c r="L15" s="33"/>
      <c r="M15" s="33"/>
      <c r="N15" s="33">
        <f>C37*'E Balans VL '!Y15/100/3.6*1000000</f>
        <v>110.28424911570211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1998.2695300000003</v>
      </c>
      <c r="C18" s="21">
        <f>C5+C16</f>
        <v>0</v>
      </c>
      <c r="D18" s="21">
        <f>MAX((D5+D16),0)</f>
        <v>1443.5345321611662</v>
      </c>
      <c r="E18" s="21">
        <f>MAX((E5+E16),0)</f>
        <v>258.6906704362309</v>
      </c>
      <c r="F18" s="21">
        <f>MAX((F5+F16),0)</f>
        <v>1629.4421827894437</v>
      </c>
      <c r="G18" s="21"/>
      <c r="H18" s="21"/>
      <c r="I18" s="21"/>
      <c r="J18" s="21">
        <f>MAX((J5+J16),0)</f>
        <v>13.214816643117787</v>
      </c>
      <c r="K18" s="21"/>
      <c r="L18" s="21">
        <f>MAX((L5+L16),0)</f>
        <v>0</v>
      </c>
      <c r="M18" s="21"/>
      <c r="N18" s="21">
        <f>MAX((N5+N16),0)</f>
        <v>635.08256266609146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0.21611512175746544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431.85626278018333</v>
      </c>
      <c r="C22" s="23">
        <f ca="1">C18*C20</f>
        <v>0</v>
      </c>
      <c r="D22" s="23">
        <f>D18*D20</f>
        <v>291.59397549655557</v>
      </c>
      <c r="E22" s="23">
        <f>E18*E20</f>
        <v>58.722782189024414</v>
      </c>
      <c r="F22" s="23">
        <f>F18*F20</f>
        <v>435.0610628047815</v>
      </c>
      <c r="G22" s="23"/>
      <c r="H22" s="23"/>
      <c r="I22" s="23"/>
      <c r="J22" s="23">
        <f>J18*J20</f>
        <v>4.6780450916636962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814.26619999999991</v>
      </c>
      <c r="C31" s="39">
        <f>IF(ISERROR(B31*3.6/1000000/'E Balans VL '!Z19*100),0,B31*3.6/1000000/'E Balans VL '!Z19*100)</f>
        <v>3.5640299481255362E-2</v>
      </c>
      <c r="D31" s="237" t="s">
        <v>692</v>
      </c>
    </row>
    <row r="32" spans="1:18">
      <c r="A32" s="171" t="s">
        <v>41</v>
      </c>
      <c r="B32" s="37">
        <f>IF( ISERROR(IND_voed_ele_kWh/1000),0,IND_voed_ele_kWh/1000)</f>
        <v>449.25900000000001</v>
      </c>
      <c r="C32" s="39">
        <f>IF(ISERROR(B32*3.6/1000000/'E Balans VL '!Z20*100),0,B32*3.6/1000000/'E Balans VL '!Z20*100)</f>
        <v>0.11122160924450451</v>
      </c>
      <c r="D32" s="237" t="s">
        <v>692</v>
      </c>
    </row>
    <row r="33" spans="1:5">
      <c r="A33" s="171" t="s">
        <v>40</v>
      </c>
      <c r="B33" s="37">
        <f>IF( ISERROR(IND_textiel_ele_kWh/1000),0,IND_textiel_ele_kWh/1000)</f>
        <v>92.06156</v>
      </c>
      <c r="C33" s="39">
        <f>IF(ISERROR(B33*3.6/1000000/'E Balans VL '!Z21*100),0,B33*3.6/1000000/'E Balans VL '!Z21*100)</f>
        <v>1.0373716132680033E-2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55.70187</v>
      </c>
      <c r="C35" s="39">
        <f>IF(ISERROR(B35*3.6/1000000/'E Balans VL '!Z22*100),0,B35*3.6/1000000/'E Balans VL '!Z22*100)</f>
        <v>1.5805918191839033E-3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586.98090000000002</v>
      </c>
      <c r="C37" s="39">
        <f>IF(ISERROR(B37*3.6/1000000/'E Balans VL '!Z15*100),0,B37*3.6/1000000/'E Balans VL '!Z15*100)</f>
        <v>4.3523628781173126E-3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351.42696999999998</v>
      </c>
      <c r="C5" s="17">
        <f>'Eigen informatie GS &amp; warmtenet'!B60</f>
        <v>0</v>
      </c>
      <c r="D5" s="30">
        <f>IF(ISERROR(SUM(LB_lb_gas_kWh,LB_rest_gas_kWh)/1000),0,SUM(LB_lb_gas_kWh,LB_rest_gas_kWh)/1000)*0.902</f>
        <v>17.788100890097954</v>
      </c>
      <c r="E5" s="17">
        <f>B17*'E Balans VL '!I25/3.6*1000000/100</f>
        <v>3.2550637872851294</v>
      </c>
      <c r="F5" s="17">
        <f>B17*('E Balans VL '!L25/3.6*1000000+'E Balans VL '!N25/3.6*1000000)/100</f>
        <v>891.63716965908282</v>
      </c>
      <c r="G5" s="18"/>
      <c r="H5" s="17"/>
      <c r="I5" s="17"/>
      <c r="J5" s="17">
        <f>('E Balans VL '!D25+'E Balans VL '!E25)/3.6*1000000*landbouw!B17/100</f>
        <v>53.877676437431745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351.42696999999998</v>
      </c>
      <c r="C8" s="21">
        <f>C5+C6</f>
        <v>0</v>
      </c>
      <c r="D8" s="21">
        <f>MAX((D5+D6),0)</f>
        <v>17.788100890097954</v>
      </c>
      <c r="E8" s="21">
        <f>MAX((E5+E6),0)</f>
        <v>3.2550637872851294</v>
      </c>
      <c r="F8" s="21">
        <f>MAX((F5+F6),0)</f>
        <v>891.63716965908282</v>
      </c>
      <c r="G8" s="21"/>
      <c r="H8" s="21"/>
      <c r="I8" s="21"/>
      <c r="J8" s="21">
        <f>MAX((J5+J6),0)</f>
        <v>53.877676437431745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0.21611512175746544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75.948682410407159</v>
      </c>
      <c r="C12" s="23">
        <f ca="1">C8*C10</f>
        <v>0</v>
      </c>
      <c r="D12" s="23">
        <f>D8*D10</f>
        <v>3.593196379799787</v>
      </c>
      <c r="E12" s="23">
        <f>E8*E10</f>
        <v>0.73889947971372438</v>
      </c>
      <c r="F12" s="23">
        <f>F8*F10</f>
        <v>238.06712429897513</v>
      </c>
      <c r="G12" s="23"/>
      <c r="H12" s="23"/>
      <c r="I12" s="23"/>
      <c r="J12" s="23">
        <f>J8*J10</f>
        <v>19.072697458850836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4.996546359424428E-2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5.8620027310512866</v>
      </c>
      <c r="C26" s="247">
        <f>B26*'GWP N2O_CH4'!B5</f>
        <v>123.10205735207701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0.53149167932866126</v>
      </c>
      <c r="C27" s="247">
        <f>B27*'GWP N2O_CH4'!B5</f>
        <v>11.161325265901887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8.0225597726938699E-2</v>
      </c>
      <c r="C28" s="247">
        <f>B28*'GWP N2O_CH4'!B4</f>
        <v>24.869935295350995</v>
      </c>
      <c r="D28" s="50"/>
    </row>
    <row r="29" spans="1:4">
      <c r="A29" s="41" t="s">
        <v>277</v>
      </c>
      <c r="B29" s="247">
        <f>B34*'ha_N2O bodem landbouw'!B4</f>
        <v>2.5552378389695001</v>
      </c>
      <c r="C29" s="247">
        <f>B29*'GWP N2O_CH4'!B4</f>
        <v>792.12373008054499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5.7309483086278982E-4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2.3303668279539393E-5</v>
      </c>
      <c r="C5" s="464" t="s">
        <v>211</v>
      </c>
      <c r="D5" s="449">
        <f>SUM(D6:D11)</f>
        <v>6.132524740708279E-5</v>
      </c>
      <c r="E5" s="449">
        <f>SUM(E6:E11)</f>
        <v>3.907401150745445E-4</v>
      </c>
      <c r="F5" s="462" t="s">
        <v>211</v>
      </c>
      <c r="G5" s="449">
        <f>SUM(G6:G11)</f>
        <v>0.12587230969155069</v>
      </c>
      <c r="H5" s="449">
        <f>SUM(H6:H11)</f>
        <v>2.3183438787769382E-2</v>
      </c>
      <c r="I5" s="464" t="s">
        <v>211</v>
      </c>
      <c r="J5" s="464" t="s">
        <v>211</v>
      </c>
      <c r="K5" s="464" t="s">
        <v>211</v>
      </c>
      <c r="L5" s="464" t="s">
        <v>211</v>
      </c>
      <c r="M5" s="449">
        <f>SUM(M6:M11)</f>
        <v>7.9948115247282531E-3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1.9129958488235334E-5</v>
      </c>
      <c r="C6" s="450"/>
      <c r="D6" s="893">
        <f>vkm_2011_GW_PW*SUMIFS(TableVerdeelsleutelVkm[CNG],TableVerdeelsleutelVkm[Voertuigtype],"Lichte voertuigen")*SUMIFS(TableECFTransport[EnergieConsumptieFactor (PJ per km)],TableECFTransport[Index],CONCATENATE($A6,"_CNG_CNG"))</f>
        <v>4.4249700104472465E-5</v>
      </c>
      <c r="E6" s="893">
        <f>vkm_2011_GW_PW*SUMIFS(TableVerdeelsleutelVkm[LPG],TableVerdeelsleutelVkm[Voertuigtype],"Lichte voertuigen")*SUMIFS(TableECFTransport[EnergieConsumptieFactor (PJ per km)],TableECFTransport[Index],CONCATENATE($A6,"_LPG_LPG"))</f>
        <v>2.8812732543492326E-4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5.985632021538282E-2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1.6872259700901896E-2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3.9818155419295209E-3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3.9951780444385271E-2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1.3662783353848733E-5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2.3114369556761672E-3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4.1737097913040603E-6</v>
      </c>
      <c r="C8" s="450"/>
      <c r="D8" s="452">
        <f>vkm_2011_NGW_PW*SUMIFS(TableVerdeelsleutelVkm[CNG],TableVerdeelsleutelVkm[Voertuigtype],"Lichte voertuigen")*SUMIFS(TableECFTransport[EnergieConsumptieFactor (PJ per km)],TableECFTransport[Index],CONCATENATE($A8,"_CNG_CNG"))</f>
        <v>1.7075547302610325E-5</v>
      </c>
      <c r="E8" s="452">
        <f>vkm_2011_NGW_PW*SUMIFS(TableVerdeelsleutelVkm[LPG],TableVerdeelsleutelVkm[Voertuigtype],"Lichte voertuigen")*SUMIFS(TableECFTransport[EnergieConsumptieFactor (PJ per km)],TableECFTransport[Index],CONCATENATE($A8,"_LPG_LPG"))</f>
        <v>1.0261278963962123E-4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1.992725300320547E-2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6.2955304560302541E-3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1.3465048100743226E-3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6.1369560285771266E-3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1.985847483381613E-6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3.5505421704824151E-4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6.4732411887609427</v>
      </c>
      <c r="C14" s="21"/>
      <c r="D14" s="21">
        <f t="shared" ref="D14:M14" si="0">((D5)*10^9/3600)+D12</f>
        <v>17.034790946411885</v>
      </c>
      <c r="E14" s="21">
        <f t="shared" si="0"/>
        <v>108.53892085404014</v>
      </c>
      <c r="F14" s="21"/>
      <c r="G14" s="21">
        <f t="shared" si="0"/>
        <v>34964.530469875193</v>
      </c>
      <c r="H14" s="21">
        <f t="shared" si="0"/>
        <v>6439.8441077137168</v>
      </c>
      <c r="I14" s="21"/>
      <c r="J14" s="21"/>
      <c r="K14" s="21"/>
      <c r="L14" s="21"/>
      <c r="M14" s="21">
        <f t="shared" si="0"/>
        <v>2220.7809790911815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0.21611512175746544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1.3989653076745114</v>
      </c>
      <c r="C18" s="23"/>
      <c r="D18" s="23">
        <f t="shared" ref="D18:M18" si="1">D14*D16</f>
        <v>3.4410277711752011</v>
      </c>
      <c r="E18" s="23">
        <f t="shared" si="1"/>
        <v>24.638335033867111</v>
      </c>
      <c r="F18" s="23"/>
      <c r="G18" s="23">
        <f t="shared" si="1"/>
        <v>9335.5296354566763</v>
      </c>
      <c r="H18" s="23">
        <f t="shared" si="1"/>
        <v>1603.5211828207155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2.2453793805655049E-3</v>
      </c>
      <c r="H50" s="321">
        <f t="shared" si="2"/>
        <v>0</v>
      </c>
      <c r="I50" s="321">
        <f t="shared" si="2"/>
        <v>0</v>
      </c>
      <c r="J50" s="321">
        <f t="shared" si="2"/>
        <v>0</v>
      </c>
      <c r="K50" s="321">
        <f t="shared" si="2"/>
        <v>0</v>
      </c>
      <c r="L50" s="321">
        <f t="shared" si="2"/>
        <v>0</v>
      </c>
      <c r="M50" s="321">
        <f t="shared" si="2"/>
        <v>1.2804744043916287E-4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2.2453793805655049E-3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1.2804744043916287E-4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623.71649460152912</v>
      </c>
      <c r="H54" s="21">
        <f t="shared" si="3"/>
        <v>0</v>
      </c>
      <c r="I54" s="21">
        <f t="shared" si="3"/>
        <v>0</v>
      </c>
      <c r="J54" s="21">
        <f t="shared" si="3"/>
        <v>0</v>
      </c>
      <c r="K54" s="21">
        <f t="shared" si="3"/>
        <v>0</v>
      </c>
      <c r="L54" s="21">
        <f t="shared" si="3"/>
        <v>0</v>
      </c>
      <c r="M54" s="21">
        <f t="shared" si="3"/>
        <v>35.56873345532302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0.21611512175746544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166.53230405860828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17586.918849999998</v>
      </c>
      <c r="D10" s="1025">
        <f ca="1">tertiair!C16</f>
        <v>0</v>
      </c>
      <c r="E10" s="1025">
        <f ca="1">tertiair!D16</f>
        <v>14869.464636436995</v>
      </c>
      <c r="F10" s="1025">
        <f>tertiair!E16</f>
        <v>182.04041805648404</v>
      </c>
      <c r="G10" s="1025">
        <f ca="1">tertiair!F16</f>
        <v>2424.9952384937401</v>
      </c>
      <c r="H10" s="1025">
        <f>tertiair!G16</f>
        <v>0</v>
      </c>
      <c r="I10" s="1025">
        <f>tertiair!H16</f>
        <v>0</v>
      </c>
      <c r="J10" s="1025">
        <f>tertiair!I16</f>
        <v>0</v>
      </c>
      <c r="K10" s="1025">
        <f>tertiair!J16</f>
        <v>0</v>
      </c>
      <c r="L10" s="1025">
        <f>tertiair!K16</f>
        <v>0</v>
      </c>
      <c r="M10" s="1025">
        <f ca="1">tertiair!L16</f>
        <v>0</v>
      </c>
      <c r="N10" s="1025">
        <f>tertiair!M16</f>
        <v>0</v>
      </c>
      <c r="O10" s="1025">
        <f ca="1">tertiair!N16</f>
        <v>920.85355791540087</v>
      </c>
      <c r="P10" s="1025">
        <f>tertiair!O16</f>
        <v>1.5633333333333335</v>
      </c>
      <c r="Q10" s="1026">
        <f>tertiair!P16</f>
        <v>38.133333333333333</v>
      </c>
      <c r="R10" s="701">
        <f ca="1">SUM(C10:Q10)</f>
        <v>36023.969367569276</v>
      </c>
      <c r="S10" s="67"/>
    </row>
    <row r="11" spans="1:19" s="474" customFormat="1">
      <c r="A11" s="810" t="s">
        <v>225</v>
      </c>
      <c r="B11" s="815"/>
      <c r="C11" s="1025">
        <f>huishoudens!B8</f>
        <v>21353.110451321154</v>
      </c>
      <c r="D11" s="1025">
        <f>huishoudens!C8</f>
        <v>0</v>
      </c>
      <c r="E11" s="1025">
        <f>huishoudens!D8</f>
        <v>22383.519307304552</v>
      </c>
      <c r="F11" s="1025">
        <f>huishoudens!E8</f>
        <v>1111.6181284299539</v>
      </c>
      <c r="G11" s="1025">
        <f>huishoudens!F8</f>
        <v>34559.084625491363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1264.6637260102968</v>
      </c>
      <c r="P11" s="1025">
        <f>huishoudens!O8</f>
        <v>92.236666666666679</v>
      </c>
      <c r="Q11" s="1026">
        <f>huishoudens!P8</f>
        <v>1105.8666666666668</v>
      </c>
      <c r="R11" s="701">
        <f>SUM(C11:Q11)</f>
        <v>81870.099571890663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1998.2695300000003</v>
      </c>
      <c r="D13" s="1025">
        <f>industrie!C18</f>
        <v>0</v>
      </c>
      <c r="E13" s="1025">
        <f>industrie!D18</f>
        <v>1443.5345321611662</v>
      </c>
      <c r="F13" s="1025">
        <f>industrie!E18</f>
        <v>258.6906704362309</v>
      </c>
      <c r="G13" s="1025">
        <f>industrie!F18</f>
        <v>1629.4421827894437</v>
      </c>
      <c r="H13" s="1025">
        <f>industrie!G18</f>
        <v>0</v>
      </c>
      <c r="I13" s="1025">
        <f>industrie!H18</f>
        <v>0</v>
      </c>
      <c r="J13" s="1025">
        <f>industrie!I18</f>
        <v>0</v>
      </c>
      <c r="K13" s="1025">
        <f>industrie!J18</f>
        <v>13.214816643117787</v>
      </c>
      <c r="L13" s="1025">
        <f>industrie!K18</f>
        <v>0</v>
      </c>
      <c r="M13" s="1025">
        <f>industrie!L18</f>
        <v>0</v>
      </c>
      <c r="N13" s="1025">
        <f>industrie!M18</f>
        <v>0</v>
      </c>
      <c r="O13" s="1025">
        <f>industrie!N18</f>
        <v>635.08256266609146</v>
      </c>
      <c r="P13" s="1025">
        <f>industrie!O18</f>
        <v>0</v>
      </c>
      <c r="Q13" s="1026">
        <f>industrie!P18</f>
        <v>0</v>
      </c>
      <c r="R13" s="701">
        <f>SUM(C13:Q13)</f>
        <v>5978.2342946960507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40938.298831321146</v>
      </c>
      <c r="D16" s="733">
        <f t="shared" ref="D16:R16" ca="1" si="0">SUM(D9:D15)</f>
        <v>0</v>
      </c>
      <c r="E16" s="733">
        <f t="shared" ca="1" si="0"/>
        <v>38696.518475902718</v>
      </c>
      <c r="F16" s="733">
        <f t="shared" si="0"/>
        <v>1552.3492169226688</v>
      </c>
      <c r="G16" s="733">
        <f t="shared" ca="1" si="0"/>
        <v>38613.522046774546</v>
      </c>
      <c r="H16" s="733">
        <f t="shared" si="0"/>
        <v>0</v>
      </c>
      <c r="I16" s="733">
        <f t="shared" si="0"/>
        <v>0</v>
      </c>
      <c r="J16" s="733">
        <f t="shared" si="0"/>
        <v>0</v>
      </c>
      <c r="K16" s="733">
        <f t="shared" si="0"/>
        <v>13.214816643117787</v>
      </c>
      <c r="L16" s="733">
        <f t="shared" si="0"/>
        <v>0</v>
      </c>
      <c r="M16" s="733">
        <f t="shared" ca="1" si="0"/>
        <v>0</v>
      </c>
      <c r="N16" s="733">
        <f t="shared" si="0"/>
        <v>0</v>
      </c>
      <c r="O16" s="733">
        <f t="shared" ca="1" si="0"/>
        <v>2820.5998465917892</v>
      </c>
      <c r="P16" s="733">
        <f t="shared" si="0"/>
        <v>93.800000000000011</v>
      </c>
      <c r="Q16" s="733">
        <f t="shared" si="0"/>
        <v>1144.0000000000002</v>
      </c>
      <c r="R16" s="733">
        <f t="shared" ca="1" si="0"/>
        <v>123872.303234156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623.71649460152912</v>
      </c>
      <c r="I19" s="1025">
        <f>transport!H54</f>
        <v>0</v>
      </c>
      <c r="J19" s="1025">
        <f>transport!I54</f>
        <v>0</v>
      </c>
      <c r="K19" s="1025">
        <f>transport!J54</f>
        <v>0</v>
      </c>
      <c r="L19" s="1025">
        <f>transport!K54</f>
        <v>0</v>
      </c>
      <c r="M19" s="1025">
        <f>transport!L54</f>
        <v>0</v>
      </c>
      <c r="N19" s="1025">
        <f>transport!M54</f>
        <v>35.56873345532302</v>
      </c>
      <c r="O19" s="1025">
        <f>transport!N54</f>
        <v>0</v>
      </c>
      <c r="P19" s="1025">
        <f>transport!O54</f>
        <v>0</v>
      </c>
      <c r="Q19" s="1026">
        <f>transport!P54</f>
        <v>0</v>
      </c>
      <c r="R19" s="701">
        <f>SUM(C19:Q19)</f>
        <v>659.28522805685213</v>
      </c>
      <c r="S19" s="67"/>
    </row>
    <row r="20" spans="1:19" s="474" customFormat="1">
      <c r="A20" s="810" t="s">
        <v>307</v>
      </c>
      <c r="B20" s="815"/>
      <c r="C20" s="1025">
        <f>transport!B14</f>
        <v>6.4732411887609427</v>
      </c>
      <c r="D20" s="1025">
        <f>transport!C14</f>
        <v>0</v>
      </c>
      <c r="E20" s="1025">
        <f>transport!D14</f>
        <v>17.034790946411885</v>
      </c>
      <c r="F20" s="1025">
        <f>transport!E14</f>
        <v>108.53892085404014</v>
      </c>
      <c r="G20" s="1025">
        <f>transport!F14</f>
        <v>0</v>
      </c>
      <c r="H20" s="1025">
        <f>transport!G14</f>
        <v>34964.530469875193</v>
      </c>
      <c r="I20" s="1025">
        <f>transport!H14</f>
        <v>6439.8441077137168</v>
      </c>
      <c r="J20" s="1025">
        <f>transport!I14</f>
        <v>0</v>
      </c>
      <c r="K20" s="1025">
        <f>transport!J14</f>
        <v>0</v>
      </c>
      <c r="L20" s="1025">
        <f>transport!K14</f>
        <v>0</v>
      </c>
      <c r="M20" s="1025">
        <f>transport!L14</f>
        <v>0</v>
      </c>
      <c r="N20" s="1025">
        <f>transport!M14</f>
        <v>2220.7809790911815</v>
      </c>
      <c r="O20" s="1025">
        <f>transport!N14</f>
        <v>0</v>
      </c>
      <c r="P20" s="1025">
        <f>transport!O14</f>
        <v>0</v>
      </c>
      <c r="Q20" s="1026">
        <f>transport!P14</f>
        <v>0</v>
      </c>
      <c r="R20" s="701">
        <f>SUM(C20:Q20)</f>
        <v>43757.202509669311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6.4732411887609427</v>
      </c>
      <c r="D22" s="813">
        <f t="shared" ref="D22:R22" si="1">SUM(D18:D21)</f>
        <v>0</v>
      </c>
      <c r="E22" s="813">
        <f t="shared" si="1"/>
        <v>17.034790946411885</v>
      </c>
      <c r="F22" s="813">
        <f t="shared" si="1"/>
        <v>108.53892085404014</v>
      </c>
      <c r="G22" s="813">
        <f t="shared" si="1"/>
        <v>0</v>
      </c>
      <c r="H22" s="813">
        <f t="shared" si="1"/>
        <v>35588.246964476726</v>
      </c>
      <c r="I22" s="813">
        <f t="shared" si="1"/>
        <v>6439.8441077137168</v>
      </c>
      <c r="J22" s="813">
        <f t="shared" si="1"/>
        <v>0</v>
      </c>
      <c r="K22" s="813">
        <f t="shared" si="1"/>
        <v>0</v>
      </c>
      <c r="L22" s="813">
        <f t="shared" si="1"/>
        <v>0</v>
      </c>
      <c r="M22" s="813">
        <f t="shared" si="1"/>
        <v>0</v>
      </c>
      <c r="N22" s="813">
        <f t="shared" si="1"/>
        <v>2256.3497125465046</v>
      </c>
      <c r="O22" s="813">
        <f t="shared" si="1"/>
        <v>0</v>
      </c>
      <c r="P22" s="813">
        <f t="shared" si="1"/>
        <v>0</v>
      </c>
      <c r="Q22" s="813">
        <f t="shared" si="1"/>
        <v>0</v>
      </c>
      <c r="R22" s="813">
        <f t="shared" si="1"/>
        <v>44416.487737726166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351.42696999999998</v>
      </c>
      <c r="D24" s="1025">
        <f>+landbouw!C8</f>
        <v>0</v>
      </c>
      <c r="E24" s="1025">
        <f>+landbouw!D8</f>
        <v>17.788100890097954</v>
      </c>
      <c r="F24" s="1025">
        <f>+landbouw!E8</f>
        <v>3.2550637872851294</v>
      </c>
      <c r="G24" s="1025">
        <f>+landbouw!F8</f>
        <v>891.63716965908282</v>
      </c>
      <c r="H24" s="1025">
        <f>+landbouw!G8</f>
        <v>0</v>
      </c>
      <c r="I24" s="1025">
        <f>+landbouw!H8</f>
        <v>0</v>
      </c>
      <c r="J24" s="1025">
        <f>+landbouw!I8</f>
        <v>0</v>
      </c>
      <c r="K24" s="1025">
        <f>+landbouw!J8</f>
        <v>53.877676437431745</v>
      </c>
      <c r="L24" s="1025">
        <f>+landbouw!K8</f>
        <v>0</v>
      </c>
      <c r="M24" s="1025">
        <f>+landbouw!L8</f>
        <v>0</v>
      </c>
      <c r="N24" s="1025">
        <f>+landbouw!M8</f>
        <v>0</v>
      </c>
      <c r="O24" s="1025">
        <f>+landbouw!N8</f>
        <v>0</v>
      </c>
      <c r="P24" s="1025">
        <f>+landbouw!O8</f>
        <v>0</v>
      </c>
      <c r="Q24" s="1026">
        <f>+landbouw!P8</f>
        <v>0</v>
      </c>
      <c r="R24" s="701">
        <f>SUM(C24:Q24)</f>
        <v>1317.9849807738976</v>
      </c>
      <c r="S24" s="67"/>
    </row>
    <row r="25" spans="1:19" s="474" customFormat="1" ht="15" thickBot="1">
      <c r="A25" s="832" t="s">
        <v>864</v>
      </c>
      <c r="B25" s="1028"/>
      <c r="C25" s="1029">
        <f>IF(Onbekend_ele_kWh="---",0,Onbekend_ele_kWh)/1000+IF(REST_rest_ele_kWh="---",0,REST_rest_ele_kWh)/1000</f>
        <v>1083.2719999999999</v>
      </c>
      <c r="D25" s="1029"/>
      <c r="E25" s="1029">
        <f>IF(onbekend_gas_kWh="---",0,onbekend_gas_kWh)/1000+IF(REST_rest_gas_kWh="---",0,REST_rest_gas_kWh)/1000</f>
        <v>1596.7891172822799</v>
      </c>
      <c r="F25" s="1029"/>
      <c r="G25" s="1029"/>
      <c r="H25" s="1029"/>
      <c r="I25" s="1029"/>
      <c r="J25" s="1029"/>
      <c r="K25" s="1029"/>
      <c r="L25" s="1029"/>
      <c r="M25" s="1029"/>
      <c r="N25" s="1029"/>
      <c r="O25" s="1029"/>
      <c r="P25" s="1029"/>
      <c r="Q25" s="1030"/>
      <c r="R25" s="701">
        <f>SUM(C25:Q25)</f>
        <v>2680.0611172822801</v>
      </c>
      <c r="S25" s="67"/>
    </row>
    <row r="26" spans="1:19" s="474" customFormat="1" ht="15.75" thickBot="1">
      <c r="A26" s="706" t="s">
        <v>865</v>
      </c>
      <c r="B26" s="818"/>
      <c r="C26" s="813">
        <f>SUM(C24:C25)</f>
        <v>1434.6989699999999</v>
      </c>
      <c r="D26" s="813">
        <f t="shared" ref="D26:R26" si="2">SUM(D24:D25)</f>
        <v>0</v>
      </c>
      <c r="E26" s="813">
        <f t="shared" si="2"/>
        <v>1614.5772181723778</v>
      </c>
      <c r="F26" s="813">
        <f t="shared" si="2"/>
        <v>3.2550637872851294</v>
      </c>
      <c r="G26" s="813">
        <f t="shared" si="2"/>
        <v>891.63716965908282</v>
      </c>
      <c r="H26" s="813">
        <f t="shared" si="2"/>
        <v>0</v>
      </c>
      <c r="I26" s="813">
        <f t="shared" si="2"/>
        <v>0</v>
      </c>
      <c r="J26" s="813">
        <f t="shared" si="2"/>
        <v>0</v>
      </c>
      <c r="K26" s="813">
        <f t="shared" si="2"/>
        <v>53.877676437431745</v>
      </c>
      <c r="L26" s="813">
        <f t="shared" si="2"/>
        <v>0</v>
      </c>
      <c r="M26" s="813">
        <f t="shared" si="2"/>
        <v>0</v>
      </c>
      <c r="N26" s="813">
        <f t="shared" si="2"/>
        <v>0</v>
      </c>
      <c r="O26" s="813">
        <f t="shared" si="2"/>
        <v>0</v>
      </c>
      <c r="P26" s="813">
        <f t="shared" si="2"/>
        <v>0</v>
      </c>
      <c r="Q26" s="813">
        <f t="shared" si="2"/>
        <v>0</v>
      </c>
      <c r="R26" s="813">
        <f t="shared" si="2"/>
        <v>3998.0460980561775</v>
      </c>
      <c r="S26" s="67"/>
    </row>
    <row r="27" spans="1:19" s="474" customFormat="1" ht="17.25" thickTop="1" thickBot="1">
      <c r="A27" s="707" t="s">
        <v>116</v>
      </c>
      <c r="B27" s="806"/>
      <c r="C27" s="708">
        <f ca="1">C22+C16+C26</f>
        <v>42379.471042509904</v>
      </c>
      <c r="D27" s="708">
        <f t="shared" ref="D27:R27" ca="1" si="3">D22+D16+D26</f>
        <v>0</v>
      </c>
      <c r="E27" s="708">
        <f t="shared" ca="1" si="3"/>
        <v>40328.130485021509</v>
      </c>
      <c r="F27" s="708">
        <f t="shared" si="3"/>
        <v>1664.1432015639939</v>
      </c>
      <c r="G27" s="708">
        <f t="shared" ca="1" si="3"/>
        <v>39505.159216433625</v>
      </c>
      <c r="H27" s="708">
        <f t="shared" si="3"/>
        <v>35588.246964476726</v>
      </c>
      <c r="I27" s="708">
        <f t="shared" si="3"/>
        <v>6439.8441077137168</v>
      </c>
      <c r="J27" s="708">
        <f t="shared" si="3"/>
        <v>0</v>
      </c>
      <c r="K27" s="708">
        <f t="shared" si="3"/>
        <v>67.092493080549531</v>
      </c>
      <c r="L27" s="708">
        <f t="shared" si="3"/>
        <v>0</v>
      </c>
      <c r="M27" s="708">
        <f t="shared" ca="1" si="3"/>
        <v>0</v>
      </c>
      <c r="N27" s="708">
        <f t="shared" si="3"/>
        <v>2256.3497125465046</v>
      </c>
      <c r="O27" s="708">
        <f t="shared" ca="1" si="3"/>
        <v>2820.5998465917892</v>
      </c>
      <c r="P27" s="708">
        <f t="shared" si="3"/>
        <v>93.800000000000011</v>
      </c>
      <c r="Q27" s="708">
        <f t="shared" si="3"/>
        <v>1144.0000000000002</v>
      </c>
      <c r="R27" s="708">
        <f t="shared" ca="1" si="3"/>
        <v>172286.83706993837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3800.7991086064139</v>
      </c>
      <c r="D40" s="1025">
        <f ca="1">tertiair!C20</f>
        <v>0</v>
      </c>
      <c r="E40" s="1025">
        <f ca="1">tertiair!D20</f>
        <v>3003.6318565602733</v>
      </c>
      <c r="F40" s="1025">
        <f>tertiair!E20</f>
        <v>41.323174898821883</v>
      </c>
      <c r="G40" s="1025">
        <f ca="1">tertiair!F20</f>
        <v>647.4737286778286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7493.2278687433372</v>
      </c>
    </row>
    <row r="41" spans="1:18">
      <c r="A41" s="823" t="s">
        <v>225</v>
      </c>
      <c r="B41" s="830"/>
      <c r="C41" s="1025">
        <f ca="1">huishoudens!B12</f>
        <v>4614.7300650878788</v>
      </c>
      <c r="D41" s="1025">
        <f ca="1">huishoudens!C12</f>
        <v>0</v>
      </c>
      <c r="E41" s="1025">
        <f>huishoudens!D12</f>
        <v>4521.4709000755201</v>
      </c>
      <c r="F41" s="1025">
        <f>huishoudens!E12</f>
        <v>252.33731515359955</v>
      </c>
      <c r="G41" s="1025">
        <f>huishoudens!F12</f>
        <v>9227.2755950061946</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18615.813875323194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431.85626278018333</v>
      </c>
      <c r="D43" s="1025">
        <f ca="1">industrie!C22</f>
        <v>0</v>
      </c>
      <c r="E43" s="1025">
        <f>industrie!D22</f>
        <v>291.59397549655557</v>
      </c>
      <c r="F43" s="1025">
        <f>industrie!E22</f>
        <v>58.722782189024414</v>
      </c>
      <c r="G43" s="1025">
        <f>industrie!F22</f>
        <v>435.0610628047815</v>
      </c>
      <c r="H43" s="1025">
        <f>industrie!G22</f>
        <v>0</v>
      </c>
      <c r="I43" s="1025">
        <f>industrie!H22</f>
        <v>0</v>
      </c>
      <c r="J43" s="1025">
        <f>industrie!I22</f>
        <v>0</v>
      </c>
      <c r="K43" s="1025">
        <f>industrie!J22</f>
        <v>4.6780450916636962</v>
      </c>
      <c r="L43" s="1025">
        <f>industrie!K22</f>
        <v>0</v>
      </c>
      <c r="M43" s="1025">
        <f>industrie!L22</f>
        <v>0</v>
      </c>
      <c r="N43" s="1025">
        <f>industrie!M22</f>
        <v>0</v>
      </c>
      <c r="O43" s="1025">
        <f>industrie!N22</f>
        <v>0</v>
      </c>
      <c r="P43" s="1025">
        <f>industrie!O22</f>
        <v>0</v>
      </c>
      <c r="Q43" s="775">
        <f>industrie!P22</f>
        <v>0</v>
      </c>
      <c r="R43" s="850">
        <f t="shared" ca="1" si="4"/>
        <v>1221.9121283622087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8847.3854364744766</v>
      </c>
      <c r="D46" s="733">
        <f t="shared" ref="D46:Q46" ca="1" si="5">SUM(D39:D45)</f>
        <v>0</v>
      </c>
      <c r="E46" s="733">
        <f t="shared" ca="1" si="5"/>
        <v>7816.6967321323491</v>
      </c>
      <c r="F46" s="733">
        <f t="shared" si="5"/>
        <v>352.38327224144587</v>
      </c>
      <c r="G46" s="733">
        <f t="shared" ca="1" si="5"/>
        <v>10309.810386488805</v>
      </c>
      <c r="H46" s="733">
        <f t="shared" si="5"/>
        <v>0</v>
      </c>
      <c r="I46" s="733">
        <f t="shared" si="5"/>
        <v>0</v>
      </c>
      <c r="J46" s="733">
        <f t="shared" si="5"/>
        <v>0</v>
      </c>
      <c r="K46" s="733">
        <f t="shared" si="5"/>
        <v>4.6780450916636962</v>
      </c>
      <c r="L46" s="733">
        <f t="shared" si="5"/>
        <v>0</v>
      </c>
      <c r="M46" s="733">
        <f t="shared" ca="1" si="5"/>
        <v>0</v>
      </c>
      <c r="N46" s="733">
        <f t="shared" si="5"/>
        <v>0</v>
      </c>
      <c r="O46" s="733">
        <f t="shared" ca="1" si="5"/>
        <v>0</v>
      </c>
      <c r="P46" s="733">
        <f t="shared" si="5"/>
        <v>0</v>
      </c>
      <c r="Q46" s="733">
        <f t="shared" si="5"/>
        <v>0</v>
      </c>
      <c r="R46" s="733">
        <f ca="1">SUM(R39:R45)</f>
        <v>27330.953872428741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166.53230405860828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166.53230405860828</v>
      </c>
    </row>
    <row r="50" spans="1:18">
      <c r="A50" s="826" t="s">
        <v>307</v>
      </c>
      <c r="B50" s="836"/>
      <c r="C50" s="704">
        <f ca="1">transport!B18</f>
        <v>1.3989653076745114</v>
      </c>
      <c r="D50" s="704">
        <f>transport!C18</f>
        <v>0</v>
      </c>
      <c r="E50" s="704">
        <f>transport!D18</f>
        <v>3.4410277711752011</v>
      </c>
      <c r="F50" s="704">
        <f>transport!E18</f>
        <v>24.638335033867111</v>
      </c>
      <c r="G50" s="704">
        <f>transport!F18</f>
        <v>0</v>
      </c>
      <c r="H50" s="704">
        <f>transport!G18</f>
        <v>9335.5296354566763</v>
      </c>
      <c r="I50" s="704">
        <f>transport!H18</f>
        <v>1603.5211828207155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10968.529146390109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1.3989653076745114</v>
      </c>
      <c r="D52" s="733">
        <f t="shared" ref="D52:Q52" ca="1" si="6">SUM(D48:D51)</f>
        <v>0</v>
      </c>
      <c r="E52" s="733">
        <f t="shared" si="6"/>
        <v>3.4410277711752011</v>
      </c>
      <c r="F52" s="733">
        <f t="shared" si="6"/>
        <v>24.638335033867111</v>
      </c>
      <c r="G52" s="733">
        <f t="shared" si="6"/>
        <v>0</v>
      </c>
      <c r="H52" s="733">
        <f t="shared" si="6"/>
        <v>9502.0619395152844</v>
      </c>
      <c r="I52" s="733">
        <f t="shared" si="6"/>
        <v>1603.5211828207155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11135.061450448717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75.948682410407159</v>
      </c>
      <c r="D54" s="704">
        <f ca="1">+landbouw!C12</f>
        <v>0</v>
      </c>
      <c r="E54" s="704">
        <f>+landbouw!D12</f>
        <v>3.593196379799787</v>
      </c>
      <c r="F54" s="704">
        <f>+landbouw!E12</f>
        <v>0.73889947971372438</v>
      </c>
      <c r="G54" s="704">
        <f>+landbouw!F12</f>
        <v>238.06712429897513</v>
      </c>
      <c r="H54" s="704">
        <f>+landbouw!G12</f>
        <v>0</v>
      </c>
      <c r="I54" s="704">
        <f>+landbouw!H12</f>
        <v>0</v>
      </c>
      <c r="J54" s="704">
        <f>+landbouw!I12</f>
        <v>0</v>
      </c>
      <c r="K54" s="704">
        <f>+landbouw!J12</f>
        <v>19.072697458850836</v>
      </c>
      <c r="L54" s="704">
        <f>+landbouw!K12</f>
        <v>0</v>
      </c>
      <c r="M54" s="704">
        <f>+landbouw!L12</f>
        <v>0</v>
      </c>
      <c r="N54" s="704">
        <f>+landbouw!M12</f>
        <v>0</v>
      </c>
      <c r="O54" s="704">
        <f>+landbouw!N12</f>
        <v>0</v>
      </c>
      <c r="P54" s="704">
        <f>+landbouw!O12</f>
        <v>0</v>
      </c>
      <c r="Q54" s="705">
        <f>+landbouw!P12</f>
        <v>0</v>
      </c>
      <c r="R54" s="732">
        <f ca="1">SUM(C54:Q54)</f>
        <v>337.42060002774662</v>
      </c>
    </row>
    <row r="55" spans="1:18" ht="15" thickBot="1">
      <c r="A55" s="826" t="s">
        <v>864</v>
      </c>
      <c r="B55" s="836"/>
      <c r="C55" s="704">
        <f ca="1">C25*'EF ele_warmte'!B12</f>
        <v>234.11146017645311</v>
      </c>
      <c r="D55" s="704"/>
      <c r="E55" s="704">
        <f>E25*EF_CO2_aardgas</f>
        <v>322.55140169102054</v>
      </c>
      <c r="F55" s="704"/>
      <c r="G55" s="704"/>
      <c r="H55" s="704"/>
      <c r="I55" s="704"/>
      <c r="J55" s="704"/>
      <c r="K55" s="704"/>
      <c r="L55" s="704"/>
      <c r="M55" s="704"/>
      <c r="N55" s="704"/>
      <c r="O55" s="704"/>
      <c r="P55" s="704"/>
      <c r="Q55" s="705"/>
      <c r="R55" s="732">
        <f ca="1">SUM(C55:Q55)</f>
        <v>556.66286186747368</v>
      </c>
    </row>
    <row r="56" spans="1:18" ht="15.75" thickBot="1">
      <c r="A56" s="824" t="s">
        <v>865</v>
      </c>
      <c r="B56" s="837"/>
      <c r="C56" s="733">
        <f ca="1">SUM(C54:C55)</f>
        <v>310.06014258686025</v>
      </c>
      <c r="D56" s="733">
        <f t="shared" ref="D56:Q56" ca="1" si="7">SUM(D54:D55)</f>
        <v>0</v>
      </c>
      <c r="E56" s="733">
        <f t="shared" si="7"/>
        <v>326.14459807082034</v>
      </c>
      <c r="F56" s="733">
        <f t="shared" si="7"/>
        <v>0.73889947971372438</v>
      </c>
      <c r="G56" s="733">
        <f t="shared" si="7"/>
        <v>238.06712429897513</v>
      </c>
      <c r="H56" s="733">
        <f t="shared" si="7"/>
        <v>0</v>
      </c>
      <c r="I56" s="733">
        <f t="shared" si="7"/>
        <v>0</v>
      </c>
      <c r="J56" s="733">
        <f t="shared" si="7"/>
        <v>0</v>
      </c>
      <c r="K56" s="733">
        <f t="shared" si="7"/>
        <v>19.072697458850836</v>
      </c>
      <c r="L56" s="733">
        <f t="shared" si="7"/>
        <v>0</v>
      </c>
      <c r="M56" s="733">
        <f t="shared" si="7"/>
        <v>0</v>
      </c>
      <c r="N56" s="733">
        <f t="shared" si="7"/>
        <v>0</v>
      </c>
      <c r="O56" s="733">
        <f t="shared" si="7"/>
        <v>0</v>
      </c>
      <c r="P56" s="733">
        <f t="shared" si="7"/>
        <v>0</v>
      </c>
      <c r="Q56" s="734">
        <f t="shared" si="7"/>
        <v>0</v>
      </c>
      <c r="R56" s="735">
        <f ca="1">SUM(R54:R55)</f>
        <v>894.08346189522035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9158.8445443690125</v>
      </c>
      <c r="D61" s="741">
        <f t="shared" ref="D61:Q61" ca="1" si="8">D46+D52+D56</f>
        <v>0</v>
      </c>
      <c r="E61" s="741">
        <f t="shared" ca="1" si="8"/>
        <v>8146.2823579743444</v>
      </c>
      <c r="F61" s="741">
        <f t="shared" si="8"/>
        <v>377.76050675502671</v>
      </c>
      <c r="G61" s="741">
        <f t="shared" ca="1" si="8"/>
        <v>10547.877510787781</v>
      </c>
      <c r="H61" s="741">
        <f t="shared" si="8"/>
        <v>9502.0619395152844</v>
      </c>
      <c r="I61" s="741">
        <f t="shared" si="8"/>
        <v>1603.5211828207155</v>
      </c>
      <c r="J61" s="741">
        <f t="shared" si="8"/>
        <v>0</v>
      </c>
      <c r="K61" s="741">
        <f t="shared" si="8"/>
        <v>23.750742550514531</v>
      </c>
      <c r="L61" s="741">
        <f t="shared" si="8"/>
        <v>0</v>
      </c>
      <c r="M61" s="741">
        <f t="shared" ca="1" si="8"/>
        <v>0</v>
      </c>
      <c r="N61" s="741">
        <f t="shared" si="8"/>
        <v>0</v>
      </c>
      <c r="O61" s="741">
        <f t="shared" ca="1" si="8"/>
        <v>0</v>
      </c>
      <c r="P61" s="741">
        <f t="shared" si="8"/>
        <v>0</v>
      </c>
      <c r="Q61" s="741">
        <f t="shared" si="8"/>
        <v>0</v>
      </c>
      <c r="R61" s="741">
        <f ca="1">R46+R52+R56</f>
        <v>39360.098784772679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0.21611512175746553</v>
      </c>
      <c r="D63" s="782">
        <f t="shared" ca="1" si="9"/>
        <v>0</v>
      </c>
      <c r="E63" s="1036">
        <f t="shared" ca="1" si="9"/>
        <v>0.20199999999999999</v>
      </c>
      <c r="F63" s="782">
        <f t="shared" si="9"/>
        <v>0.22700000000000006</v>
      </c>
      <c r="G63" s="782">
        <f t="shared" ca="1" si="9"/>
        <v>0.26700000000000007</v>
      </c>
      <c r="H63" s="782">
        <f t="shared" si="9"/>
        <v>0.26699999999999996</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936.73554762750916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936.73554762750916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936.73554762750916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936.73554762750916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21353.110451321154</v>
      </c>
      <c r="C4" s="478">
        <f>huishoudens!C8</f>
        <v>0</v>
      </c>
      <c r="D4" s="478">
        <f>huishoudens!D8</f>
        <v>22383.519307304552</v>
      </c>
      <c r="E4" s="478">
        <f>huishoudens!E8</f>
        <v>1111.6181284299539</v>
      </c>
      <c r="F4" s="478">
        <f>huishoudens!F8</f>
        <v>34559.084625491363</v>
      </c>
      <c r="G4" s="478">
        <f>huishoudens!G8</f>
        <v>0</v>
      </c>
      <c r="H4" s="478">
        <f>huishoudens!H8</f>
        <v>0</v>
      </c>
      <c r="I4" s="478">
        <f>huishoudens!I8</f>
        <v>0</v>
      </c>
      <c r="J4" s="478">
        <f>huishoudens!J8</f>
        <v>0</v>
      </c>
      <c r="K4" s="478">
        <f>huishoudens!K8</f>
        <v>0</v>
      </c>
      <c r="L4" s="478">
        <f>huishoudens!L8</f>
        <v>0</v>
      </c>
      <c r="M4" s="478">
        <f>huishoudens!M8</f>
        <v>0</v>
      </c>
      <c r="N4" s="478">
        <f>huishoudens!N8</f>
        <v>1264.6637260102968</v>
      </c>
      <c r="O4" s="478">
        <f>huishoudens!O8</f>
        <v>92.236666666666679</v>
      </c>
      <c r="P4" s="479">
        <f>huishoudens!P8</f>
        <v>1105.8666666666668</v>
      </c>
      <c r="Q4" s="480">
        <f>SUM(B4:P4)</f>
        <v>81870.099571890663</v>
      </c>
    </row>
    <row r="5" spans="1:17">
      <c r="A5" s="477" t="s">
        <v>156</v>
      </c>
      <c r="B5" s="478">
        <f ca="1">tertiair!B16</f>
        <v>17000.956849999999</v>
      </c>
      <c r="C5" s="478">
        <f ca="1">tertiair!C16</f>
        <v>0</v>
      </c>
      <c r="D5" s="478">
        <f ca="1">tertiair!D16</f>
        <v>14869.464636436995</v>
      </c>
      <c r="E5" s="478">
        <f>tertiair!E16</f>
        <v>182.04041805648404</v>
      </c>
      <c r="F5" s="478">
        <f ca="1">tertiair!F16</f>
        <v>2424.9952384937401</v>
      </c>
      <c r="G5" s="478">
        <f>tertiair!G16</f>
        <v>0</v>
      </c>
      <c r="H5" s="478">
        <f>tertiair!H16</f>
        <v>0</v>
      </c>
      <c r="I5" s="478">
        <f>tertiair!I16</f>
        <v>0</v>
      </c>
      <c r="J5" s="478">
        <f>tertiair!J16</f>
        <v>0</v>
      </c>
      <c r="K5" s="478">
        <f>tertiair!K16</f>
        <v>0</v>
      </c>
      <c r="L5" s="478">
        <f ca="1">tertiair!L16</f>
        <v>0</v>
      </c>
      <c r="M5" s="478">
        <f>tertiair!M16</f>
        <v>0</v>
      </c>
      <c r="N5" s="478">
        <f ca="1">tertiair!N16</f>
        <v>920.85355791540087</v>
      </c>
      <c r="O5" s="478">
        <f>tertiair!O16</f>
        <v>1.5633333333333335</v>
      </c>
      <c r="P5" s="479">
        <f>tertiair!P16</f>
        <v>38.133333333333333</v>
      </c>
      <c r="Q5" s="477">
        <f t="shared" ref="Q5:Q14" ca="1" si="0">SUM(B5:P5)</f>
        <v>35438.007367569277</v>
      </c>
    </row>
    <row r="6" spans="1:17">
      <c r="A6" s="477" t="s">
        <v>194</v>
      </c>
      <c r="B6" s="478">
        <f>'openbare verlichting'!B8</f>
        <v>585.96199999999999</v>
      </c>
      <c r="C6" s="478"/>
      <c r="D6" s="478"/>
      <c r="E6" s="478"/>
      <c r="F6" s="478"/>
      <c r="G6" s="478"/>
      <c r="H6" s="478"/>
      <c r="I6" s="478"/>
      <c r="J6" s="478"/>
      <c r="K6" s="478"/>
      <c r="L6" s="478"/>
      <c r="M6" s="478"/>
      <c r="N6" s="478"/>
      <c r="O6" s="478"/>
      <c r="P6" s="479"/>
      <c r="Q6" s="477">
        <f t="shared" si="0"/>
        <v>585.96199999999999</v>
      </c>
    </row>
    <row r="7" spans="1:17">
      <c r="A7" s="477" t="s">
        <v>112</v>
      </c>
      <c r="B7" s="478">
        <f>landbouw!B8</f>
        <v>351.42696999999998</v>
      </c>
      <c r="C7" s="478">
        <f>landbouw!C8</f>
        <v>0</v>
      </c>
      <c r="D7" s="478">
        <f>landbouw!D8</f>
        <v>17.788100890097954</v>
      </c>
      <c r="E7" s="478">
        <f>landbouw!E8</f>
        <v>3.2550637872851294</v>
      </c>
      <c r="F7" s="478">
        <f>landbouw!F8</f>
        <v>891.63716965908282</v>
      </c>
      <c r="G7" s="478">
        <f>landbouw!G8</f>
        <v>0</v>
      </c>
      <c r="H7" s="478">
        <f>landbouw!H8</f>
        <v>0</v>
      </c>
      <c r="I7" s="478">
        <f>landbouw!I8</f>
        <v>0</v>
      </c>
      <c r="J7" s="478">
        <f>landbouw!J8</f>
        <v>53.877676437431745</v>
      </c>
      <c r="K7" s="478">
        <f>landbouw!K8</f>
        <v>0</v>
      </c>
      <c r="L7" s="478">
        <f>landbouw!L8</f>
        <v>0</v>
      </c>
      <c r="M7" s="478">
        <f>landbouw!M8</f>
        <v>0</v>
      </c>
      <c r="N7" s="478">
        <f>landbouw!N8</f>
        <v>0</v>
      </c>
      <c r="O7" s="478">
        <f>landbouw!O8</f>
        <v>0</v>
      </c>
      <c r="P7" s="479">
        <f>landbouw!P8</f>
        <v>0</v>
      </c>
      <c r="Q7" s="477">
        <f t="shared" si="0"/>
        <v>1317.9849807738976</v>
      </c>
    </row>
    <row r="8" spans="1:17">
      <c r="A8" s="477" t="s">
        <v>650</v>
      </c>
      <c r="B8" s="478">
        <f>industrie!B18</f>
        <v>1998.2695300000003</v>
      </c>
      <c r="C8" s="478">
        <f>industrie!C18</f>
        <v>0</v>
      </c>
      <c r="D8" s="478">
        <f>industrie!D18</f>
        <v>1443.5345321611662</v>
      </c>
      <c r="E8" s="478">
        <f>industrie!E18</f>
        <v>258.6906704362309</v>
      </c>
      <c r="F8" s="478">
        <f>industrie!F18</f>
        <v>1629.4421827894437</v>
      </c>
      <c r="G8" s="478">
        <f>industrie!G18</f>
        <v>0</v>
      </c>
      <c r="H8" s="478">
        <f>industrie!H18</f>
        <v>0</v>
      </c>
      <c r="I8" s="478">
        <f>industrie!I18</f>
        <v>0</v>
      </c>
      <c r="J8" s="478">
        <f>industrie!J18</f>
        <v>13.214816643117787</v>
      </c>
      <c r="K8" s="478">
        <f>industrie!K18</f>
        <v>0</v>
      </c>
      <c r="L8" s="478">
        <f>industrie!L18</f>
        <v>0</v>
      </c>
      <c r="M8" s="478">
        <f>industrie!M18</f>
        <v>0</v>
      </c>
      <c r="N8" s="478">
        <f>industrie!N18</f>
        <v>635.08256266609146</v>
      </c>
      <c r="O8" s="478">
        <f>industrie!O18</f>
        <v>0</v>
      </c>
      <c r="P8" s="479">
        <f>industrie!P18</f>
        <v>0</v>
      </c>
      <c r="Q8" s="477">
        <f t="shared" si="0"/>
        <v>5978.2342946960507</v>
      </c>
    </row>
    <row r="9" spans="1:17" s="483" customFormat="1">
      <c r="A9" s="481" t="s">
        <v>571</v>
      </c>
      <c r="B9" s="482">
        <f>transport!B14</f>
        <v>6.4732411887609427</v>
      </c>
      <c r="C9" s="482">
        <f>transport!C14</f>
        <v>0</v>
      </c>
      <c r="D9" s="482">
        <f>transport!D14</f>
        <v>17.034790946411885</v>
      </c>
      <c r="E9" s="482">
        <f>transport!E14</f>
        <v>108.53892085404014</v>
      </c>
      <c r="F9" s="482">
        <f>transport!F14</f>
        <v>0</v>
      </c>
      <c r="G9" s="482">
        <f>transport!G14</f>
        <v>34964.530469875193</v>
      </c>
      <c r="H9" s="482">
        <f>transport!H14</f>
        <v>6439.8441077137168</v>
      </c>
      <c r="I9" s="482">
        <f>transport!I14</f>
        <v>0</v>
      </c>
      <c r="J9" s="482">
        <f>transport!J14</f>
        <v>0</v>
      </c>
      <c r="K9" s="482">
        <f>transport!K14</f>
        <v>0</v>
      </c>
      <c r="L9" s="482">
        <f>transport!L14</f>
        <v>0</v>
      </c>
      <c r="M9" s="482">
        <f>transport!M14</f>
        <v>2220.7809790911815</v>
      </c>
      <c r="N9" s="482">
        <f>transport!N14</f>
        <v>0</v>
      </c>
      <c r="O9" s="482">
        <f>transport!O14</f>
        <v>0</v>
      </c>
      <c r="P9" s="482">
        <f>transport!P14</f>
        <v>0</v>
      </c>
      <c r="Q9" s="481">
        <f>SUM(B9:P9)</f>
        <v>43757.202509669311</v>
      </c>
    </row>
    <row r="10" spans="1:17">
      <c r="A10" s="477" t="s">
        <v>561</v>
      </c>
      <c r="B10" s="478">
        <f>transport!B54</f>
        <v>0</v>
      </c>
      <c r="C10" s="478">
        <f>transport!C54</f>
        <v>0</v>
      </c>
      <c r="D10" s="478">
        <f>transport!D54</f>
        <v>0</v>
      </c>
      <c r="E10" s="478">
        <f>transport!E54</f>
        <v>0</v>
      </c>
      <c r="F10" s="478">
        <f>transport!F54</f>
        <v>0</v>
      </c>
      <c r="G10" s="478">
        <f>transport!G54</f>
        <v>623.71649460152912</v>
      </c>
      <c r="H10" s="478">
        <f>transport!H54</f>
        <v>0</v>
      </c>
      <c r="I10" s="478">
        <f>transport!I54</f>
        <v>0</v>
      </c>
      <c r="J10" s="478">
        <f>transport!J54</f>
        <v>0</v>
      </c>
      <c r="K10" s="478">
        <f>transport!K54</f>
        <v>0</v>
      </c>
      <c r="L10" s="478">
        <f>transport!L54</f>
        <v>0</v>
      </c>
      <c r="M10" s="478">
        <f>transport!M54</f>
        <v>35.56873345532302</v>
      </c>
      <c r="N10" s="478">
        <f>transport!N54</f>
        <v>0</v>
      </c>
      <c r="O10" s="478">
        <f>transport!O54</f>
        <v>0</v>
      </c>
      <c r="P10" s="479">
        <f>transport!P54</f>
        <v>0</v>
      </c>
      <c r="Q10" s="477">
        <f t="shared" si="0"/>
        <v>659.28522805685213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1083.2719999999999</v>
      </c>
      <c r="C14" s="485"/>
      <c r="D14" s="485">
        <f>'SEAP template'!E25</f>
        <v>1596.7891172822799</v>
      </c>
      <c r="E14" s="485"/>
      <c r="F14" s="485"/>
      <c r="G14" s="485"/>
      <c r="H14" s="485"/>
      <c r="I14" s="485"/>
      <c r="J14" s="485"/>
      <c r="K14" s="485"/>
      <c r="L14" s="485"/>
      <c r="M14" s="485"/>
      <c r="N14" s="485"/>
      <c r="O14" s="485"/>
      <c r="P14" s="486"/>
      <c r="Q14" s="477">
        <f t="shared" si="0"/>
        <v>2680.0611172822801</v>
      </c>
    </row>
    <row r="15" spans="1:17" s="487" customFormat="1">
      <c r="A15" s="1051" t="s">
        <v>565</v>
      </c>
      <c r="B15" s="991">
        <f ca="1">SUM(B4:B14)</f>
        <v>42379.471042509904</v>
      </c>
      <c r="C15" s="991">
        <f t="shared" ref="C15:Q15" ca="1" si="1">SUM(C4:C14)</f>
        <v>0</v>
      </c>
      <c r="D15" s="991">
        <f t="shared" ca="1" si="1"/>
        <v>40328.130485021502</v>
      </c>
      <c r="E15" s="991">
        <f t="shared" si="1"/>
        <v>1664.1432015639939</v>
      </c>
      <c r="F15" s="991">
        <f t="shared" ca="1" si="1"/>
        <v>39505.159216433625</v>
      </c>
      <c r="G15" s="991">
        <f t="shared" si="1"/>
        <v>35588.246964476726</v>
      </c>
      <c r="H15" s="991">
        <f t="shared" si="1"/>
        <v>6439.8441077137168</v>
      </c>
      <c r="I15" s="991">
        <f t="shared" si="1"/>
        <v>0</v>
      </c>
      <c r="J15" s="991">
        <f t="shared" si="1"/>
        <v>67.092493080549531</v>
      </c>
      <c r="K15" s="991">
        <f t="shared" si="1"/>
        <v>0</v>
      </c>
      <c r="L15" s="991">
        <f t="shared" ca="1" si="1"/>
        <v>0</v>
      </c>
      <c r="M15" s="991">
        <f t="shared" si="1"/>
        <v>2256.3497125465046</v>
      </c>
      <c r="N15" s="991">
        <f t="shared" ca="1" si="1"/>
        <v>2820.5998465917892</v>
      </c>
      <c r="O15" s="991">
        <f t="shared" si="1"/>
        <v>93.800000000000011</v>
      </c>
      <c r="P15" s="991">
        <f t="shared" si="1"/>
        <v>1144.0000000000002</v>
      </c>
      <c r="Q15" s="991">
        <f t="shared" ca="1" si="1"/>
        <v>172286.83706993837</v>
      </c>
    </row>
    <row r="17" spans="1:17">
      <c r="A17" s="488" t="s">
        <v>566</v>
      </c>
      <c r="B17" s="787">
        <f ca="1">huishoudens!B10</f>
        <v>0.21611512175746544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4614.7300650878788</v>
      </c>
      <c r="C22" s="478">
        <f t="shared" ref="C22:C32" ca="1" si="3">C4*$C$17</f>
        <v>0</v>
      </c>
      <c r="D22" s="478">
        <f t="shared" ref="D22:D32" si="4">D4*$D$17</f>
        <v>4521.4709000755201</v>
      </c>
      <c r="E22" s="478">
        <f t="shared" ref="E22:E32" si="5">E4*$E$17</f>
        <v>252.33731515359955</v>
      </c>
      <c r="F22" s="478">
        <f t="shared" ref="F22:F32" si="6">F4*$F$17</f>
        <v>9227.2755950061946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18615.813875323194</v>
      </c>
    </row>
    <row r="23" spans="1:17">
      <c r="A23" s="477" t="s">
        <v>156</v>
      </c>
      <c r="B23" s="478">
        <f t="shared" ca="1" si="2"/>
        <v>3674.1638596311659</v>
      </c>
      <c r="C23" s="478">
        <f t="shared" ca="1" si="3"/>
        <v>0</v>
      </c>
      <c r="D23" s="478">
        <f t="shared" ca="1" si="4"/>
        <v>3003.6318565602733</v>
      </c>
      <c r="E23" s="478">
        <f t="shared" si="5"/>
        <v>41.323174898821883</v>
      </c>
      <c r="F23" s="478">
        <f t="shared" ca="1" si="6"/>
        <v>647.4737286778286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7366.5926197680892</v>
      </c>
    </row>
    <row r="24" spans="1:17">
      <c r="A24" s="477" t="s">
        <v>194</v>
      </c>
      <c r="B24" s="478">
        <f t="shared" ca="1" si="2"/>
        <v>126.63524897524796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126.63524897524796</v>
      </c>
    </row>
    <row r="25" spans="1:17">
      <c r="A25" s="477" t="s">
        <v>112</v>
      </c>
      <c r="B25" s="478">
        <f t="shared" ca="1" si="2"/>
        <v>75.948682410407159</v>
      </c>
      <c r="C25" s="478">
        <f t="shared" ca="1" si="3"/>
        <v>0</v>
      </c>
      <c r="D25" s="478">
        <f t="shared" si="4"/>
        <v>3.593196379799787</v>
      </c>
      <c r="E25" s="478">
        <f t="shared" si="5"/>
        <v>0.73889947971372438</v>
      </c>
      <c r="F25" s="478">
        <f t="shared" si="6"/>
        <v>238.06712429897513</v>
      </c>
      <c r="G25" s="478">
        <f t="shared" si="7"/>
        <v>0</v>
      </c>
      <c r="H25" s="478">
        <f t="shared" si="8"/>
        <v>0</v>
      </c>
      <c r="I25" s="478">
        <f t="shared" si="9"/>
        <v>0</v>
      </c>
      <c r="J25" s="478">
        <f t="shared" si="10"/>
        <v>19.072697458850836</v>
      </c>
      <c r="K25" s="478">
        <f t="shared" si="11"/>
        <v>0</v>
      </c>
      <c r="L25" s="478">
        <f t="shared" si="12"/>
        <v>0</v>
      </c>
      <c r="M25" s="478">
        <f t="shared" si="13"/>
        <v>0</v>
      </c>
      <c r="N25" s="478">
        <f t="shared" si="14"/>
        <v>0</v>
      </c>
      <c r="O25" s="478">
        <f t="shared" si="15"/>
        <v>0</v>
      </c>
      <c r="P25" s="479">
        <f t="shared" si="16"/>
        <v>0</v>
      </c>
      <c r="Q25" s="477">
        <f t="shared" ca="1" si="17"/>
        <v>337.42060002774662</v>
      </c>
    </row>
    <row r="26" spans="1:17">
      <c r="A26" s="477" t="s">
        <v>650</v>
      </c>
      <c r="B26" s="478">
        <f t="shared" ca="1" si="2"/>
        <v>431.85626278018333</v>
      </c>
      <c r="C26" s="478">
        <f t="shared" ca="1" si="3"/>
        <v>0</v>
      </c>
      <c r="D26" s="478">
        <f t="shared" si="4"/>
        <v>291.59397549655557</v>
      </c>
      <c r="E26" s="478">
        <f t="shared" si="5"/>
        <v>58.722782189024414</v>
      </c>
      <c r="F26" s="478">
        <f t="shared" si="6"/>
        <v>435.0610628047815</v>
      </c>
      <c r="G26" s="478">
        <f t="shared" si="7"/>
        <v>0</v>
      </c>
      <c r="H26" s="478">
        <f t="shared" si="8"/>
        <v>0</v>
      </c>
      <c r="I26" s="478">
        <f t="shared" si="9"/>
        <v>0</v>
      </c>
      <c r="J26" s="478">
        <f t="shared" si="10"/>
        <v>4.6780450916636962</v>
      </c>
      <c r="K26" s="478">
        <f t="shared" si="11"/>
        <v>0</v>
      </c>
      <c r="L26" s="478">
        <f t="shared" si="12"/>
        <v>0</v>
      </c>
      <c r="M26" s="478">
        <f t="shared" si="13"/>
        <v>0</v>
      </c>
      <c r="N26" s="478">
        <f t="shared" si="14"/>
        <v>0</v>
      </c>
      <c r="O26" s="478">
        <f t="shared" si="15"/>
        <v>0</v>
      </c>
      <c r="P26" s="479">
        <f t="shared" si="16"/>
        <v>0</v>
      </c>
      <c r="Q26" s="477">
        <f t="shared" ca="1" si="17"/>
        <v>1221.9121283622087</v>
      </c>
    </row>
    <row r="27" spans="1:17" s="483" customFormat="1">
      <c r="A27" s="481" t="s">
        <v>571</v>
      </c>
      <c r="B27" s="781">
        <f t="shared" ca="1" si="2"/>
        <v>1.3989653076745114</v>
      </c>
      <c r="C27" s="482">
        <f t="shared" ca="1" si="3"/>
        <v>0</v>
      </c>
      <c r="D27" s="482">
        <f t="shared" si="4"/>
        <v>3.4410277711752011</v>
      </c>
      <c r="E27" s="482">
        <f t="shared" si="5"/>
        <v>24.638335033867111</v>
      </c>
      <c r="F27" s="482">
        <f t="shared" si="6"/>
        <v>0</v>
      </c>
      <c r="G27" s="482">
        <f t="shared" si="7"/>
        <v>9335.5296354566763</v>
      </c>
      <c r="H27" s="482">
        <f t="shared" si="8"/>
        <v>1603.5211828207155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10968.529146390109</v>
      </c>
    </row>
    <row r="28" spans="1:17">
      <c r="A28" s="477" t="s">
        <v>561</v>
      </c>
      <c r="B28" s="478">
        <f t="shared" ca="1" si="2"/>
        <v>0</v>
      </c>
      <c r="C28" s="478">
        <f t="shared" ca="1" si="3"/>
        <v>0</v>
      </c>
      <c r="D28" s="478">
        <f t="shared" si="4"/>
        <v>0</v>
      </c>
      <c r="E28" s="478">
        <f t="shared" si="5"/>
        <v>0</v>
      </c>
      <c r="F28" s="478">
        <f t="shared" si="6"/>
        <v>0</v>
      </c>
      <c r="G28" s="478">
        <f t="shared" si="7"/>
        <v>166.53230405860828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166.53230405860828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234.11146017645311</v>
      </c>
      <c r="C32" s="478">
        <f t="shared" ca="1" si="3"/>
        <v>0</v>
      </c>
      <c r="D32" s="478">
        <f t="shared" si="4"/>
        <v>322.55140169102054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556.66286186747368</v>
      </c>
    </row>
    <row r="33" spans="1:17" s="487" customFormat="1">
      <c r="A33" s="1051" t="s">
        <v>565</v>
      </c>
      <c r="B33" s="991">
        <f ca="1">SUM(B22:B32)</f>
        <v>9158.8445443690125</v>
      </c>
      <c r="C33" s="991">
        <f t="shared" ref="C33:Q33" ca="1" si="18">SUM(C22:C32)</f>
        <v>0</v>
      </c>
      <c r="D33" s="991">
        <f t="shared" ca="1" si="18"/>
        <v>8146.2823579743435</v>
      </c>
      <c r="E33" s="991">
        <f t="shared" si="18"/>
        <v>377.76050675502671</v>
      </c>
      <c r="F33" s="991">
        <f t="shared" ca="1" si="18"/>
        <v>10547.877510787781</v>
      </c>
      <c r="G33" s="991">
        <f t="shared" si="18"/>
        <v>9502.0619395152844</v>
      </c>
      <c r="H33" s="991">
        <f t="shared" si="18"/>
        <v>1603.5211828207155</v>
      </c>
      <c r="I33" s="991">
        <f t="shared" si="18"/>
        <v>0</v>
      </c>
      <c r="J33" s="991">
        <f t="shared" si="18"/>
        <v>23.750742550514531</v>
      </c>
      <c r="K33" s="991">
        <f t="shared" si="18"/>
        <v>0</v>
      </c>
      <c r="L33" s="991">
        <f t="shared" ca="1" si="18"/>
        <v>0</v>
      </c>
      <c r="M33" s="991">
        <f t="shared" si="18"/>
        <v>0</v>
      </c>
      <c r="N33" s="991">
        <f t="shared" ca="1" si="18"/>
        <v>0</v>
      </c>
      <c r="O33" s="991">
        <f t="shared" si="18"/>
        <v>0</v>
      </c>
      <c r="P33" s="991">
        <f t="shared" si="18"/>
        <v>0</v>
      </c>
      <c r="Q33" s="991">
        <f t="shared" ca="1" si="18"/>
        <v>39360.098784772679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936.73554762750916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936.73554762750916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0.21611512175746544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0.21611512175746544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2019-08-12T08:09:50Z</dcterms:modified>
</cp:coreProperties>
</file>