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K5"/>
  <c r="L10" i="14"/>
  <c r="L16" s="1"/>
  <c r="L27" s="1"/>
  <c r="D30" i="48"/>
  <c r="D31"/>
  <c r="D28"/>
  <c r="D29"/>
  <c r="D24"/>
  <c r="D32"/>
  <c r="L32"/>
  <c r="L28"/>
  <c r="L27"/>
  <c r="L22"/>
  <c r="L31"/>
  <c r="L30"/>
  <c r="L29"/>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Q16" s="1"/>
  <c r="Q27" s="1"/>
  <c r="Q63" s="1"/>
  <c r="P8" i="48"/>
  <c r="P26" s="1"/>
  <c r="J10" i="14"/>
  <c r="J16" s="1"/>
  <c r="J27" s="1"/>
  <c r="I5" i="48"/>
  <c r="F20" i="14"/>
  <c r="F22" s="1"/>
  <c r="E9" i="48"/>
  <c r="E27" s="1"/>
  <c r="P22"/>
  <c r="E20" i="14"/>
  <c r="E22" s="1"/>
  <c r="D9" i="48"/>
  <c r="D27" s="1"/>
  <c r="P10" i="14"/>
  <c r="O5" i="48"/>
  <c r="O23" s="1"/>
  <c r="J7"/>
  <c r="J25" s="1"/>
  <c r="K24" i="14"/>
  <c r="K26" s="1"/>
  <c r="B9" i="48"/>
  <c r="C20" i="14"/>
  <c r="O22" i="48"/>
  <c r="G11" i="14"/>
  <c r="F4" i="48"/>
  <c r="F22" s="1"/>
  <c r="K23"/>
  <c r="K15"/>
  <c r="C22" i="14"/>
  <c r="L63"/>
  <c r="J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H20" i="14"/>
  <c r="G9" i="48"/>
  <c r="N19" i="14"/>
  <c r="M10" i="48"/>
  <c r="M28" s="1"/>
  <c r="O22" i="16"/>
  <c r="P43" i="14" s="1"/>
  <c r="P46" s="1"/>
  <c r="P61" s="1"/>
  <c r="P13"/>
  <c r="O8" i="48"/>
  <c r="H19" i="14"/>
  <c r="R19" s="1"/>
  <c r="G10" i="48"/>
  <c r="I23"/>
  <c r="I33" s="1"/>
  <c r="I15"/>
  <c r="G31"/>
  <c r="Q13"/>
  <c r="E12" i="13"/>
  <c r="F41" i="14" s="1"/>
  <c r="E4" i="48"/>
  <c r="F11" i="14"/>
  <c r="K11"/>
  <c r="J4" i="48"/>
  <c r="E7"/>
  <c r="E25" s="1"/>
  <c r="F24" i="14"/>
  <c r="F26" s="1"/>
  <c r="P16"/>
  <c r="P27" s="1"/>
  <c r="N22"/>
  <c r="N27" s="1"/>
  <c r="R18"/>
  <c r="P15" i="48"/>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9"/>
  <c r="I20" i="14"/>
  <c r="E22" i="48"/>
  <c r="Q4"/>
  <c r="O26"/>
  <c r="O33" s="1"/>
  <c r="O15"/>
  <c r="M27"/>
  <c r="M33" s="1"/>
  <c r="M15"/>
  <c r="G28"/>
  <c r="Q10"/>
  <c r="J22"/>
  <c r="G27"/>
  <c r="G15"/>
  <c r="K10" i="14"/>
  <c r="J5" i="48"/>
  <c r="J23" s="1"/>
  <c r="P63" i="14"/>
  <c r="R11"/>
  <c r="H22"/>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R20" i="14"/>
  <c r="R22" s="1"/>
  <c r="I22"/>
  <c r="I27" s="1"/>
  <c r="I63" s="1"/>
  <c r="J22" i="16"/>
  <c r="K43" i="14" s="1"/>
  <c r="K13"/>
  <c r="J8" i="48"/>
  <c r="J26" s="1"/>
  <c r="F13" i="14"/>
  <c r="F16" s="1"/>
  <c r="F27" s="1"/>
  <c r="E8" i="48"/>
  <c r="E26" s="1"/>
  <c r="E33" s="1"/>
  <c r="K16" i="14"/>
  <c r="K27" s="1"/>
  <c r="F46"/>
  <c r="F61" s="1"/>
  <c r="H63"/>
  <c r="J15" i="48"/>
  <c r="E15"/>
  <c r="J33"/>
  <c r="K46" i="14"/>
  <c r="K61" s="1"/>
  <c r="K63" s="1"/>
  <c r="G33" i="48"/>
  <c r="O13" i="14"/>
  <c r="N8" i="48"/>
  <c r="N26" s="1"/>
  <c r="F8"/>
  <c r="G13" i="14"/>
  <c r="F63" l="1"/>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<sst xmlns="http://schemas.openxmlformats.org/spreadsheetml/2006/main" count="2446" uniqueCount="919">
  <si>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</si>
  <si>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</si>
  <si>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</si>
  <si>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</si>
  <si>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</si>
  <si>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</si>
  <si>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</si>
  <si>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</si>
  <si>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</si>
  <si>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</si>
  <si>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</si>
  <si>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</si>
  <si>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</si>
  <si>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</si>
  <si>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</si>
  <si>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</si>
  <si>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</si>
  <si>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</si>
  <si>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</si>
  <si>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</si>
  <si>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</si>
  <si>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</si>
  <si>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</si>
  <si>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</si>
  <si>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</si>
  <si>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</si>
  <si>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</si>
  <si>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</si>
  <si>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</si>
  <si>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</si>
  <si>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</si>
  <si>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</si>
  <si>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</si>
  <si>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</si>
  <si>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</si>
  <si>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</si>
  <si>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</si>
  <si>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</si>
  <si>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</si>
  <si>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</si>
  <si>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</si>
  <si>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</si>
  <si>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</si>
  <si>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</si>
  <si>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</si>
  <si>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</si>
  <si>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</si>
  <si>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</si>
  <si>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</si>
  <si>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</si>
  <si>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</si>
  <si>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</si>
  <si>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</si>
  <si>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</si>
  <si>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</si>
  <si>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</si>
  <si>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</si>
  <si>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</si>
  <si>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</si>
  <si>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</si>
  <si>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</si>
  <si>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</si>
  <si>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</si>
  <si>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</si>
  <si>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</si>
  <si>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</si>
  <si>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</si>
  <si>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</si>
  <si>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</si>
  <si>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</si>
  <si>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</si>
  <si>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</si>
  <si>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</si>
  <si>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</si>
  <si>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</si>
  <si>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</si>
  <si>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</si>
  <si>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</si>
  <si>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</si>
  <si>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</si>
  <si>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</si>
  <si>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</si>
  <si>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</si>
  <si>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</si>
  <si>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</si>
  <si>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</si>
  <si>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</si>
  <si>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</si>
  <si>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</si>
  <si>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</si>
  <si>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</si>
  <si>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</si>
  <si>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</si>
  <si>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</si>
  <si>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</si>
  <si>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</si>
  <si>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</si>
  <si>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</si>
  <si>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</si>
  <si>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</si>
  <si>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</si>
  <si>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</si>
  <si>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</si>
  <si>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</si>
  <si>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</si>
  <si>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</si>
  <si>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</si>
  <si>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</si>
  <si>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</si>
  <si>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</si>
  <si>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</si>
  <si>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</si>
  <si>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</si>
  <si>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</si>
  <si>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</si>
  <si>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</si>
  <si>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</si>
  <si>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</si>
  <si>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</si>
  <si>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</si>
  <si>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</si>
  <si>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</si>
  <si>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</si>
  <si>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</si>
  <si>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</si>
  <si>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</si>
  <si>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</si>
  <si>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</si>
  <si>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</si>
  <si>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</si>
  <si>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</si>
  <si>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</si>
  <si>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</si>
  <si>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</si>
  <si>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</si>
  <si>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</si>
  <si>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</si>
  <si>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</si>
  <si>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</si>
  <si>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</si>
  <si>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</si>
  <si>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</si>
  <si>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</si>
  <si>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</si>
  <si>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</si>
  <si>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</si>
  <si>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</si>
  <si>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</si>
  <si>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</si>
  <si>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</si>
  <si>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</si>
  <si>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</si>
  <si>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</si>
  <si>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</si>
  <si>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</si>
  <si>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</si>
  <si>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</si>
  <si>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</si>
  <si>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</si>
  <si>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</si>
  <si>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</si>
  <si>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</si>
  <si>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</si>
  <si>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</si>
  <si>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</si>
  <si>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</si>
  <si>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</si>
  <si>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</si>
  <si>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</si>
  <si>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</si>
  <si>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</si>
  <si>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</si>
  <si>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</si>
  <si>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</si>
  <si>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</si>
  <si>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</si>
  <si>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</si>
  <si>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</si>
  <si>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</si>
  <si>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</si>
  <si>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</si>
  <si>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</si>
  <si>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</si>
  <si>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</si>
  <si>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</si>
  <si>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</si>
  <si>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</si>
  <si>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</si>
  <si>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</si>
  <si>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</si>
  <si>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</si>
  <si>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</si>
  <si>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</si>
  <si>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</si>
  <si>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</si>
  <si>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</si>
  <si>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</si>
  <si>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</si>
  <si>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</si>
  <si>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</si>
  <si>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</si>
  <si>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</si>
  <si>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</si>
  <si>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</si>
  <si>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</si>
  <si>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</si>
  <si>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</si>
  <si>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</si>
  <si>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</si>
  <si>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</si>
  <si>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</si>
  <si>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</si>
  <si>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</si>
  <si>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</si>
  <si>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</si>
  <si>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</si>
  <si>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</si>
  <si>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</si>
  <si>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</si>
  <si>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</si>
  <si>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</si>
  <si>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</si>
  <si>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</si>
  <si>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</si>
  <si>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</si>
  <si>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</si>
  <si>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</si>
  <si>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</si>
  <si>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</si>
  <si>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</si>
  <si>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</si>
  <si>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</si>
  <si>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</si>
  <si>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</si>
  <si>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</si>
  <si>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</si>
  <si>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</si>
  <si>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</si>
  <si>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</si>
  <si>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</si>
  <si>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</si>
  <si>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</si>
  <si>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</si>
  <si>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</si>
  <si>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</si>
  <si>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</si>
  <si>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</si>
  <si>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</si>
  <si>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</si>
  <si>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</si>
  <si>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</si>
  <si>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</si>
  <si>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</si>
  <si>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</si>
  <si>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</si>
  <si>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</si>
  <si>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</si>
  <si>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</si>
  <si>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</si>
  <si>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</si>
  <si>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</si>
  <si>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</si>
  <si>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</si>
  <si>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</si>
  <si>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</si>
  <si>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</si>
  <si>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</si>
  <si>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</si>
  <si>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</si>
  <si>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</si>
  <si>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</si>
  <si>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</si>
  <si>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</si>
  <si>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</si>
  <si>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</si>
  <si>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</si>
  <si>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</si>
  <si>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</si>
  <si>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</si>
  <si>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</si>
  <si>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</si>
  <si>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</si>
  <si>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</si>
  <si>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</si>
  <si>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</si>
  <si>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</si>
  <si>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</si>
  <si>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</si>
  <si>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</si>
  <si>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</si>
  <si>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</si>
  <si>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</si>
  <si>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</si>
  <si>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</si>
  <si>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</si>
  <si>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</si>
  <si>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</si>
  <si>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</si>
  <si>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</si>
  <si>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</si>
  <si>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</si>
  <si>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</si>
  <si>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</si>
  <si>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</si>
  <si>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</si>
  <si>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</si>
  <si>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</si>
  <si>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</si>
  <si>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</si>
  <si>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</si>
  <si>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</si>
  <si>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</si>
  <si>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</si>
  <si>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</si>
  <si>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</si>
  <si>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</si>
  <si>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</si>
  <si>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</si>
  <si>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</si>
  <si>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</si>
  <si>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</si>
  <si>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</si>
  <si>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</si>
  <si>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</si>
  <si>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</si>
  <si>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</si>
  <si>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</si>
  <si>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</si>
  <si>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</si>
  <si>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</si>
  <si>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</si>
  <si>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</si>
  <si>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</si>
  <si>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</si>
  <si>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</si>
  <si>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</si>
  <si>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</si>
  <si>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</si>
  <si>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</si>
  <si>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</si>
  <si>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</si>
  <si>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</si>
  <si>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</si>
  <si>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</si>
  <si>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</si>
  <si>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</si>
  <si>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</si>
  <si>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</si>
  <si>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</si>
  <si>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</si>
  <si>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</si>
  <si>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</si>
  <si>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</si>
  <si>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</si>
  <si>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</si>
  <si>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</si>
  <si>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</si>
  <si>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</si>
  <si>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</si>
  <si>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</si>
  <si>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</si>
  <si>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</si>
  <si>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</si>
  <si>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</si>
  <si>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</si>
  <si>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</si>
  <si>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</si>
  <si>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</si>
  <si>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</si>
  <si>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</si>
  <si>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</si>
  <si>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</si>
  <si>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</si>
  <si>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</si>
  <si>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</si>
  <si>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</si>
  <si>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</si>
  <si>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</si>
  <si>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</si>
  <si>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</si>
  <si>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</si>
  <si>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</si>
  <si>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</si>
  <si>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</si>
  <si>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</si>
  <si>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</si>
  <si>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</si>
  <si>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</si>
  <si>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</si>
  <si>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</si>
  <si>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</si>
  <si>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</si>
  <si>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</si>
  <si>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</si>
  <si>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</si>
  <si>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</si>
  <si>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</si>
  <si>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</si>
  <si>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</si>
  <si>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</si>
  <si>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</si>
  <si>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</si>
  <si>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</si>
  <si>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</si>
  <si>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</si>
  <si>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</si>
  <si>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</si>
  <si>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</si>
  <si>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</si>
  <si>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</si>
  <si>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</si>
  <si>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</si>
  <si>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</si>
  <si>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</si>
  <si>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</si>
  <si>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</si>
  <si>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</si>
  <si>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</si>
  <si>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</si>
  <si>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</si>
  <si>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</si>
  <si>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</si>
  <si>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</si>
  <si>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</si>
  <si>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</si>
  <si>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</si>
  <si>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</si>
  <si>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</si>
  <si>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</si>
  <si>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</si>
  <si>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</si>
  <si>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</si>
  <si>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</si>
  <si>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</si>
  <si>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</si>
  <si>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</si>
  <si>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</si>
  <si>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</si>
  <si>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</si>
  <si>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</si>
  <si>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</si>
  <si>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</si>
  <si>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</si>
  <si>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</si>
  <si>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</si>
  <si>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</si>
  <si>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</si>
  <si>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</si>
  <si>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</si>
  <si>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</si>
  <si>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</si>
  <si>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</si>
  <si>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</si>
  <si>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</si>
  <si>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</si>
  <si>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</si>
  <si>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</si>
  <si>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</si>
  <si>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</si>
  <si>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</si>
  <si>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</si>
  <si>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</si>
  <si>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</si>
  <si>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</si>
  <si>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</si>
  <si>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</si>
  <si>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</si>
  <si>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</si>
  <si>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</si>
  <si>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</si>
  <si>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</si>
  <si>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</si>
  <si>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</si>
  <si>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</si>
  <si>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</si>
  <si>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</si>
  <si>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</si>
  <si>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</si>
  <si>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</si>
  <si>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</si>
  <si>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</si>
  <si>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</si>
  <si>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</si>
  <si>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</si>
  <si>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</si>
  <si>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</si>
  <si>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</si>
  <si>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</si>
  <si>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</si>
  <si>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</si>
  <si>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</si>
  <si>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</si>
  <si>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</si>
  <si>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</si>
  <si>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</si>
  <si>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</si>
  <si>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</si>
  <si>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</si>
  <si>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</si>
  <si>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</si>
  <si>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</si>
  <si>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</si>
  <si>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</si>
  <si>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</si>
  <si>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</si>
  <si>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</si>
  <si>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</si>
  <si>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</si>
  <si>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</si>
  <si>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</si>
  <si>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</si>
  <si>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</si>
  <si>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</si>
  <si>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</si>
  <si>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</si>
  <si>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</si>
  <si>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</si>
  <si>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</si>
  <si>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</si>
  <si>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</si>
  <si>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</si>
  <si>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</si>
  <si>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</si>
  <si>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</si>
  <si>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</si>
  <si>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</si>
  <si>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</si>
  <si>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</si>
  <si>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</si>
  <si>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</si>
  <si>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</si>
  <si>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</si>
  <si>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</si>
  <si>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</si>
  <si>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</si>
  <si>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</si>
  <si>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</si>
  <si>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</si>
  <si>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</si>
  <si>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</si>
  <si>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</si>
  <si>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</si>
  <si>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</si>
  <si>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</si>
  <si>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</si>
  <si>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</si>
  <si>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</si>
  <si>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</si>
  <si>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</si>
  <si>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</si>
  <si>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</si>
  <si>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</si>
  <si>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</si>
  <si>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</si>
  <si>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</si>
  <si>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</si>
  <si>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</si>
  <si>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</si>
  <si>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</si>
  <si>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</si>
  <si>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</si>
  <si>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</si>
  <si>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</si>
  <si>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</si>
  <si>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</si>
  <si>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</si>
  <si>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</si>
  <si>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</si>
  <si>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</si>
  <si>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</si>
  <si>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</si>
  <si>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</si>
  <si>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</si>
  <si>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</si>
  <si>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</si>
  <si>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</si>
  <si>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</si>
  <si>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</si>
  <si>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</si>
  <si>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</si>
  <si>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</si>
  <si>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</si>
  <si>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</si>
  <si>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</si>
  <si>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</si>
  <si>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</si>
  <si>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</si>
  <si>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</si>
  <si>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</si>
  <si>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</si>
  <si>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</si>
  <si>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</si>
  <si>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</si>
  <si>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</si>
  <si>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</si>
  <si>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</si>
  <si>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</si>
  <si>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</si>
  <si>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</si>
  <si>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</si>
  <si>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</si>
  <si>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</si>
  <si>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</si>
  <si>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</si>
  <si>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</si>
  <si>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</si>
  <si>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</si>
  <si>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</si>
  <si>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</si>
  <si>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</si>
  <si>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</si>
  <si>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</si>
  <si>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</si>
  <si>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</si>
  <si>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</si>
  <si>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</si>
  <si>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</si>
  <si>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</si>
  <si>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</si>
  <si>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</si>
  <si>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</si>
  <si>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</si>
  <si>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</si>
  <si>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</si>
  <si>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</si>
  <si>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</si>
  <si>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</si>
  <si>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</si>
  <si>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</si>
  <si>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</si>
  <si>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</si>
  <si>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</si>
  <si>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</si>
  <si>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</si>
  <si>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</si>
  <si>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</si>
  <si>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</si>
  <si>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</si>
  <si>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</si>
  <si>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</si>
  <si>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</si>
  <si>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</si>
  <si>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</si>
  <si>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</si>
  <si>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</si>
  <si>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</si>
  <si>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</si>
  <si>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</si>
  <si>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</si>
  <si>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</si>
  <si>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</si>
  <si>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</si>
  <si>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</si>
  <si>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</si>
  <si>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</si>
  <si>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</si>
  <si>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</si>
  <si>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</si>
  <si>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</si>
  <si>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</si>
  <si>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</si>
  <si>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</si>
  <si>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</si>
  <si>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</si>
  <si>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</si>
  <si>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</si>
  <si>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</si>
  <si>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</si>
  <si>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</si>
  <si>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</si>
  <si>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</si>
  <si>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</si>
  <si>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</si>
  <si>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</si>
  <si>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</si>
  <si>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</si>
  <si>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</si>
  <si>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</si>
  <si>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</si>
  <si>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</si>
  <si>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</si>
  <si>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</si>
  <si>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</si>
  <si>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</si>
  <si>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</si>
  <si>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</si>
  <si>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</si>
  <si>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</si>
  <si>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</si>
  <si>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</si>
  <si>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</si>
  <si>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</si>
  <si>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</si>
  <si>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</si>
  <si>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</si>
  <si>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</si>
  <si>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</si>
  <si>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</si>
  <si>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</si>
  <si>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</si>
  <si>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</si>
  <si>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</si>
  <si>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</si>
  <si>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</si>
  <si>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</si>
  <si>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</si>
  <si>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</si>
  <si>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</si>
  <si>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</si>
  <si>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</si>
  <si>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</si>
  <si>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</si>
  <si>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</si>
  <si>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</si>
  <si>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</si>
  <si>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</si>
  <si>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</si>
  <si>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</si>
  <si>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</si>
  <si>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</si>
  <si>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</si>
  <si>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</si>
  <si>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</si>
  <si>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</si>
  <si>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</si>
  <si>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</si>
  <si>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</si>
  <si>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</si>
  <si>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</si>
  <si>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</si>
  <si>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</si>
  <si>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</si>
  <si>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</si>
  <si>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</si>
  <si>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</si>
  <si>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</si>
  <si>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</si>
  <si>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</si>
  <si>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</si>
  <si>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</si>
  <si>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</si>
  <si>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</si>
  <si>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</si>
  <si>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</si>
  <si>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</si>
  <si>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</si>
  <si>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</si>
  <si>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</si>
  <si>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</si>
  <si>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</si>
  <si>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</si>
  <si>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</si>
  <si>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</si>
  <si>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</si>
  <si>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</si>
  <si>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</si>
  <si>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</si>
  <si>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</si>
  <si>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</si>
  <si>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</si>
  <si>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</si>
  <si>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</si>
  <si>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</si>
  <si>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</si>
  <si>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</si>
  <si>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</si>
  <si>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</si>
  <si>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</si>
  <si>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</si>
  <si>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</si>
  <si>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</si>
  <si>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</si>
  <si>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</si>
  <si>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</si>
  <si>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</si>
  <si>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</si>
  <si>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</si>
  <si>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</si>
  <si>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</si>
  <si>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</si>
  <si>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</si>
  <si>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</si>
  <si>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</si>
  <si>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</si>
  <si>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</si>
  <si>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</si>
  <si>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</si>
  <si>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</si>
  <si>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</si>
  <si>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</si>
  <si>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</si>
  <si>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</si>
  <si>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</si>
  <si>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</si>
  <si>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</si>
  <si>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</si>
  <si>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</si>
  <si>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</si>
  <si>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</si>
  <si>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</si>
  <si>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</si>
  <si>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</si>
  <si>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</si>
  <si>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</si>
  <si>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</si>
  <si>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</si>
  <si>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</si>
  <si>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</si>
  <si>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</si>
  <si>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</si>
  <si>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</si>
  <si>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</si>
  <si>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</si>
  <si>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</si>
  <si>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</si>
  <si>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</si>
  <si>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</si>
  <si>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</si>
  <si>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</si>
  <si>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</si>
  <si>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</si>
  <si>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</si>
  <si>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</si>
  <si>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</si>
  <si>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</si>
  <si>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</si>
  <si>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</si>
  <si>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</si>
  <si>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</si>
  <si>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</si>
  <si>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</si>
  <si>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</si>
  <si>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</si>
  <si>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</si>
  <si>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</si>
  <si>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</si>
  <si>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</si>
  <si>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</si>
  <si>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</si>
  <si>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</si>
  <si>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</si>
  <si>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</si>
  <si>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</si>
  <si>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</si>
  <si>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</si>
  <si>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</si>
  <si>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</si>
  <si>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</si>
  <si>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</si>
  <si>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</si>
  <si>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</si>
  <si>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</si>
  <si>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</si>
  <si>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</si>
  <si>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</si>
  <si>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</si>
  <si>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</si>
  <si>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</si>
  <si>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</si>
  <si>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</si>
  <si>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</si>
  <si>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</si>
  <si>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</si>
  <si>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</si>
  <si>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</si>
  <si>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</si>
  <si>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</si>
  <si>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</si>
  <si>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</si>
  <si>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</si>
  <si>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</si>
  <si>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</si>
  <si>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</si>
  <si>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</si>
  <si>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</si>
  <si>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</si>
  <si>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</si>
  <si>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</si>
  <si>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</si>
  <si>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</si>
  <si>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</si>
  <si>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</si>
  <si>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</si>
  <si>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</si>
  <si>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</si>
  <si>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</si>
  <si>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</si>
  <si>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</si>
  <si>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</si>
  <si>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</si>
  <si>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</si>
  <si>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</si>
  <si>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</si>
  <si>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</si>
  <si>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</si>
  <si>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</si>
  <si>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</si>
  <si>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</si>
  <si>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</si>
  <si>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44049</t>
  </si>
  <si>
    <t>NEVELE</t>
  </si>
  <si>
    <t>Paarden&amp;pony's 200 - 600 kg</t>
  </si>
  <si>
    <t>Paarden&amp;pony's &lt; 200 kg</t>
  </si>
  <si>
    <t>referentietaak LNE (2017); Jaarverslag De Lijn (2014)</t>
  </si>
  <si>
    <t>op basis van VEA (maart 2018) en Inventaris Hernieuwbare Energiebronnen (juni 2018)</t>
  </si>
  <si>
    <t>VEA (maart 2016)</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</si>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</sst>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98797.253429503849</c:v>
                </c:pt>
                <c:pt idx="1">
                  <c:v>25556.835695282152</c:v>
                </c:pt>
                <c:pt idx="2">
                  <c:v>1190.2529999999999</c:v>
                </c:pt>
                <c:pt idx="3">
                  <c:v>56419.02200327289</c:v>
                </c:pt>
                <c:pt idx="4">
                  <c:v>9193.0393107056316</c:v>
                </c:pt>
                <c:pt idx="5">
                  <c:v>267553.56306767702</c:v>
                </c:pt>
                <c:pt idx="6">
                  <c:v>350.20775032271138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32704"/>
        <c:axId val="143034240"/>
      </c:barChart>
      <c:catAx>
        <c:axId val="143032704"/>
        <c:scaling>
          <c:orientation val="minMax"/>
        </c:scaling>
        <c:axPos val="b"/>
        <c:numFmt formatCode="General" sourceLinked="0"/>
        <c:tickLblPos val="nextTo"/>
        <c:crossAx val="143034240"/>
        <c:crosses val="autoZero"/>
        <c:auto val="1"/>
        <c:lblAlgn val="ctr"/>
        <c:lblOffset val="100"/>
      </c:catAx>
      <c:valAx>
        <c:axId val="143034240"/>
        <c:scaling>
          <c:orientation val="minMax"/>
        </c:scaling>
        <c:axPos val="l"/>
        <c:majorGridlines/>
        <c:numFmt formatCode="#,##0" sourceLinked="1"/>
        <c:tickLblPos val="nextTo"/>
        <c:crossAx val="143032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98797.253429503849</c:v>
                </c:pt>
                <c:pt idx="1">
                  <c:v>25556.835695282152</c:v>
                </c:pt>
                <c:pt idx="2">
                  <c:v>1190.2529999999999</c:v>
                </c:pt>
                <c:pt idx="3">
                  <c:v>56419.02200327289</c:v>
                </c:pt>
                <c:pt idx="4">
                  <c:v>9193.0393107056316</c:v>
                </c:pt>
                <c:pt idx="5">
                  <c:v>267553.56306767702</c:v>
                </c:pt>
                <c:pt idx="6">
                  <c:v>350.20775032271138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19577.926423980436</c:v>
                </c:pt>
                <c:pt idx="2">
                  <c:v>5173.9137313514839</c:v>
                </c:pt>
                <c:pt idx="3">
                  <c:v>253.30601242600852</c:v>
                </c:pt>
                <c:pt idx="4">
                  <c:v>13369.739252168112</c:v>
                </c:pt>
                <c:pt idx="5">
                  <c:v>1882.2072538039101</c:v>
                </c:pt>
                <c:pt idx="6">
                  <c:v>67122.130879556717</c:v>
                </c:pt>
                <c:pt idx="7">
                  <c:v>88.460807369088755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0544"/>
        <c:axId val="147186432"/>
      </c:barChart>
      <c:catAx>
        <c:axId val="147180544"/>
        <c:scaling>
          <c:orientation val="minMax"/>
        </c:scaling>
        <c:axPos val="b"/>
        <c:numFmt formatCode="General" sourceLinked="0"/>
        <c:tickLblPos val="nextTo"/>
        <c:crossAx val="147186432"/>
        <c:crosses val="autoZero"/>
        <c:auto val="1"/>
        <c:lblAlgn val="ctr"/>
        <c:lblOffset val="100"/>
      </c:catAx>
      <c:valAx>
        <c:axId val="147186432"/>
        <c:scaling>
          <c:orientation val="minMax"/>
        </c:scaling>
        <c:axPos val="l"/>
        <c:majorGridlines/>
        <c:numFmt formatCode="#,##0" sourceLinked="1"/>
        <c:tickLblPos val="nextTo"/>
        <c:crossAx val="14718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19577.926423980436</c:v>
                </c:pt>
                <c:pt idx="2">
                  <c:v>5173.9137313514839</c:v>
                </c:pt>
                <c:pt idx="3">
                  <c:v>253.30601242600852</c:v>
                </c:pt>
                <c:pt idx="4">
                  <c:v>13369.739252168112</c:v>
                </c:pt>
                <c:pt idx="5">
                  <c:v>1882.2072538039101</c:v>
                </c:pt>
                <c:pt idx="6">
                  <c:v>67122.130879556717</c:v>
                </c:pt>
                <c:pt idx="7">
                  <c:v>88.460807369088755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44049</v>
      </c>
      <c r="B6" s="416"/>
      <c r="C6" s="417"/>
    </row>
    <row r="7" spans="1:7" s="414" customFormat="1" ht="15.75" customHeight="1">
      <c r="A7" s="418" t="str">
        <f>txtMunicipality</f>
        <v>NEVELE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0.21281694935951309</v>
      </c>
      <c r="C17" s="525">
        <f ca="1">'EF ele_warmte'!B22</f>
        <v>0.23764705882352949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0.21281694935951309</v>
      </c>
      <c r="C29" s="526">
        <f ca="1">'EF ele_warmte'!B22</f>
        <v>0.23764705882352949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4777</v>
      </c>
      <c r="C9" s="342">
        <v>4994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3457</v>
      </c>
    </row>
    <row r="15" spans="1:6">
      <c r="A15" s="348" t="s">
        <v>184</v>
      </c>
      <c r="B15" s="334">
        <v>601</v>
      </c>
    </row>
    <row r="16" spans="1:6">
      <c r="A16" s="348" t="s">
        <v>6</v>
      </c>
      <c r="B16" s="334">
        <v>1663</v>
      </c>
    </row>
    <row r="17" spans="1:6">
      <c r="A17" s="348" t="s">
        <v>7</v>
      </c>
      <c r="B17" s="334">
        <v>1064</v>
      </c>
    </row>
    <row r="18" spans="1:6">
      <c r="A18" s="348" t="s">
        <v>8</v>
      </c>
      <c r="B18" s="334">
        <v>1837</v>
      </c>
    </row>
    <row r="19" spans="1:6">
      <c r="A19" s="348" t="s">
        <v>9</v>
      </c>
      <c r="B19" s="334">
        <v>1740</v>
      </c>
    </row>
    <row r="20" spans="1:6">
      <c r="A20" s="348" t="s">
        <v>10</v>
      </c>
      <c r="B20" s="334">
        <v>1055</v>
      </c>
    </row>
    <row r="21" spans="1:6">
      <c r="A21" s="348" t="s">
        <v>11</v>
      </c>
      <c r="B21" s="334">
        <v>10154</v>
      </c>
    </row>
    <row r="22" spans="1:6">
      <c r="A22" s="348" t="s">
        <v>12</v>
      </c>
      <c r="B22" s="334">
        <v>36147</v>
      </c>
    </row>
    <row r="23" spans="1:6">
      <c r="A23" s="348" t="s">
        <v>13</v>
      </c>
      <c r="B23" s="334">
        <v>347</v>
      </c>
    </row>
    <row r="24" spans="1:6">
      <c r="A24" s="348" t="s">
        <v>14</v>
      </c>
      <c r="B24" s="334">
        <v>26</v>
      </c>
    </row>
    <row r="25" spans="1:6">
      <c r="A25" s="348" t="s">
        <v>15</v>
      </c>
      <c r="B25" s="334">
        <v>2648</v>
      </c>
    </row>
    <row r="26" spans="1:6">
      <c r="A26" s="348" t="s">
        <v>16</v>
      </c>
      <c r="B26" s="334">
        <v>319</v>
      </c>
    </row>
    <row r="27" spans="1:6">
      <c r="A27" s="348" t="s">
        <v>17</v>
      </c>
      <c r="B27" s="334">
        <v>5</v>
      </c>
    </row>
    <row r="28" spans="1:6" s="356" customFormat="1">
      <c r="A28" s="355" t="s">
        <v>18</v>
      </c>
      <c r="B28" s="355">
        <v>242646</v>
      </c>
    </row>
    <row r="29" spans="1:6">
      <c r="A29" s="355" t="s">
        <v>901</v>
      </c>
      <c r="B29" s="355">
        <v>300</v>
      </c>
      <c r="C29" s="356"/>
      <c r="D29" s="356"/>
      <c r="E29" s="356"/>
      <c r="F29" s="356"/>
    </row>
    <row r="30" spans="1:6">
      <c r="A30" s="341" t="s">
        <v>902</v>
      </c>
      <c r="B30" s="341">
        <v>49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19030.281241630299</v>
      </c>
      <c r="E38" s="334">
        <v>4</v>
      </c>
      <c r="F38" s="334">
        <v>10220</v>
      </c>
    </row>
    <row r="39" spans="1:6">
      <c r="A39" s="348" t="s">
        <v>30</v>
      </c>
      <c r="B39" s="348" t="s">
        <v>31</v>
      </c>
      <c r="C39" s="334">
        <v>2039</v>
      </c>
      <c r="D39" s="334">
        <v>28930243.837315701</v>
      </c>
      <c r="E39" s="334">
        <v>4539</v>
      </c>
      <c r="F39" s="334">
        <v>22714793</v>
      </c>
    </row>
    <row r="40" spans="1:6">
      <c r="A40" s="348" t="s">
        <v>30</v>
      </c>
      <c r="B40" s="348" t="s">
        <v>29</v>
      </c>
      <c r="C40" s="334">
        <v>1</v>
      </c>
      <c r="D40" s="334">
        <v>6964.7506715366799</v>
      </c>
      <c r="E40" s="334">
        <v>0</v>
      </c>
      <c r="F40" s="334">
        <v>0</v>
      </c>
    </row>
    <row r="41" spans="1:6">
      <c r="A41" s="348" t="s">
        <v>32</v>
      </c>
      <c r="B41" s="348" t="s">
        <v>33</v>
      </c>
      <c r="C41" s="334">
        <v>28</v>
      </c>
      <c r="D41" s="334">
        <v>396655.52470861701</v>
      </c>
      <c r="E41" s="334">
        <v>110</v>
      </c>
      <c r="F41" s="334">
        <v>1481760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167602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49525.02</v>
      </c>
    </row>
    <row r="48" spans="1:6">
      <c r="A48" s="348" t="s">
        <v>32</v>
      </c>
      <c r="B48" s="348" t="s">
        <v>29</v>
      </c>
      <c r="C48" s="334">
        <v>18</v>
      </c>
      <c r="D48" s="334">
        <v>1267641.7112994599</v>
      </c>
      <c r="E48" s="334">
        <v>23</v>
      </c>
      <c r="F48" s="334">
        <v>538634.6</v>
      </c>
    </row>
    <row r="49" spans="1:6">
      <c r="A49" s="348" t="s">
        <v>32</v>
      </c>
      <c r="B49" s="348" t="s">
        <v>40</v>
      </c>
      <c r="C49" s="334">
        <v>0</v>
      </c>
      <c r="D49" s="334">
        <v>0</v>
      </c>
      <c r="E49" s="334">
        <v>0</v>
      </c>
      <c r="F49" s="334">
        <v>0</v>
      </c>
    </row>
    <row r="50" spans="1:6">
      <c r="A50" s="348" t="s">
        <v>32</v>
      </c>
      <c r="B50" s="348" t="s">
        <v>41</v>
      </c>
      <c r="C50" s="334">
        <v>6</v>
      </c>
      <c r="D50" s="334">
        <v>345604.20558246999</v>
      </c>
      <c r="E50" s="334">
        <v>12</v>
      </c>
      <c r="F50" s="334">
        <v>797344.5</v>
      </c>
    </row>
    <row r="51" spans="1:6">
      <c r="A51" s="348" t="s">
        <v>42</v>
      </c>
      <c r="B51" s="348" t="s">
        <v>43</v>
      </c>
      <c r="C51" s="334">
        <v>18</v>
      </c>
      <c r="D51" s="334">
        <v>78529625.987972006</v>
      </c>
      <c r="E51" s="334">
        <v>190</v>
      </c>
      <c r="F51" s="334">
        <v>4287154</v>
      </c>
    </row>
    <row r="52" spans="1:6">
      <c r="A52" s="348" t="s">
        <v>42</v>
      </c>
      <c r="B52" s="348" t="s">
        <v>29</v>
      </c>
      <c r="C52" s="334">
        <v>3</v>
      </c>
      <c r="D52" s="334">
        <v>256455.68956911599</v>
      </c>
      <c r="E52" s="334">
        <v>5</v>
      </c>
      <c r="F52" s="334">
        <v>94508.95</v>
      </c>
    </row>
    <row r="53" spans="1:6">
      <c r="A53" s="348" t="s">
        <v>44</v>
      </c>
      <c r="B53" s="348" t="s">
        <v>45</v>
      </c>
      <c r="C53" s="334">
        <v>53</v>
      </c>
      <c r="D53" s="334">
        <v>955619.95385151799</v>
      </c>
      <c r="E53" s="334">
        <v>175</v>
      </c>
      <c r="F53" s="334">
        <v>989250.3</v>
      </c>
    </row>
    <row r="54" spans="1:6">
      <c r="A54" s="348" t="s">
        <v>46</v>
      </c>
      <c r="B54" s="348" t="s">
        <v>47</v>
      </c>
      <c r="C54" s="334">
        <v>0</v>
      </c>
      <c r="D54" s="334">
        <v>0</v>
      </c>
      <c r="E54" s="334">
        <v>6</v>
      </c>
      <c r="F54" s="334">
        <v>1190253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1370800.1651472501</v>
      </c>
      <c r="E57" s="334">
        <v>86</v>
      </c>
      <c r="F57" s="334">
        <v>1319119</v>
      </c>
    </row>
    <row r="58" spans="1:6">
      <c r="A58" s="348" t="s">
        <v>49</v>
      </c>
      <c r="B58" s="348" t="s">
        <v>51</v>
      </c>
      <c r="C58" s="334">
        <v>16</v>
      </c>
      <c r="D58" s="334">
        <v>1094447.4688281501</v>
      </c>
      <c r="E58" s="334">
        <v>32</v>
      </c>
      <c r="F58" s="334">
        <v>547905.6</v>
      </c>
    </row>
    <row r="59" spans="1:6">
      <c r="A59" s="348" t="s">
        <v>49</v>
      </c>
      <c r="B59" s="348" t="s">
        <v>52</v>
      </c>
      <c r="C59" s="334">
        <v>33</v>
      </c>
      <c r="D59" s="334">
        <v>2024422.9134167801</v>
      </c>
      <c r="E59" s="334">
        <v>129</v>
      </c>
      <c r="F59" s="334">
        <v>3295570</v>
      </c>
    </row>
    <row r="60" spans="1:6">
      <c r="A60" s="348" t="s">
        <v>49</v>
      </c>
      <c r="B60" s="348" t="s">
        <v>53</v>
      </c>
      <c r="C60" s="334">
        <v>23</v>
      </c>
      <c r="D60" s="334">
        <v>976292.56869192095</v>
      </c>
      <c r="E60" s="334">
        <v>40</v>
      </c>
      <c r="F60" s="334">
        <v>765270</v>
      </c>
    </row>
    <row r="61" spans="1:6">
      <c r="A61" s="348" t="s">
        <v>49</v>
      </c>
      <c r="B61" s="348" t="s">
        <v>54</v>
      </c>
      <c r="C61" s="334">
        <v>42</v>
      </c>
      <c r="D61" s="334">
        <v>1022643.28126355</v>
      </c>
      <c r="E61" s="334">
        <v>198</v>
      </c>
      <c r="F61" s="334">
        <v>5244840</v>
      </c>
    </row>
    <row r="62" spans="1:6">
      <c r="A62" s="348" t="s">
        <v>49</v>
      </c>
      <c r="B62" s="348" t="s">
        <v>55</v>
      </c>
      <c r="C62" s="334">
        <v>0</v>
      </c>
      <c r="D62" s="334">
        <v>0</v>
      </c>
      <c r="E62" s="334">
        <v>0</v>
      </c>
      <c r="F62" s="334">
        <v>0</v>
      </c>
    </row>
    <row r="63" spans="1:6">
      <c r="A63" s="348" t="s">
        <v>49</v>
      </c>
      <c r="B63" s="348" t="s">
        <v>29</v>
      </c>
      <c r="C63" s="334">
        <v>73</v>
      </c>
      <c r="D63" s="334">
        <v>4283272.3987825997</v>
      </c>
      <c r="E63" s="334">
        <v>99</v>
      </c>
      <c r="F63" s="334">
        <v>1576668</v>
      </c>
    </row>
    <row r="64" spans="1:6">
      <c r="A64" s="348" t="s">
        <v>56</v>
      </c>
      <c r="B64" s="348" t="s">
        <v>57</v>
      </c>
      <c r="C64" s="334">
        <v>0</v>
      </c>
      <c r="D64" s="334">
        <v>0</v>
      </c>
      <c r="E64" s="334">
        <v>0</v>
      </c>
      <c r="F64" s="334">
        <v>0</v>
      </c>
    </row>
    <row r="65" spans="1:6">
      <c r="A65" s="348" t="s">
        <v>56</v>
      </c>
      <c r="B65" s="348" t="s">
        <v>29</v>
      </c>
      <c r="C65" s="334">
        <v>1</v>
      </c>
      <c r="D65" s="334">
        <v>28960.1417096109</v>
      </c>
      <c r="E65" s="334">
        <v>4</v>
      </c>
      <c r="F65" s="334">
        <v>24617.33</v>
      </c>
    </row>
    <row r="66" spans="1:6">
      <c r="A66" s="348" t="s">
        <v>56</v>
      </c>
      <c r="B66" s="348" t="s">
        <v>58</v>
      </c>
      <c r="C66" s="334">
        <v>0</v>
      </c>
      <c r="D66" s="334">
        <v>0</v>
      </c>
      <c r="E66" s="334">
        <v>5</v>
      </c>
      <c r="F66" s="334">
        <v>222955</v>
      </c>
    </row>
    <row r="67" spans="1:6">
      <c r="A67" s="355" t="s">
        <v>56</v>
      </c>
      <c r="B67" s="355" t="s">
        <v>59</v>
      </c>
      <c r="C67" s="334">
        <v>0</v>
      </c>
      <c r="D67" s="334">
        <v>0</v>
      </c>
      <c r="E67" s="334">
        <v>0</v>
      </c>
      <c r="F67" s="334">
        <v>0</v>
      </c>
    </row>
    <row r="68" spans="1:6">
      <c r="A68" s="341" t="s">
        <v>56</v>
      </c>
      <c r="B68" s="341" t="s">
        <v>60</v>
      </c>
      <c r="C68" s="334">
        <v>0</v>
      </c>
      <c r="D68" s="334">
        <v>0</v>
      </c>
      <c r="E68" s="334">
        <v>5</v>
      </c>
      <c r="F68" s="334">
        <v>120918.9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25387151</v>
      </c>
      <c r="E73" s="476">
        <v>27168693.147626031</v>
      </c>
    </row>
    <row r="74" spans="1:6">
      <c r="A74" s="348" t="s">
        <v>64</v>
      </c>
      <c r="B74" s="348" t="s">
        <v>714</v>
      </c>
      <c r="C74" s="1311" t="s">
        <v>716</v>
      </c>
      <c r="D74" s="476">
        <v>2397287.0640310962</v>
      </c>
      <c r="E74" s="476">
        <v>2470917.8494675634</v>
      </c>
    </row>
    <row r="75" spans="1:6">
      <c r="A75" s="348" t="s">
        <v>65</v>
      </c>
      <c r="B75" s="348" t="s">
        <v>713</v>
      </c>
      <c r="C75" s="1311" t="s">
        <v>717</v>
      </c>
      <c r="D75" s="476">
        <v>36533878</v>
      </c>
      <c r="E75" s="476">
        <v>37459307.701985493</v>
      </c>
    </row>
    <row r="76" spans="1:6">
      <c r="A76" s="348" t="s">
        <v>65</v>
      </c>
      <c r="B76" s="348" t="s">
        <v>714</v>
      </c>
      <c r="C76" s="1311" t="s">
        <v>718</v>
      </c>
      <c r="D76" s="476">
        <v>2679297.0640310962</v>
      </c>
      <c r="E76" s="476">
        <v>2723193.6926225428</v>
      </c>
    </row>
    <row r="77" spans="1:6">
      <c r="A77" s="348" t="s">
        <v>66</v>
      </c>
      <c r="B77" s="348" t="s">
        <v>713</v>
      </c>
      <c r="C77" s="1311" t="s">
        <v>719</v>
      </c>
      <c r="D77" s="476">
        <v>180818034</v>
      </c>
      <c r="E77" s="476">
        <v>193064775.34342694</v>
      </c>
    </row>
    <row r="78" spans="1:6">
      <c r="A78" s="341" t="s">
        <v>66</v>
      </c>
      <c r="B78" s="341" t="s">
        <v>714</v>
      </c>
      <c r="C78" s="341" t="s">
        <v>720</v>
      </c>
      <c r="D78" s="1307">
        <v>31283242</v>
      </c>
      <c r="E78" s="1307">
        <v>32578738.177524697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93583.871937807504</v>
      </c>
      <c r="C83" s="476">
        <v>94951.672125617464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2557.9136664650687</v>
      </c>
    </row>
    <row r="92" spans="1:6">
      <c r="A92" s="341" t="s">
        <v>69</v>
      </c>
      <c r="B92" s="342">
        <v>833.53486400263785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418</v>
      </c>
    </row>
    <row r="98" spans="1:6">
      <c r="A98" s="348" t="s">
        <v>72</v>
      </c>
      <c r="B98" s="334">
        <v>0</v>
      </c>
    </row>
    <row r="99" spans="1:6">
      <c r="A99" s="348" t="s">
        <v>73</v>
      </c>
      <c r="B99" s="334">
        <v>183</v>
      </c>
    </row>
    <row r="100" spans="1:6">
      <c r="A100" s="348" t="s">
        <v>74</v>
      </c>
      <c r="B100" s="334">
        <v>540</v>
      </c>
    </row>
    <row r="101" spans="1:6">
      <c r="A101" s="348" t="s">
        <v>75</v>
      </c>
      <c r="B101" s="334">
        <v>124</v>
      </c>
    </row>
    <row r="102" spans="1:6">
      <c r="A102" s="348" t="s">
        <v>76</v>
      </c>
      <c r="B102" s="334">
        <v>87</v>
      </c>
    </row>
    <row r="103" spans="1:6">
      <c r="A103" s="348" t="s">
        <v>77</v>
      </c>
      <c r="B103" s="334">
        <v>228</v>
      </c>
    </row>
    <row r="104" spans="1:6">
      <c r="A104" s="348" t="s">
        <v>78</v>
      </c>
      <c r="B104" s="334">
        <v>2518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4</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47651.379879756612</v>
      </c>
      <c r="C3" s="43" t="s">
        <v>170</v>
      </c>
      <c r="D3" s="43"/>
      <c r="E3" s="154"/>
      <c r="F3" s="43"/>
      <c r="G3" s="43"/>
      <c r="H3" s="43"/>
      <c r="I3" s="43"/>
      <c r="J3" s="43"/>
      <c r="K3" s="96"/>
    </row>
    <row r="4" spans="1:11">
      <c r="A4" s="384" t="s">
        <v>171</v>
      </c>
      <c r="B4" s="49">
        <f>IF(ISERROR('SEAP template'!B78+'SEAP template'!C78),0,'SEAP template'!B78+'SEAP template'!C78)</f>
        <v>24991.448530467707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5133.176470588237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0.21281694935951309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7333.1092436974805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30857.142857142855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1190.2529999999999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1190.2529999999999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0.21281694935951309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253.30601242600852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22714.793000000001</v>
      </c>
      <c r="C5" s="17">
        <f>IF(ISERROR('Eigen informatie GS &amp; warmtenet'!B57),0,'Eigen informatie GS &amp; warmtenet'!B57)</f>
        <v>0</v>
      </c>
      <c r="D5" s="30">
        <f>(SUM(HH_hh_gas_kWh,HH_rest_gas_kWh)/1000)*0.902</f>
        <v>26101.362146364489</v>
      </c>
      <c r="E5" s="17">
        <f>B46*B57</f>
        <v>5077.2843013796837</v>
      </c>
      <c r="F5" s="17">
        <f>B51*B62</f>
        <v>26049.165432505848</v>
      </c>
      <c r="G5" s="18"/>
      <c r="H5" s="17"/>
      <c r="I5" s="17"/>
      <c r="J5" s="17">
        <f>B50*B61+C50*C61</f>
        <v>2314.4639229029162</v>
      </c>
      <c r="K5" s="17"/>
      <c r="L5" s="17"/>
      <c r="M5" s="17"/>
      <c r="N5" s="17">
        <f>B48*B59+C48*C59</f>
        <v>13046.687626552504</v>
      </c>
      <c r="O5" s="17">
        <f>B69*B70*B71</f>
        <v>211.05</v>
      </c>
      <c r="P5" s="17">
        <f>B77*B78*B79/1000-B77*B78*B79/1000/B80</f>
        <v>724.5333333333333</v>
      </c>
    </row>
    <row r="6" spans="1:16">
      <c r="A6" s="16" t="s">
        <v>631</v>
      </c>
      <c r="B6" s="789">
        <f>kWh_PV_kleiner_dan_10kW</f>
        <v>2557.9136664650687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25272.70666646507</v>
      </c>
      <c r="C8" s="21">
        <f>C5</f>
        <v>0</v>
      </c>
      <c r="D8" s="21">
        <f>D5</f>
        <v>26101.362146364489</v>
      </c>
      <c r="E8" s="21">
        <f>E5</f>
        <v>5077.2843013796837</v>
      </c>
      <c r="F8" s="21">
        <f>F5</f>
        <v>26049.165432505848</v>
      </c>
      <c r="G8" s="21"/>
      <c r="H8" s="21"/>
      <c r="I8" s="21"/>
      <c r="J8" s="21">
        <f>J5</f>
        <v>2314.4639229029162</v>
      </c>
      <c r="K8" s="21"/>
      <c r="L8" s="21">
        <f>L5</f>
        <v>0</v>
      </c>
      <c r="M8" s="21">
        <f>M5</f>
        <v>0</v>
      </c>
      <c r="N8" s="21">
        <f>N5</f>
        <v>13046.687626552504</v>
      </c>
      <c r="O8" s="21">
        <f>O5</f>
        <v>211.05</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0.21281694935951309</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5378.4603348149258</v>
      </c>
      <c r="C12" s="23">
        <f ca="1">C10*C8</f>
        <v>0</v>
      </c>
      <c r="D12" s="23">
        <f>D8*D10</f>
        <v>5272.4751535656269</v>
      </c>
      <c r="E12" s="23">
        <f>E10*E8</f>
        <v>1152.5435364131883</v>
      </c>
      <c r="F12" s="23">
        <f>F10*F8</f>
        <v>6955.1271704790615</v>
      </c>
      <c r="G12" s="23"/>
      <c r="H12" s="23"/>
      <c r="I12" s="23"/>
      <c r="J12" s="23">
        <f>J10*J8</f>
        <v>819.32022870763228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418</v>
      </c>
      <c r="C18" s="166" t="s">
        <v>111</v>
      </c>
      <c r="D18" s="228"/>
      <c r="E18" s="15"/>
    </row>
    <row r="19" spans="1:7">
      <c r="A19" s="171" t="s">
        <v>72</v>
      </c>
      <c r="B19" s="37">
        <f>aantalw2001_ander</f>
        <v>0</v>
      </c>
      <c r="C19" s="166" t="s">
        <v>111</v>
      </c>
      <c r="D19" s="229"/>
      <c r="E19" s="15"/>
    </row>
    <row r="20" spans="1:7">
      <c r="A20" s="171" t="s">
        <v>73</v>
      </c>
      <c r="B20" s="37">
        <f>aantalw2001_propaan</f>
        <v>183</v>
      </c>
      <c r="C20" s="167">
        <f>IF(ISERROR(B20/SUM($B$20,$B$21,$B$22)*100),0,B20/SUM($B$20,$B$21,$B$22)*100)</f>
        <v>21.605667060212514</v>
      </c>
      <c r="D20" s="229"/>
      <c r="E20" s="15"/>
    </row>
    <row r="21" spans="1:7">
      <c r="A21" s="171" t="s">
        <v>74</v>
      </c>
      <c r="B21" s="37">
        <f>aantalw2001_elektriciteit</f>
        <v>540</v>
      </c>
      <c r="C21" s="167">
        <f>IF(ISERROR(B21/SUM($B$20,$B$21,$B$22)*100),0,B21/SUM($B$20,$B$21,$B$22)*100)</f>
        <v>63.754427390791022</v>
      </c>
      <c r="D21" s="229"/>
      <c r="E21" s="15"/>
    </row>
    <row r="22" spans="1:7">
      <c r="A22" s="171" t="s">
        <v>75</v>
      </c>
      <c r="B22" s="37">
        <f>aantalw2001_hout</f>
        <v>124</v>
      </c>
      <c r="C22" s="167">
        <f>IF(ISERROR(B22/SUM($B$20,$B$21,$B$22)*100),0,B22/SUM($B$20,$B$21,$B$22)*100)</f>
        <v>14.639905548996456</v>
      </c>
      <c r="D22" s="229"/>
      <c r="E22" s="15"/>
    </row>
    <row r="23" spans="1:7">
      <c r="A23" s="171" t="s">
        <v>76</v>
      </c>
      <c r="B23" s="37">
        <f>aantalw2001_niet_gespec</f>
        <v>87</v>
      </c>
      <c r="C23" s="166" t="s">
        <v>111</v>
      </c>
      <c r="D23" s="228"/>
      <c r="E23" s="15"/>
    </row>
    <row r="24" spans="1:7">
      <c r="A24" s="171" t="s">
        <v>77</v>
      </c>
      <c r="B24" s="37">
        <f>aantalw2001_steenkool</f>
        <v>228</v>
      </c>
      <c r="C24" s="166" t="s">
        <v>111</v>
      </c>
      <c r="D24" s="229"/>
      <c r="E24" s="15"/>
    </row>
    <row r="25" spans="1:7">
      <c r="A25" s="171" t="s">
        <v>78</v>
      </c>
      <c r="B25" s="37">
        <f>aantalw2001_stookolie</f>
        <v>2518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4777</v>
      </c>
      <c r="C28" s="36"/>
      <c r="D28" s="228"/>
    </row>
    <row r="29" spans="1:7" s="15" customFormat="1">
      <c r="A29" s="230" t="s">
        <v>741</v>
      </c>
      <c r="B29" s="37">
        <f>SUM(HH_hh_gas_aantal,HH_rest_gas_aantal)</f>
        <v>2040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2040</v>
      </c>
      <c r="C32" s="167">
        <f>IF(ISERROR(B32/SUM($B$32,$B$34,$B$35,$B$36,$B$38,$B$39)*100),0,B32/SUM($B$32,$B$34,$B$35,$B$36,$B$38,$B$39)*100)</f>
        <v>43.047056341000214</v>
      </c>
      <c r="D32" s="233"/>
      <c r="G32" s="15"/>
    </row>
    <row r="33" spans="1:7">
      <c r="A33" s="171" t="s">
        <v>72</v>
      </c>
      <c r="B33" s="34" t="s">
        <v>111</v>
      </c>
      <c r="C33" s="167"/>
      <c r="D33" s="233"/>
      <c r="G33" s="15"/>
    </row>
    <row r="34" spans="1:7">
      <c r="A34" s="171" t="s">
        <v>73</v>
      </c>
      <c r="B34" s="33">
        <f>IF((($B$28-$B$32-$B$39-$B$77-$B$38)*C20/100)&lt;0,0,($B$28-$B$32-$B$39-$B$77-$B$38)*C20/100)</f>
        <v>340.28925619834712</v>
      </c>
      <c r="C34" s="167">
        <f>IF(ISERROR(B34/SUM($B$32,$B$34,$B$35,$B$36,$B$38,$B$39)*100),0,B34/SUM($B$32,$B$34,$B$35,$B$36,$B$38,$B$39)*100)</f>
        <v>7.1806131293173054</v>
      </c>
      <c r="D34" s="233"/>
      <c r="G34" s="15"/>
    </row>
    <row r="35" spans="1:7">
      <c r="A35" s="171" t="s">
        <v>74</v>
      </c>
      <c r="B35" s="33">
        <f>IF((($B$28-$B$32-$B$39-$B$77-$B$38)*C21/100)&lt;0,0,($B$28-$B$32-$B$39-$B$77-$B$38)*C21/100)</f>
        <v>1004.1322314049586</v>
      </c>
      <c r="C35" s="167">
        <f>IF(ISERROR(B35/SUM($B$32,$B$34,$B$35,$B$36,$B$38,$B$39)*100),0,B35/SUM($B$32,$B$34,$B$35,$B$36,$B$38,$B$39)*100)</f>
        <v>21.188694479952701</v>
      </c>
      <c r="D35" s="233"/>
      <c r="G35" s="15"/>
    </row>
    <row r="36" spans="1:7">
      <c r="A36" s="171" t="s">
        <v>75</v>
      </c>
      <c r="B36" s="33">
        <f>IF((($B$28-$B$32-$B$39-$B$77-$B$38)*C22/100)&lt;0,0,($B$28-$B$32-$B$39-$B$77-$B$38)*C22/100)</f>
        <v>230.57851239669418</v>
      </c>
      <c r="C36" s="167">
        <f>IF(ISERROR(B36/SUM($B$32,$B$34,$B$35,$B$36,$B$38,$B$39)*100),0,B36/SUM($B$32,$B$34,$B$35,$B$36,$B$38,$B$39)*100)</f>
        <v>4.8655520657669173</v>
      </c>
      <c r="D36" s="233"/>
      <c r="G36" s="15"/>
    </row>
    <row r="37" spans="1:7">
      <c r="A37" s="171" t="s">
        <v>76</v>
      </c>
      <c r="B37" s="34" t="s">
        <v>111</v>
      </c>
      <c r="C37" s="167"/>
      <c r="D37" s="173"/>
      <c r="G37" s="15"/>
    </row>
    <row r="38" spans="1:7">
      <c r="A38" s="171" t="s">
        <v>77</v>
      </c>
      <c r="B38" s="33">
        <f>IF((B24-(B29-B18)*0.1)&lt;0,0,B24-(B29-B18)*0.1)</f>
        <v>65.799999999999983</v>
      </c>
      <c r="C38" s="167">
        <f>IF(ISERROR(B38/SUM($B$32,$B$34,$B$35,$B$36,$B$38,$B$39)*100),0,B38/SUM($B$32,$B$34,$B$35,$B$36,$B$38,$B$39)*100)</f>
        <v>1.3884785819793202</v>
      </c>
      <c r="D38" s="234"/>
      <c r="G38" s="15"/>
    </row>
    <row r="39" spans="1:7">
      <c r="A39" s="171" t="s">
        <v>78</v>
      </c>
      <c r="B39" s="33">
        <f>IF((B25-(B29-B18))&lt;0,0,B25-(B29-B18)*0.9)</f>
        <v>1058.2</v>
      </c>
      <c r="C39" s="167">
        <f>IF(ISERROR(B39/SUM($B$32,$B$34,$B$35,$B$36,$B$38,$B$39)*100),0,B39/SUM($B$32,$B$34,$B$35,$B$36,$B$38,$B$39)*100)</f>
        <v>22.329605401983539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2040</v>
      </c>
      <c r="C44" s="34" t="s">
        <v>111</v>
      </c>
      <c r="D44" s="174"/>
    </row>
    <row r="45" spans="1:7">
      <c r="A45" s="171" t="s">
        <v>72</v>
      </c>
      <c r="B45" s="33" t="str">
        <f t="shared" si="0"/>
        <v>-</v>
      </c>
      <c r="C45" s="34" t="s">
        <v>111</v>
      </c>
      <c r="D45" s="174"/>
    </row>
    <row r="46" spans="1:7">
      <c r="A46" s="171" t="s">
        <v>73</v>
      </c>
      <c r="B46" s="33">
        <f t="shared" si="0"/>
        <v>340.28925619834712</v>
      </c>
      <c r="C46" s="34" t="s">
        <v>111</v>
      </c>
      <c r="D46" s="174"/>
    </row>
    <row r="47" spans="1:7">
      <c r="A47" s="171" t="s">
        <v>74</v>
      </c>
      <c r="B47" s="33">
        <f t="shared" si="0"/>
        <v>1004.1322314049586</v>
      </c>
      <c r="C47" s="34" t="s">
        <v>111</v>
      </c>
      <c r="D47" s="174"/>
    </row>
    <row r="48" spans="1:7">
      <c r="A48" s="171" t="s">
        <v>75</v>
      </c>
      <c r="B48" s="33">
        <f t="shared" si="0"/>
        <v>230.57851239669418</v>
      </c>
      <c r="C48" s="33">
        <f>B48*10</f>
        <v>2305.7851239669417</v>
      </c>
      <c r="D48" s="234"/>
    </row>
    <row r="49" spans="1:6">
      <c r="A49" s="171" t="s">
        <v>76</v>
      </c>
      <c r="B49" s="33" t="str">
        <f t="shared" si="0"/>
        <v>-</v>
      </c>
      <c r="C49" s="34" t="s">
        <v>111</v>
      </c>
      <c r="D49" s="234"/>
    </row>
    <row r="50" spans="1:6">
      <c r="A50" s="171" t="s">
        <v>77</v>
      </c>
      <c r="B50" s="33">
        <f t="shared" si="0"/>
        <v>65.799999999999983</v>
      </c>
      <c r="C50" s="33">
        <f>B50*2</f>
        <v>131.59999999999997</v>
      </c>
      <c r="D50" s="234"/>
    </row>
    <row r="51" spans="1:6">
      <c r="A51" s="171" t="s">
        <v>78</v>
      </c>
      <c r="B51" s="33">
        <f t="shared" si="0"/>
        <v>1058.2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12749.372600000001</v>
      </c>
      <c r="C5" s="17">
        <f>IF(ISERROR('Eigen informatie GS &amp; warmtenet'!B58),0,'Eigen informatie GS &amp; warmtenet'!B58)</f>
        <v>0</v>
      </c>
      <c r="D5" s="30">
        <f>SUM(D6:D12)</f>
        <v>9716.2346741094861</v>
      </c>
      <c r="E5" s="17">
        <f>SUM(E6:E12)</f>
        <v>101.92788293909622</v>
      </c>
      <c r="F5" s="17">
        <f>SUM(F6:F12)</f>
        <v>1778.3300178817551</v>
      </c>
      <c r="G5" s="18"/>
      <c r="H5" s="17"/>
      <c r="I5" s="17"/>
      <c r="J5" s="17">
        <f>SUM(J6:J12)</f>
        <v>0</v>
      </c>
      <c r="K5" s="17"/>
      <c r="L5" s="17"/>
      <c r="M5" s="17"/>
      <c r="N5" s="17">
        <f>SUM(N6:N12)</f>
        <v>1147.5171870184779</v>
      </c>
      <c r="O5" s="17">
        <f>B38*B39*B40</f>
        <v>6.2533333333333339</v>
      </c>
      <c r="P5" s="17">
        <f>B46*B47*B48/1000-B46*B47*B48/1000/B49</f>
        <v>57.2</v>
      </c>
      <c r="R5" s="32"/>
    </row>
    <row r="6" spans="1:18">
      <c r="A6" s="32" t="s">
        <v>54</v>
      </c>
      <c r="B6" s="37">
        <f>B26</f>
        <v>5244.84</v>
      </c>
      <c r="C6" s="33"/>
      <c r="D6" s="37">
        <f>IF(ISERROR(TER_kantoor_gas_kWh/1000),0,TER_kantoor_gas_kWh/1000)*0.902</f>
        <v>922.42423969972219</v>
      </c>
      <c r="E6" s="33">
        <f>$C$26*'E Balans VL '!I12/100/3.6*1000000</f>
        <v>15.195071007141255</v>
      </c>
      <c r="F6" s="33">
        <f>$C$26*('E Balans VL '!L12+'E Balans VL '!N12)/100/3.6*1000000</f>
        <v>593.60033521572188</v>
      </c>
      <c r="G6" s="34"/>
      <c r="H6" s="33"/>
      <c r="I6" s="33"/>
      <c r="J6" s="33">
        <f>$C$26*('E Balans VL '!D12+'E Balans VL '!E12)/100/3.6*1000000</f>
        <v>0</v>
      </c>
      <c r="K6" s="33"/>
      <c r="L6" s="33"/>
      <c r="M6" s="33"/>
      <c r="N6" s="33">
        <f>$C$26*'E Balans VL '!Y12/100/3.6*1000000</f>
        <v>52.49698382933969</v>
      </c>
      <c r="O6" s="33"/>
      <c r="P6" s="33"/>
      <c r="R6" s="32"/>
    </row>
    <row r="7" spans="1:18">
      <c r="A7" s="32" t="s">
        <v>53</v>
      </c>
      <c r="B7" s="37">
        <f t="shared" ref="B7:B12" si="0">B27</f>
        <v>765.27</v>
      </c>
      <c r="C7" s="33"/>
      <c r="D7" s="37">
        <f>IF(ISERROR(TER_horeca_gas_kWh/1000),0,TER_horeca_gas_kWh/1000)*0.902</f>
        <v>880.61589696011265</v>
      </c>
      <c r="E7" s="33">
        <f>$C$27*'E Balans VL '!I9/100/3.6*1000000</f>
        <v>32.123896477877487</v>
      </c>
      <c r="F7" s="33">
        <f>$C$27*('E Balans VL '!L9+'E Balans VL '!N9)/100/3.6*1000000</f>
        <v>164.43395283939498</v>
      </c>
      <c r="G7" s="34"/>
      <c r="H7" s="33"/>
      <c r="I7" s="33"/>
      <c r="J7" s="33">
        <f>$C$27*('E Balans VL '!D9+'E Balans VL '!E9)/100/3.6*1000000</f>
        <v>0</v>
      </c>
      <c r="K7" s="33"/>
      <c r="L7" s="33"/>
      <c r="M7" s="33"/>
      <c r="N7" s="33">
        <f>$C$27*'E Balans VL '!Y9/100/3.6*1000000</f>
        <v>0.19720338647106306</v>
      </c>
      <c r="O7" s="33"/>
      <c r="P7" s="33"/>
      <c r="R7" s="32"/>
    </row>
    <row r="8" spans="1:18">
      <c r="A8" s="6" t="s">
        <v>52</v>
      </c>
      <c r="B8" s="37">
        <f t="shared" si="0"/>
        <v>3295.57</v>
      </c>
      <c r="C8" s="33"/>
      <c r="D8" s="37">
        <f>IF(ISERROR(TER_handel_gas_kWh/1000),0,TER_handel_gas_kWh/1000)*0.902</f>
        <v>1826.0294679019357</v>
      </c>
      <c r="E8" s="33">
        <f>$C$28*'E Balans VL '!I13/100/3.6*1000000</f>
        <v>35.397164624941837</v>
      </c>
      <c r="F8" s="33">
        <f>$C$28*('E Balans VL '!L13+'E Balans VL '!N13)/100/3.6*1000000</f>
        <v>426.63875075604375</v>
      </c>
      <c r="G8" s="34"/>
      <c r="H8" s="33"/>
      <c r="I8" s="33"/>
      <c r="J8" s="33">
        <f>$C$28*('E Balans VL '!D13+'E Balans VL '!E13)/100/3.6*1000000</f>
        <v>0</v>
      </c>
      <c r="K8" s="33"/>
      <c r="L8" s="33"/>
      <c r="M8" s="33"/>
      <c r="N8" s="33">
        <f>$C$28*'E Balans VL '!Y13/100/3.6*1000000</f>
        <v>26.733843785945972</v>
      </c>
      <c r="O8" s="33"/>
      <c r="P8" s="33"/>
      <c r="R8" s="32"/>
    </row>
    <row r="9" spans="1:18">
      <c r="A9" s="32" t="s">
        <v>51</v>
      </c>
      <c r="B9" s="37">
        <f t="shared" si="0"/>
        <v>547.90559999999994</v>
      </c>
      <c r="C9" s="33"/>
      <c r="D9" s="37">
        <f>IF(ISERROR(TER_gezond_gas_kWh/1000),0,TER_gezond_gas_kWh/1000)*0.902</f>
        <v>987.1916168829913</v>
      </c>
      <c r="E9" s="33">
        <f>$C$29*'E Balans VL '!I10/100/3.6*1000000</f>
        <v>0.43616829518480699</v>
      </c>
      <c r="F9" s="33">
        <f>$C$29*('E Balans VL '!L10+'E Balans VL '!N10)/100/3.6*1000000</f>
        <v>66.605843629092888</v>
      </c>
      <c r="G9" s="34"/>
      <c r="H9" s="33"/>
      <c r="I9" s="33"/>
      <c r="J9" s="33">
        <f>$C$29*('E Balans VL '!D10+'E Balans VL '!E10)/100/3.6*1000000</f>
        <v>0</v>
      </c>
      <c r="K9" s="33"/>
      <c r="L9" s="33"/>
      <c r="M9" s="33"/>
      <c r="N9" s="33">
        <f>$C$29*'E Balans VL '!Y10/100/3.6*1000000</f>
        <v>4.4258362787487009</v>
      </c>
      <c r="O9" s="33"/>
      <c r="P9" s="33"/>
      <c r="R9" s="32"/>
    </row>
    <row r="10" spans="1:18">
      <c r="A10" s="32" t="s">
        <v>50</v>
      </c>
      <c r="B10" s="37">
        <f t="shared" si="0"/>
        <v>1319.1189999999999</v>
      </c>
      <c r="C10" s="33"/>
      <c r="D10" s="37">
        <f>IF(ISERROR(TER_ander_gas_kWh/1000),0,TER_ander_gas_kWh/1000)*0.902</f>
        <v>1236.4617489628195</v>
      </c>
      <c r="E10" s="33">
        <f>$C$30*'E Balans VL '!I14/100/3.6*1000000</f>
        <v>4.5206901106292765</v>
      </c>
      <c r="F10" s="33">
        <f>$C$30*('E Balans VL '!L14+'E Balans VL '!N14)/100/3.6*1000000</f>
        <v>294.63758191804834</v>
      </c>
      <c r="G10" s="34"/>
      <c r="H10" s="33"/>
      <c r="I10" s="33"/>
      <c r="J10" s="33">
        <f>$C$30*('E Balans VL '!D14+'E Balans VL '!E14)/100/3.6*1000000</f>
        <v>0</v>
      </c>
      <c r="K10" s="33"/>
      <c r="L10" s="33"/>
      <c r="M10" s="33"/>
      <c r="N10" s="33">
        <f>$C$30*'E Balans VL '!Y14/100/3.6*1000000</f>
        <v>929.19462980623484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1576.6679999999999</v>
      </c>
      <c r="C12" s="33"/>
      <c r="D12" s="37">
        <f>IF(ISERROR(TER_rest_gas_kWh/1000),0,TER_rest_gas_kWh/1000)*0.902</f>
        <v>3863.5117037019045</v>
      </c>
      <c r="E12" s="33">
        <f>$C$32*'E Balans VL '!I8/100/3.6*1000000</f>
        <v>14.254892423321545</v>
      </c>
      <c r="F12" s="33">
        <f>$C$32*('E Balans VL '!L8+'E Balans VL '!N8)/100/3.6*1000000</f>
        <v>232.41355352345332</v>
      </c>
      <c r="G12" s="34"/>
      <c r="H12" s="33"/>
      <c r="I12" s="33"/>
      <c r="J12" s="33">
        <f>$C$32*('E Balans VL '!D8+'E Balans VL '!E8)/100/3.6*1000000</f>
        <v>0</v>
      </c>
      <c r="K12" s="33"/>
      <c r="L12" s="33"/>
      <c r="M12" s="33"/>
      <c r="N12" s="33">
        <f>$C$32*'E Balans VL '!Y8/100/3.6*1000000</f>
        <v>134.46868993173763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12749.372600000001</v>
      </c>
      <c r="C16" s="21">
        <f t="shared" ca="1" si="1"/>
        <v>0</v>
      </c>
      <c r="D16" s="21">
        <f t="shared" ca="1" si="1"/>
        <v>9716.2346741094861</v>
      </c>
      <c r="E16" s="21">
        <f t="shared" si="1"/>
        <v>101.92788293909622</v>
      </c>
      <c r="F16" s="21">
        <f t="shared" ca="1" si="1"/>
        <v>1778.3300178817551</v>
      </c>
      <c r="G16" s="21">
        <f t="shared" si="1"/>
        <v>0</v>
      </c>
      <c r="H16" s="21">
        <f t="shared" si="1"/>
        <v>0</v>
      </c>
      <c r="I16" s="21">
        <f t="shared" si="1"/>
        <v>0</v>
      </c>
      <c r="J16" s="21">
        <f t="shared" si="1"/>
        <v>0</v>
      </c>
      <c r="K16" s="21">
        <f t="shared" si="1"/>
        <v>0</v>
      </c>
      <c r="L16" s="21">
        <f t="shared" ca="1" si="1"/>
        <v>0</v>
      </c>
      <c r="M16" s="21">
        <f t="shared" si="1"/>
        <v>0</v>
      </c>
      <c r="N16" s="21">
        <f t="shared" ca="1" si="1"/>
        <v>1147.5171870184779</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0.21281694935951309</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2713.2825829797639</v>
      </c>
      <c r="C20" s="23">
        <f t="shared" ref="C20:P20" ca="1" si="2">C16*C18</f>
        <v>0</v>
      </c>
      <c r="D20" s="23">
        <f t="shared" ca="1" si="2"/>
        <v>1962.6794041701164</v>
      </c>
      <c r="E20" s="23">
        <f t="shared" si="2"/>
        <v>23.137629427174843</v>
      </c>
      <c r="F20" s="23">
        <f t="shared" ca="1" si="2"/>
        <v>474.81411477442862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5244.84</v>
      </c>
      <c r="C26" s="39">
        <f>IF(ISERROR(B26*3.6/1000000/'E Balans VL '!Z12*100),0,B26*3.6/1000000/'E Balans VL '!Z12*100)</f>
        <v>0.11520897424223644</v>
      </c>
      <c r="D26" s="237" t="s">
        <v>692</v>
      </c>
      <c r="F26" s="6"/>
    </row>
    <row r="27" spans="1:18">
      <c r="A27" s="231" t="s">
        <v>53</v>
      </c>
      <c r="B27" s="33">
        <f>IF(ISERROR(TER_horeca_ele_kWh/1000),0,TER_horeca_ele_kWh/1000)</f>
        <v>765.27</v>
      </c>
      <c r="C27" s="39">
        <f>IF(ISERROR(B27*3.6/1000000/'E Balans VL '!Z9*100),0,B27*3.6/1000000/'E Balans VL '!Z9*100)</f>
        <v>6.1497072801458476E-2</v>
      </c>
      <c r="D27" s="237" t="s">
        <v>692</v>
      </c>
      <c r="F27" s="6"/>
    </row>
    <row r="28" spans="1:18">
      <c r="A28" s="171" t="s">
        <v>52</v>
      </c>
      <c r="B28" s="33">
        <f>IF(ISERROR(TER_handel_ele_kWh/1000),0,TER_handel_ele_kWh/1000)</f>
        <v>3295.57</v>
      </c>
      <c r="C28" s="39">
        <f>IF(ISERROR(B28*3.6/1000000/'E Balans VL '!Z13*100),0,B28*3.6/1000000/'E Balans VL '!Z13*100)</f>
        <v>9.7447702566456892E-2</v>
      </c>
      <c r="D28" s="237" t="s">
        <v>692</v>
      </c>
      <c r="F28" s="6"/>
    </row>
    <row r="29" spans="1:18">
      <c r="A29" s="231" t="s">
        <v>51</v>
      </c>
      <c r="B29" s="33">
        <f>IF(ISERROR(TER_gezond_ele_kWh/1000),0,TER_gezond_ele_kWh/1000)</f>
        <v>547.90559999999994</v>
      </c>
      <c r="C29" s="39">
        <f>IF(ISERROR(B29*3.6/1000000/'E Balans VL '!Z10*100),0,B29*3.6/1000000/'E Balans VL '!Z10*100)</f>
        <v>6.1734815444352456E-2</v>
      </c>
      <c r="D29" s="237" t="s">
        <v>692</v>
      </c>
      <c r="F29" s="6"/>
    </row>
    <row r="30" spans="1:18">
      <c r="A30" s="231" t="s">
        <v>50</v>
      </c>
      <c r="B30" s="33">
        <f>IF(ISERROR(TER_ander_ele_kWh/1000),0,TER_ander_ele_kWh/1000)</f>
        <v>1319.1189999999999</v>
      </c>
      <c r="C30" s="39">
        <f>IF(ISERROR(B30*3.6/1000000/'E Balans VL '!Z14*100),0,B30*3.6/1000000/'E Balans VL '!Z14*100)</f>
        <v>9.9762715037924901E-2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1576.6679999999999</v>
      </c>
      <c r="C32" s="39">
        <f>IF(ISERROR(B32*3.6/1000000/'E Balans VL '!Z8*100),0,B32*3.6/1000000/'E Balans VL '!Z8*100)</f>
        <v>1.3282500377625813E-2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3034.8661200000001</v>
      </c>
      <c r="C5" s="17">
        <f>IF(ISERROR('Eigen informatie GS &amp; warmtenet'!B59),0,'Eigen informatie GS &amp; warmtenet'!B59)</f>
        <v>0</v>
      </c>
      <c r="D5" s="30">
        <f>SUM(D6:D15)</f>
        <v>1812.9311003146736</v>
      </c>
      <c r="E5" s="17">
        <f>SUM(E6:E15)</f>
        <v>447.25079201733683</v>
      </c>
      <c r="F5" s="17">
        <f>SUM(F6:F15)</f>
        <v>2850.3480772033399</v>
      </c>
      <c r="G5" s="18"/>
      <c r="H5" s="17"/>
      <c r="I5" s="17"/>
      <c r="J5" s="17">
        <f>SUM(J6:J15)</f>
        <v>21.342812898805004</v>
      </c>
      <c r="K5" s="17"/>
      <c r="L5" s="17"/>
      <c r="M5" s="17"/>
      <c r="N5" s="17">
        <f>SUM(N6:N15)</f>
        <v>1026.3004082714765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167.602</v>
      </c>
      <c r="C8" s="33"/>
      <c r="D8" s="37">
        <f>IF( ISERROR(IND_metaal_Gas_kWH/1000),0,IND_metaal_Gas_kWH/1000)*0.902</f>
        <v>0</v>
      </c>
      <c r="E8" s="33">
        <f>C30*'E Balans VL '!I18/100/3.6*1000000</f>
        <v>4.1944914655669665</v>
      </c>
      <c r="F8" s="33">
        <f>C30*'E Balans VL '!L18/100/3.6*1000000+C30*'E Balans VL '!N18/100/3.6*1000000</f>
        <v>52.527300495223258</v>
      </c>
      <c r="G8" s="34"/>
      <c r="H8" s="33"/>
      <c r="I8" s="33"/>
      <c r="J8" s="40">
        <f>C30*'E Balans VL '!D18/100/3.6*1000000+C30*'E Balans VL '!E18/100/3.6*1000000</f>
        <v>0</v>
      </c>
      <c r="K8" s="33"/>
      <c r="L8" s="33"/>
      <c r="M8" s="33"/>
      <c r="N8" s="33">
        <f>C30*'E Balans VL '!Y18/100/3.6*1000000</f>
        <v>4.2105972051192513</v>
      </c>
      <c r="O8" s="33"/>
      <c r="P8" s="33"/>
      <c r="R8" s="32"/>
    </row>
    <row r="9" spans="1:18">
      <c r="A9" s="6" t="s">
        <v>33</v>
      </c>
      <c r="B9" s="37">
        <f t="shared" si="0"/>
        <v>1481.76</v>
      </c>
      <c r="C9" s="33"/>
      <c r="D9" s="37">
        <f>IF( ISERROR(IND_andere_gas_kWh/1000),0,IND_andere_gas_kWh/1000)*0.902</f>
        <v>357.78328328717254</v>
      </c>
      <c r="E9" s="33">
        <f>C31*'E Balans VL '!I19/100/3.6*1000000</f>
        <v>407.42322553122273</v>
      </c>
      <c r="F9" s="33">
        <f>C31*'E Balans VL '!L19/100/3.6*1000000+C31*'E Balans VL '!N19/100/3.6*1000000</f>
        <v>1167.8847247527272</v>
      </c>
      <c r="G9" s="34"/>
      <c r="H9" s="33"/>
      <c r="I9" s="33"/>
      <c r="J9" s="40">
        <f>C31*'E Balans VL '!D19/100/3.6*1000000+C31*'E Balans VL '!E19/100/3.6*1000000</f>
        <v>0</v>
      </c>
      <c r="K9" s="33"/>
      <c r="L9" s="33"/>
      <c r="M9" s="33"/>
      <c r="N9" s="33">
        <f>C31*'E Balans VL '!Y19/100/3.6*1000000</f>
        <v>479.68482391904485</v>
      </c>
      <c r="O9" s="33"/>
      <c r="P9" s="33"/>
      <c r="R9" s="32"/>
    </row>
    <row r="10" spans="1:18">
      <c r="A10" s="6" t="s">
        <v>41</v>
      </c>
      <c r="B10" s="37">
        <f t="shared" si="0"/>
        <v>797.34450000000004</v>
      </c>
      <c r="C10" s="33"/>
      <c r="D10" s="37">
        <f>IF( ISERROR(IND_voed_gas_kWh/1000),0,IND_voed_gas_kWh/1000)*0.902</f>
        <v>311.73499343538793</v>
      </c>
      <c r="E10" s="33">
        <f>C32*'E Balans VL '!I20/100/3.6*1000000</f>
        <v>8.1284879179085241</v>
      </c>
      <c r="F10" s="33">
        <f>C32*'E Balans VL '!L20/100/3.6*1000000+C32*'E Balans VL '!N20/100/3.6*1000000</f>
        <v>1506.1787735915436</v>
      </c>
      <c r="G10" s="34"/>
      <c r="H10" s="33"/>
      <c r="I10" s="33"/>
      <c r="J10" s="40">
        <f>C32*'E Balans VL '!D20/100/3.6*1000000+C32*'E Balans VL '!E20/100/3.6*1000000</f>
        <v>19.083062808015629</v>
      </c>
      <c r="K10" s="33"/>
      <c r="L10" s="33"/>
      <c r="M10" s="33"/>
      <c r="N10" s="33">
        <f>C32*'E Balans VL '!Y20/100/3.6*1000000</f>
        <v>420.29239432430535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49.525019999999998</v>
      </c>
      <c r="C13" s="33"/>
      <c r="D13" s="37">
        <f>IF( ISERROR(IND_papier_gas_kWh/1000),0,IND_papier_gas_kWh/1000)*0.902</f>
        <v>0</v>
      </c>
      <c r="E13" s="33">
        <f>C35*'E Balans VL '!I23/100/3.6*1000000</f>
        <v>0.1025696592783554</v>
      </c>
      <c r="F13" s="33">
        <f>C35*'E Balans VL '!L23/100/3.6*1000000+C35*'E Balans VL '!N23/100/3.6*1000000</f>
        <v>0.98218731980415097</v>
      </c>
      <c r="G13" s="34"/>
      <c r="H13" s="33"/>
      <c r="I13" s="33"/>
      <c r="J13" s="40">
        <f>C35*'E Balans VL '!D23/100/3.6*1000000+C35*'E Balans VL '!E23/100/3.6*1000000</f>
        <v>0</v>
      </c>
      <c r="K13" s="33"/>
      <c r="L13" s="33"/>
      <c r="M13" s="33"/>
      <c r="N13" s="33">
        <f>C35*'E Balans VL '!Y23/100/3.6*1000000</f>
        <v>20.911834146299476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538.63459999999998</v>
      </c>
      <c r="C15" s="33"/>
      <c r="D15" s="37">
        <f>IF( ISERROR(IND_rest_gas_kWh/1000),0,IND_rest_gas_kWh/1000)*0.902</f>
        <v>1143.412823592113</v>
      </c>
      <c r="E15" s="33">
        <f>C37*'E Balans VL '!I15/100/3.6*1000000</f>
        <v>27.402017443360283</v>
      </c>
      <c r="F15" s="33">
        <f>C37*'E Balans VL '!L15/100/3.6*1000000+C37*'E Balans VL '!N15/100/3.6*1000000</f>
        <v>122.77509104404179</v>
      </c>
      <c r="G15" s="34"/>
      <c r="H15" s="33"/>
      <c r="I15" s="33"/>
      <c r="J15" s="40">
        <f>C37*'E Balans VL '!D15/100/3.6*1000000+C37*'E Balans VL '!E15/100/3.6*1000000</f>
        <v>2.2597500907893755</v>
      </c>
      <c r="K15" s="33"/>
      <c r="L15" s="33"/>
      <c r="M15" s="33"/>
      <c r="N15" s="33">
        <f>C37*'E Balans VL '!Y15/100/3.6*1000000</f>
        <v>101.20075867670745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3034.8661200000001</v>
      </c>
      <c r="C18" s="21">
        <f>C5+C16</f>
        <v>0</v>
      </c>
      <c r="D18" s="21">
        <f>MAX((D5+D16),0)</f>
        <v>1812.9311003146736</v>
      </c>
      <c r="E18" s="21">
        <f>MAX((E5+E16),0)</f>
        <v>447.25079201733683</v>
      </c>
      <c r="F18" s="21">
        <f>MAX((F5+F16),0)</f>
        <v>2850.3480772033399</v>
      </c>
      <c r="G18" s="21"/>
      <c r="H18" s="21"/>
      <c r="I18" s="21"/>
      <c r="J18" s="21">
        <f>MAX((J5+J16),0)</f>
        <v>21.342812898805004</v>
      </c>
      <c r="K18" s="21"/>
      <c r="L18" s="21">
        <f>MAX((L5+L16),0)</f>
        <v>0</v>
      </c>
      <c r="M18" s="21"/>
      <c r="N18" s="21">
        <f>MAX((N5+N16),0)</f>
        <v>1026.3004082714765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0.21281694935951309</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645.87094937294205</v>
      </c>
      <c r="C22" s="23">
        <f ca="1">C18*C20</f>
        <v>0</v>
      </c>
      <c r="D22" s="23">
        <f>D18*D20</f>
        <v>366.21208226356407</v>
      </c>
      <c r="E22" s="23">
        <f>E18*E20</f>
        <v>101.52592978793547</v>
      </c>
      <c r="F22" s="23">
        <f>F18*F20</f>
        <v>761.04293661329177</v>
      </c>
      <c r="G22" s="23"/>
      <c r="H22" s="23"/>
      <c r="I22" s="23"/>
      <c r="J22" s="23">
        <f>J18*J20</f>
        <v>7.5553557661769712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167.602</v>
      </c>
      <c r="C30" s="39">
        <f>IF(ISERROR(B30*3.6/1000000/'E Balans VL '!Z18*100),0,B30*3.6/1000000/'E Balans VL '!Z18*100)</f>
        <v>2.3458694601646402E-2</v>
      </c>
      <c r="D30" s="237" t="s">
        <v>692</v>
      </c>
    </row>
    <row r="31" spans="1:18">
      <c r="A31" s="6" t="s">
        <v>33</v>
      </c>
      <c r="B31" s="37">
        <f>IF( ISERROR(IND_ander_ele_kWh/1000),0,IND_ander_ele_kWh/1000)</f>
        <v>1481.76</v>
      </c>
      <c r="C31" s="39">
        <f>IF(ISERROR(B31*3.6/1000000/'E Balans VL '!Z19*100),0,B31*3.6/1000000/'E Balans VL '!Z19*100)</f>
        <v>6.4856394824376787E-2</v>
      </c>
      <c r="D31" s="237" t="s">
        <v>692</v>
      </c>
    </row>
    <row r="32" spans="1:18">
      <c r="A32" s="171" t="s">
        <v>41</v>
      </c>
      <c r="B32" s="37">
        <f>IF( ISERROR(IND_voed_ele_kWh/1000),0,IND_voed_ele_kWh/1000)</f>
        <v>797.34450000000004</v>
      </c>
      <c r="C32" s="39">
        <f>IF(ISERROR(B32*3.6/1000000/'E Balans VL '!Z20*100),0,B32*3.6/1000000/'E Balans VL '!Z20*100)</f>
        <v>0.19739601969521997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49.525019999999998</v>
      </c>
      <c r="C35" s="39">
        <f>IF(ISERROR(B35*3.6/1000000/'E Balans VL '!Z22*100),0,B35*3.6/1000000/'E Balans VL '!Z22*100)</f>
        <v>1.405318016377533E-3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538.63459999999998</v>
      </c>
      <c r="C37" s="39">
        <f>IF(ISERROR(B37*3.6/1000000/'E Balans VL '!Z15*100),0,B37*3.6/1000000/'E Balans VL '!Z15*100)</f>
        <v>3.9938833408541359E-3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4381.6629499999999</v>
      </c>
      <c r="C5" s="17">
        <f>'Eigen informatie GS &amp; warmtenet'!B60</f>
        <v>0</v>
      </c>
      <c r="D5" s="30">
        <f>IF(ISERROR(SUM(LB_lb_gas_kWh,LB_rest_gas_kWh)/1000),0,SUM(LB_lb_gas_kWh,LB_rest_gas_kWh)/1000)*0.902</f>
        <v>71065.0456731421</v>
      </c>
      <c r="E5" s="17">
        <f>B17*'E Balans VL '!I25/3.6*1000000/100</f>
        <v>40.584797452039403</v>
      </c>
      <c r="F5" s="17">
        <f>B17*('E Balans VL '!L25/3.6*1000000+'E Balans VL '!N25/3.6*1000000)/100</f>
        <v>11117.113610085382</v>
      </c>
      <c r="G5" s="18"/>
      <c r="H5" s="17"/>
      <c r="I5" s="17"/>
      <c r="J5" s="17">
        <f>('E Balans VL '!D25+'E Balans VL '!E25)/3.6*1000000*landbouw!B17/100</f>
        <v>671.75782973623984</v>
      </c>
      <c r="K5" s="17"/>
      <c r="L5" s="17">
        <f>L6*(-1)</f>
        <v>0</v>
      </c>
      <c r="M5" s="17"/>
      <c r="N5" s="17">
        <f>N6*(-1)</f>
        <v>0</v>
      </c>
      <c r="O5" s="17"/>
      <c r="P5" s="17"/>
      <c r="R5" s="32"/>
    </row>
    <row r="6" spans="1:18">
      <c r="A6" s="16" t="s">
        <v>494</v>
      </c>
      <c r="B6" s="17" t="s">
        <v>211</v>
      </c>
      <c r="C6" s="17">
        <f>'lokale energieproductie'!O92+'lokale energieproductie'!O61</f>
        <v>30857.142857142855</v>
      </c>
      <c r="D6" s="310">
        <f>('lokale energieproductie'!P61+'lokale energieproductie'!P92)*(-1)</f>
        <v>-61714.285714285725</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4381.6629499999999</v>
      </c>
      <c r="C8" s="21">
        <f>C5+C6</f>
        <v>30857.142857142855</v>
      </c>
      <c r="D8" s="21">
        <f>MAX((D5+D6),0)</f>
        <v>9350.7599588563753</v>
      </c>
      <c r="E8" s="21">
        <f>MAX((E5+E6),0)</f>
        <v>40.584797452039403</v>
      </c>
      <c r="F8" s="21">
        <f>MAX((F5+F6),0)</f>
        <v>11117.113610085382</v>
      </c>
      <c r="G8" s="21"/>
      <c r="H8" s="21"/>
      <c r="I8" s="21"/>
      <c r="J8" s="21">
        <f>MAX((J5+J6),0)</f>
        <v>671.75782973623984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0.21281694935951309</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932.49214214060476</v>
      </c>
      <c r="C12" s="23">
        <f ca="1">C8*C10</f>
        <v>7333.1092436974805</v>
      </c>
      <c r="D12" s="23">
        <f>D8*D10</f>
        <v>1888.853511688988</v>
      </c>
      <c r="E12" s="23">
        <f>E8*E10</f>
        <v>9.2127490216129448</v>
      </c>
      <c r="F12" s="23">
        <f>F8*F10</f>
        <v>2968.269333892797</v>
      </c>
      <c r="G12" s="23"/>
      <c r="H12" s="23"/>
      <c r="I12" s="23"/>
      <c r="J12" s="23">
        <f>J8*J10</f>
        <v>237.8022717266289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0.62297956417651723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613.66906716371705</v>
      </c>
      <c r="C26" s="247">
        <f>B26*'GWP N2O_CH4'!B5</f>
        <v>12887.050410438058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321.06198334818924</v>
      </c>
      <c r="C27" s="247">
        <f>B27*'GWP N2O_CH4'!B5</f>
        <v>6742.3016503119743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9.0348519993645731</v>
      </c>
      <c r="C28" s="247">
        <f>B28*'GWP N2O_CH4'!B4</f>
        <v>2800.8041198030178</v>
      </c>
      <c r="D28" s="50"/>
    </row>
    <row r="29" spans="1:4">
      <c r="A29" s="41" t="s">
        <v>277</v>
      </c>
      <c r="B29" s="247">
        <f>B34*'ha_N2O bodem landbouw'!B4</f>
        <v>22.88460416921648</v>
      </c>
      <c r="C29" s="247">
        <f>B29*'GWP N2O_CH4'!B4</f>
        <v>7094.2272924571089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5.1326135499809959E-3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1.1976567584957132E-4</v>
      </c>
      <c r="C5" s="464" t="s">
        <v>211</v>
      </c>
      <c r="D5" s="449">
        <f>SUM(D6:D11)</f>
        <v>3.1909181656626705E-4</v>
      </c>
      <c r="E5" s="449">
        <f>SUM(E6:E11)</f>
        <v>2.3883426906237577E-3</v>
      </c>
      <c r="F5" s="462" t="s">
        <v>211</v>
      </c>
      <c r="G5" s="449">
        <f>SUM(G6:G11)</f>
        <v>0.78671617436899755</v>
      </c>
      <c r="H5" s="449">
        <f>SUM(H6:H11)</f>
        <v>0.12431467512607045</v>
      </c>
      <c r="I5" s="464" t="s">
        <v>211</v>
      </c>
      <c r="J5" s="464" t="s">
        <v>211</v>
      </c>
      <c r="K5" s="464" t="s">
        <v>211</v>
      </c>
      <c r="L5" s="464" t="s">
        <v>211</v>
      </c>
      <c r="M5" s="449">
        <f>SUM(M6:M11)</f>
        <v>4.9334777365529769E-2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1.2525834366469976E-5</v>
      </c>
      <c r="C6" s="450"/>
      <c r="D6" s="893">
        <f>vkm_2011_GW_PW*SUMIFS(TableVerdeelsleutelVkm[CNG],TableVerdeelsleutelVkm[Voertuigtype],"Lichte voertuigen")*SUMIFS(TableECFTransport[EnergieConsumptieFactor (PJ per km)],TableECFTransport[Index],CONCATENATE($A6,"_CNG_CNG"))</f>
        <v>2.8973633926882611E-5</v>
      </c>
      <c r="E6" s="893">
        <f>vkm_2011_GW_PW*SUMIFS(TableVerdeelsleutelVkm[LPG],TableVerdeelsleutelVkm[Voertuigtype],"Lichte voertuigen")*SUMIFS(TableECFTransport[EnergieConsumptieFactor (PJ per km)],TableECFTransport[Index],CONCATENATE($A6,"_LPG_LPG"))</f>
        <v>1.8865880744442539E-4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3.9192471497800682E-2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1.1047547778607784E-2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2.6071965596118703E-3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2.2363918169762482E-2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7.6480538663855175E-6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1.2938794305616859E-3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1.8025547829010879E-5</v>
      </c>
      <c r="C8" s="450"/>
      <c r="D8" s="452">
        <f>vkm_2011_NGW_PW*SUMIFS(TableVerdeelsleutelVkm[CNG],TableVerdeelsleutelVkm[Voertuigtype],"Lichte voertuigen")*SUMIFS(TableECFTransport[EnergieConsumptieFactor (PJ per km)],TableECFTransport[Index],CONCATENATE($A8,"_CNG_CNG"))</f>
        <v>7.374640547625867E-5</v>
      </c>
      <c r="E8" s="452">
        <f>vkm_2011_NGW_PW*SUMIFS(TableVerdeelsleutelVkm[LPG],TableVerdeelsleutelVkm[Voertuigtype],"Lichte voertuigen")*SUMIFS(TableECFTransport[EnergieConsumptieFactor (PJ per km)],TableECFTransport[Index],CONCATENATE($A8,"_LPG_LPG"))</f>
        <v>4.4316731157757565E-4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8.606244086698954E-2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2.7189332995936812E-2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5.8153269081040685E-3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3.1886724565121469E-2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1.0318172630871946E-5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1.8448097023968839E-3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8.9214293654090468E-5</v>
      </c>
      <c r="C10" s="450"/>
      <c r="D10" s="452">
        <f>vkm_2011_SW_PW*SUMIFS(TableVerdeelsleutelVkm[CNG],TableVerdeelsleutelVkm[Voertuigtype],"Lichte voertuigen")*SUMIFS(TableECFTransport[EnergieConsumptieFactor (PJ per km)],TableECFTransport[Index],CONCATENATE($A10,"_CNG_CNG"))</f>
        <v>2.1637177716312577E-4</v>
      </c>
      <c r="E10" s="452">
        <f>vkm_2011_SW_PW*SUMIFS(TableVerdeelsleutelVkm[LPG],TableVerdeelsleutelVkm[Voertuigtype],"Lichte voertuigen")*SUMIFS(TableECFTransport[EnergieConsumptieFactor (PJ per km)],TableECFTransport[Index],CONCATENATE($A10,"_LPG_LPG"))</f>
        <v>1.7565165716017564E-3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0.32851903284508177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8.5957112923348608E-2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2.1649448744781832E-2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0.27869158642424152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1.0271520167998739E-4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1.6124116020073426E-2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33.268243291547591</v>
      </c>
      <c r="C14" s="21"/>
      <c r="D14" s="21">
        <f t="shared" ref="D14:M14" si="0">((D5)*10^9/3600)+D12</f>
        <v>88.636615712851963</v>
      </c>
      <c r="E14" s="21">
        <f t="shared" si="0"/>
        <v>663.42852517326605</v>
      </c>
      <c r="F14" s="21"/>
      <c r="G14" s="21">
        <f t="shared" si="0"/>
        <v>218532.27065805488</v>
      </c>
      <c r="H14" s="21">
        <f t="shared" si="0"/>
        <v>34531.854201686234</v>
      </c>
      <c r="I14" s="21"/>
      <c r="J14" s="21"/>
      <c r="K14" s="21"/>
      <c r="L14" s="21"/>
      <c r="M14" s="21">
        <f t="shared" si="0"/>
        <v>13704.104823758269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0.21281694935951309</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7.0800460478572447</v>
      </c>
      <c r="C18" s="23"/>
      <c r="D18" s="23">
        <f t="shared" ref="D18:M18" si="1">D14*D16</f>
        <v>17.904596373996096</v>
      </c>
      <c r="E18" s="23">
        <f t="shared" si="1"/>
        <v>150.59827521433141</v>
      </c>
      <c r="F18" s="23"/>
      <c r="G18" s="23">
        <f t="shared" si="1"/>
        <v>58348.116265700657</v>
      </c>
      <c r="H18" s="23">
        <f t="shared" si="1"/>
        <v>8598.4316962198718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1.1927299869989494E-3</v>
      </c>
      <c r="H50" s="321">
        <f t="shared" si="2"/>
        <v>0</v>
      </c>
      <c r="I50" s="321">
        <f t="shared" si="2"/>
        <v>0</v>
      </c>
      <c r="J50" s="321">
        <f t="shared" si="2"/>
        <v>0</v>
      </c>
      <c r="K50" s="321">
        <f t="shared" si="2"/>
        <v>0</v>
      </c>
      <c r="L50" s="321">
        <f t="shared" si="2"/>
        <v>0</v>
      </c>
      <c r="M50" s="321">
        <f t="shared" si="2"/>
        <v>6.801791416281154E-5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1.1927299869989494E-3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6.801791416281154E-5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331.31388527748595</v>
      </c>
      <c r="H54" s="21">
        <f t="shared" si="3"/>
        <v>0</v>
      </c>
      <c r="I54" s="21">
        <f t="shared" si="3"/>
        <v>0</v>
      </c>
      <c r="J54" s="21">
        <f t="shared" si="3"/>
        <v>0</v>
      </c>
      <c r="K54" s="21">
        <f t="shared" si="3"/>
        <v>0</v>
      </c>
      <c r="L54" s="21">
        <f t="shared" si="3"/>
        <v>0</v>
      </c>
      <c r="M54" s="21">
        <f t="shared" si="3"/>
        <v>18.893865045225429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0.21281694935951309</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88.460807369088755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13939.625600000001</v>
      </c>
      <c r="D10" s="1025">
        <f ca="1">tertiair!C16</f>
        <v>0</v>
      </c>
      <c r="E10" s="1025">
        <f ca="1">tertiair!D16</f>
        <v>9716.2346741094861</v>
      </c>
      <c r="F10" s="1025">
        <f>tertiair!E16</f>
        <v>101.92788293909622</v>
      </c>
      <c r="G10" s="1025">
        <f ca="1">tertiair!F16</f>
        <v>1778.3300178817551</v>
      </c>
      <c r="H10" s="1025">
        <f>tertiair!G16</f>
        <v>0</v>
      </c>
      <c r="I10" s="1025">
        <f>tertiair!H16</f>
        <v>0</v>
      </c>
      <c r="J10" s="1025">
        <f>tertiair!I16</f>
        <v>0</v>
      </c>
      <c r="K10" s="1025">
        <f>tertiair!J16</f>
        <v>0</v>
      </c>
      <c r="L10" s="1025">
        <f>tertiair!K16</f>
        <v>0</v>
      </c>
      <c r="M10" s="1025">
        <f ca="1">tertiair!L16</f>
        <v>0</v>
      </c>
      <c r="N10" s="1025">
        <f>tertiair!M16</f>
        <v>0</v>
      </c>
      <c r="O10" s="1025">
        <f ca="1">tertiair!N16</f>
        <v>1147.5171870184779</v>
      </c>
      <c r="P10" s="1025">
        <f>tertiair!O16</f>
        <v>6.2533333333333339</v>
      </c>
      <c r="Q10" s="1026">
        <f>tertiair!P16</f>
        <v>57.2</v>
      </c>
      <c r="R10" s="701">
        <f ca="1">SUM(C10:Q10)</f>
        <v>26747.088695282153</v>
      </c>
      <c r="S10" s="67"/>
    </row>
    <row r="11" spans="1:19" s="474" customFormat="1">
      <c r="A11" s="810" t="s">
        <v>225</v>
      </c>
      <c r="B11" s="815"/>
      <c r="C11" s="1025">
        <f>huishoudens!B8</f>
        <v>25272.70666646507</v>
      </c>
      <c r="D11" s="1025">
        <f>huishoudens!C8</f>
        <v>0</v>
      </c>
      <c r="E11" s="1025">
        <f>huishoudens!D8</f>
        <v>26101.362146364489</v>
      </c>
      <c r="F11" s="1025">
        <f>huishoudens!E8</f>
        <v>5077.2843013796837</v>
      </c>
      <c r="G11" s="1025">
        <f>huishoudens!F8</f>
        <v>26049.165432505848</v>
      </c>
      <c r="H11" s="1025">
        <f>huishoudens!G8</f>
        <v>0</v>
      </c>
      <c r="I11" s="1025">
        <f>huishoudens!H8</f>
        <v>0</v>
      </c>
      <c r="J11" s="1025">
        <f>huishoudens!I8</f>
        <v>0</v>
      </c>
      <c r="K11" s="1025">
        <f>huishoudens!J8</f>
        <v>2314.4639229029162</v>
      </c>
      <c r="L11" s="1025">
        <f>huishoudens!K8</f>
        <v>0</v>
      </c>
      <c r="M11" s="1025">
        <f>huishoudens!L8</f>
        <v>0</v>
      </c>
      <c r="N11" s="1025">
        <f>huishoudens!M8</f>
        <v>0</v>
      </c>
      <c r="O11" s="1025">
        <f>huishoudens!N8</f>
        <v>13046.687626552504</v>
      </c>
      <c r="P11" s="1025">
        <f>huishoudens!O8</f>
        <v>211.05</v>
      </c>
      <c r="Q11" s="1026">
        <f>huishoudens!P8</f>
        <v>724.5333333333333</v>
      </c>
      <c r="R11" s="701">
        <f>SUM(C11:Q11)</f>
        <v>98797.253429503849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3034.8661200000001</v>
      </c>
      <c r="D13" s="1025">
        <f>industrie!C18</f>
        <v>0</v>
      </c>
      <c r="E13" s="1025">
        <f>industrie!D18</f>
        <v>1812.9311003146736</v>
      </c>
      <c r="F13" s="1025">
        <f>industrie!E18</f>
        <v>447.25079201733683</v>
      </c>
      <c r="G13" s="1025">
        <f>industrie!F18</f>
        <v>2850.3480772033399</v>
      </c>
      <c r="H13" s="1025">
        <f>industrie!G18</f>
        <v>0</v>
      </c>
      <c r="I13" s="1025">
        <f>industrie!H18</f>
        <v>0</v>
      </c>
      <c r="J13" s="1025">
        <f>industrie!I18</f>
        <v>0</v>
      </c>
      <c r="K13" s="1025">
        <f>industrie!J18</f>
        <v>21.342812898805004</v>
      </c>
      <c r="L13" s="1025">
        <f>industrie!K18</f>
        <v>0</v>
      </c>
      <c r="M13" s="1025">
        <f>industrie!L18</f>
        <v>0</v>
      </c>
      <c r="N13" s="1025">
        <f>industrie!M18</f>
        <v>0</v>
      </c>
      <c r="O13" s="1025">
        <f>industrie!N18</f>
        <v>1026.3004082714765</v>
      </c>
      <c r="P13" s="1025">
        <f>industrie!O18</f>
        <v>0</v>
      </c>
      <c r="Q13" s="1026">
        <f>industrie!P18</f>
        <v>0</v>
      </c>
      <c r="R13" s="701">
        <f>SUM(C13:Q13)</f>
        <v>9193.0393107056316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42247.198386465068</v>
      </c>
      <c r="D16" s="733">
        <f t="shared" ref="D16:R16" ca="1" si="0">SUM(D9:D15)</f>
        <v>0</v>
      </c>
      <c r="E16" s="733">
        <f t="shared" ca="1" si="0"/>
        <v>37630.527920788649</v>
      </c>
      <c r="F16" s="733">
        <f t="shared" si="0"/>
        <v>5626.4629763361163</v>
      </c>
      <c r="G16" s="733">
        <f t="shared" ca="1" si="0"/>
        <v>30677.843527590943</v>
      </c>
      <c r="H16" s="733">
        <f t="shared" si="0"/>
        <v>0</v>
      </c>
      <c r="I16" s="733">
        <f t="shared" si="0"/>
        <v>0</v>
      </c>
      <c r="J16" s="733">
        <f t="shared" si="0"/>
        <v>0</v>
      </c>
      <c r="K16" s="733">
        <f t="shared" si="0"/>
        <v>2335.8067358017211</v>
      </c>
      <c r="L16" s="733">
        <f t="shared" si="0"/>
        <v>0</v>
      </c>
      <c r="M16" s="733">
        <f t="shared" ca="1" si="0"/>
        <v>0</v>
      </c>
      <c r="N16" s="733">
        <f t="shared" si="0"/>
        <v>0</v>
      </c>
      <c r="O16" s="733">
        <f t="shared" ca="1" si="0"/>
        <v>15220.505221842459</v>
      </c>
      <c r="P16" s="733">
        <f t="shared" si="0"/>
        <v>217.30333333333334</v>
      </c>
      <c r="Q16" s="733">
        <f t="shared" si="0"/>
        <v>781.73333333333335</v>
      </c>
      <c r="R16" s="733">
        <f t="shared" ca="1" si="0"/>
        <v>134737.38143549164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331.31388527748595</v>
      </c>
      <c r="I19" s="1025">
        <f>transport!H54</f>
        <v>0</v>
      </c>
      <c r="J19" s="1025">
        <f>transport!I54</f>
        <v>0</v>
      </c>
      <c r="K19" s="1025">
        <f>transport!J54</f>
        <v>0</v>
      </c>
      <c r="L19" s="1025">
        <f>transport!K54</f>
        <v>0</v>
      </c>
      <c r="M19" s="1025">
        <f>transport!L54</f>
        <v>0</v>
      </c>
      <c r="N19" s="1025">
        <f>transport!M54</f>
        <v>18.893865045225429</v>
      </c>
      <c r="O19" s="1025">
        <f>transport!N54</f>
        <v>0</v>
      </c>
      <c r="P19" s="1025">
        <f>transport!O54</f>
        <v>0</v>
      </c>
      <c r="Q19" s="1026">
        <f>transport!P54</f>
        <v>0</v>
      </c>
      <c r="R19" s="701">
        <f>SUM(C19:Q19)</f>
        <v>350.20775032271138</v>
      </c>
      <c r="S19" s="67"/>
    </row>
    <row r="20" spans="1:19" s="474" customFormat="1">
      <c r="A20" s="810" t="s">
        <v>307</v>
      </c>
      <c r="B20" s="815"/>
      <c r="C20" s="1025">
        <f>transport!B14</f>
        <v>33.268243291547591</v>
      </c>
      <c r="D20" s="1025">
        <f>transport!C14</f>
        <v>0</v>
      </c>
      <c r="E20" s="1025">
        <f>transport!D14</f>
        <v>88.636615712851963</v>
      </c>
      <c r="F20" s="1025">
        <f>transport!E14</f>
        <v>663.42852517326605</v>
      </c>
      <c r="G20" s="1025">
        <f>transport!F14</f>
        <v>0</v>
      </c>
      <c r="H20" s="1025">
        <f>transport!G14</f>
        <v>218532.27065805488</v>
      </c>
      <c r="I20" s="1025">
        <f>transport!H14</f>
        <v>34531.854201686234</v>
      </c>
      <c r="J20" s="1025">
        <f>transport!I14</f>
        <v>0</v>
      </c>
      <c r="K20" s="1025">
        <f>transport!J14</f>
        <v>0</v>
      </c>
      <c r="L20" s="1025">
        <f>transport!K14</f>
        <v>0</v>
      </c>
      <c r="M20" s="1025">
        <f>transport!L14</f>
        <v>0</v>
      </c>
      <c r="N20" s="1025">
        <f>transport!M14</f>
        <v>13704.104823758269</v>
      </c>
      <c r="O20" s="1025">
        <f>transport!N14</f>
        <v>0</v>
      </c>
      <c r="P20" s="1025">
        <f>transport!O14</f>
        <v>0</v>
      </c>
      <c r="Q20" s="1026">
        <f>transport!P14</f>
        <v>0</v>
      </c>
      <c r="R20" s="701">
        <f>SUM(C20:Q20)</f>
        <v>267553.56306767702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33.268243291547591</v>
      </c>
      <c r="D22" s="813">
        <f t="shared" ref="D22:R22" si="1">SUM(D18:D21)</f>
        <v>0</v>
      </c>
      <c r="E22" s="813">
        <f t="shared" si="1"/>
        <v>88.636615712851963</v>
      </c>
      <c r="F22" s="813">
        <f t="shared" si="1"/>
        <v>663.42852517326605</v>
      </c>
      <c r="G22" s="813">
        <f t="shared" si="1"/>
        <v>0</v>
      </c>
      <c r="H22" s="813">
        <f t="shared" si="1"/>
        <v>218863.58454333237</v>
      </c>
      <c r="I22" s="813">
        <f t="shared" si="1"/>
        <v>34531.854201686234</v>
      </c>
      <c r="J22" s="813">
        <f t="shared" si="1"/>
        <v>0</v>
      </c>
      <c r="K22" s="813">
        <f t="shared" si="1"/>
        <v>0</v>
      </c>
      <c r="L22" s="813">
        <f t="shared" si="1"/>
        <v>0</v>
      </c>
      <c r="M22" s="813">
        <f t="shared" si="1"/>
        <v>0</v>
      </c>
      <c r="N22" s="813">
        <f t="shared" si="1"/>
        <v>13722.998688803495</v>
      </c>
      <c r="O22" s="813">
        <f t="shared" si="1"/>
        <v>0</v>
      </c>
      <c r="P22" s="813">
        <f t="shared" si="1"/>
        <v>0</v>
      </c>
      <c r="Q22" s="813">
        <f t="shared" si="1"/>
        <v>0</v>
      </c>
      <c r="R22" s="813">
        <f t="shared" si="1"/>
        <v>267903.77081799973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4381.6629499999999</v>
      </c>
      <c r="D24" s="1025">
        <f>+landbouw!C8</f>
        <v>30857.142857142855</v>
      </c>
      <c r="E24" s="1025">
        <f>+landbouw!D8</f>
        <v>9350.7599588563753</v>
      </c>
      <c r="F24" s="1025">
        <f>+landbouw!E8</f>
        <v>40.584797452039403</v>
      </c>
      <c r="G24" s="1025">
        <f>+landbouw!F8</f>
        <v>11117.113610085382</v>
      </c>
      <c r="H24" s="1025">
        <f>+landbouw!G8</f>
        <v>0</v>
      </c>
      <c r="I24" s="1025">
        <f>+landbouw!H8</f>
        <v>0</v>
      </c>
      <c r="J24" s="1025">
        <f>+landbouw!I8</f>
        <v>0</v>
      </c>
      <c r="K24" s="1025">
        <f>+landbouw!J8</f>
        <v>671.75782973623984</v>
      </c>
      <c r="L24" s="1025">
        <f>+landbouw!K8</f>
        <v>0</v>
      </c>
      <c r="M24" s="1025">
        <f>+landbouw!L8</f>
        <v>0</v>
      </c>
      <c r="N24" s="1025">
        <f>+landbouw!M8</f>
        <v>0</v>
      </c>
      <c r="O24" s="1025">
        <f>+landbouw!N8</f>
        <v>0</v>
      </c>
      <c r="P24" s="1025">
        <f>+landbouw!O8</f>
        <v>0</v>
      </c>
      <c r="Q24" s="1026">
        <f>+landbouw!P8</f>
        <v>0</v>
      </c>
      <c r="R24" s="701">
        <f>SUM(C24:Q24)</f>
        <v>56419.02200327289</v>
      </c>
      <c r="S24" s="67"/>
    </row>
    <row r="25" spans="1:19" s="474" customFormat="1" ht="15" thickBot="1">
      <c r="A25" s="832" t="s">
        <v>864</v>
      </c>
      <c r="B25" s="1028"/>
      <c r="C25" s="1029">
        <f>IF(Onbekend_ele_kWh="---",0,Onbekend_ele_kWh)/1000+IF(REST_rest_ele_kWh="---",0,REST_rest_ele_kWh)/1000</f>
        <v>989.25030000000004</v>
      </c>
      <c r="D25" s="1029"/>
      <c r="E25" s="1029">
        <f>IF(onbekend_gas_kWh="---",0,onbekend_gas_kWh)/1000+IF(REST_rest_gas_kWh="---",0,REST_rest_gas_kWh)/1000</f>
        <v>955.61995385151795</v>
      </c>
      <c r="F25" s="1029"/>
      <c r="G25" s="1029"/>
      <c r="H25" s="1029"/>
      <c r="I25" s="1029"/>
      <c r="J25" s="1029"/>
      <c r="K25" s="1029"/>
      <c r="L25" s="1029"/>
      <c r="M25" s="1029"/>
      <c r="N25" s="1029"/>
      <c r="O25" s="1029"/>
      <c r="P25" s="1029"/>
      <c r="Q25" s="1030"/>
      <c r="R25" s="701">
        <f>SUM(C25:Q25)</f>
        <v>1944.8702538515181</v>
      </c>
      <c r="S25" s="67"/>
    </row>
    <row r="26" spans="1:19" s="474" customFormat="1" ht="15.75" thickBot="1">
      <c r="A26" s="706" t="s">
        <v>865</v>
      </c>
      <c r="B26" s="818"/>
      <c r="C26" s="813">
        <f>SUM(C24:C25)</f>
        <v>5370.9132499999996</v>
      </c>
      <c r="D26" s="813">
        <f t="shared" ref="D26:R26" si="2">SUM(D24:D25)</f>
        <v>30857.142857142855</v>
      </c>
      <c r="E26" s="813">
        <f t="shared" si="2"/>
        <v>10306.379912707893</v>
      </c>
      <c r="F26" s="813">
        <f t="shared" si="2"/>
        <v>40.584797452039403</v>
      </c>
      <c r="G26" s="813">
        <f t="shared" si="2"/>
        <v>11117.113610085382</v>
      </c>
      <c r="H26" s="813">
        <f t="shared" si="2"/>
        <v>0</v>
      </c>
      <c r="I26" s="813">
        <f t="shared" si="2"/>
        <v>0</v>
      </c>
      <c r="J26" s="813">
        <f t="shared" si="2"/>
        <v>0</v>
      </c>
      <c r="K26" s="813">
        <f t="shared" si="2"/>
        <v>671.75782973623984</v>
      </c>
      <c r="L26" s="813">
        <f t="shared" si="2"/>
        <v>0</v>
      </c>
      <c r="M26" s="813">
        <f t="shared" si="2"/>
        <v>0</v>
      </c>
      <c r="N26" s="813">
        <f t="shared" si="2"/>
        <v>0</v>
      </c>
      <c r="O26" s="813">
        <f t="shared" si="2"/>
        <v>0</v>
      </c>
      <c r="P26" s="813">
        <f t="shared" si="2"/>
        <v>0</v>
      </c>
      <c r="Q26" s="813">
        <f t="shared" si="2"/>
        <v>0</v>
      </c>
      <c r="R26" s="813">
        <f t="shared" si="2"/>
        <v>58363.892257124411</v>
      </c>
      <c r="S26" s="67"/>
    </row>
    <row r="27" spans="1:19" s="474" customFormat="1" ht="17.25" thickTop="1" thickBot="1">
      <c r="A27" s="707" t="s">
        <v>116</v>
      </c>
      <c r="B27" s="806"/>
      <c r="C27" s="708">
        <f ca="1">C22+C16+C26</f>
        <v>47651.379879756612</v>
      </c>
      <c r="D27" s="708">
        <f t="shared" ref="D27:R27" ca="1" si="3">D22+D16+D26</f>
        <v>30857.142857142855</v>
      </c>
      <c r="E27" s="708">
        <f t="shared" ca="1" si="3"/>
        <v>48025.544449209396</v>
      </c>
      <c r="F27" s="708">
        <f t="shared" si="3"/>
        <v>6330.4762989614219</v>
      </c>
      <c r="G27" s="708">
        <f t="shared" ca="1" si="3"/>
        <v>41794.957137676327</v>
      </c>
      <c r="H27" s="708">
        <f t="shared" si="3"/>
        <v>218863.58454333237</v>
      </c>
      <c r="I27" s="708">
        <f t="shared" si="3"/>
        <v>34531.854201686234</v>
      </c>
      <c r="J27" s="708">
        <f t="shared" si="3"/>
        <v>0</v>
      </c>
      <c r="K27" s="708">
        <f t="shared" si="3"/>
        <v>3007.5645655379608</v>
      </c>
      <c r="L27" s="708">
        <f t="shared" si="3"/>
        <v>0</v>
      </c>
      <c r="M27" s="708">
        <f t="shared" ca="1" si="3"/>
        <v>0</v>
      </c>
      <c r="N27" s="708">
        <f t="shared" si="3"/>
        <v>13722.998688803495</v>
      </c>
      <c r="O27" s="708">
        <f t="shared" ca="1" si="3"/>
        <v>15220.505221842459</v>
      </c>
      <c r="P27" s="708">
        <f t="shared" si="3"/>
        <v>217.30333333333334</v>
      </c>
      <c r="Q27" s="708">
        <f t="shared" si="3"/>
        <v>781.73333333333335</v>
      </c>
      <c r="R27" s="708">
        <f t="shared" ca="1" si="3"/>
        <v>461005.04451061576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2966.5885954057726</v>
      </c>
      <c r="D40" s="1025">
        <f ca="1">tertiair!C20</f>
        <v>0</v>
      </c>
      <c r="E40" s="1025">
        <f ca="1">tertiair!D20</f>
        <v>1962.6794041701164</v>
      </c>
      <c r="F40" s="1025">
        <f>tertiair!E20</f>
        <v>23.137629427174843</v>
      </c>
      <c r="G40" s="1025">
        <f ca="1">tertiair!F20</f>
        <v>474.81411477442862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5427.2197437774921</v>
      </c>
    </row>
    <row r="41" spans="1:18">
      <c r="A41" s="823" t="s">
        <v>225</v>
      </c>
      <c r="B41" s="830"/>
      <c r="C41" s="1025">
        <f ca="1">huishoudens!B12</f>
        <v>5378.4603348149258</v>
      </c>
      <c r="D41" s="1025">
        <f ca="1">huishoudens!C12</f>
        <v>0</v>
      </c>
      <c r="E41" s="1025">
        <f>huishoudens!D12</f>
        <v>5272.4751535656269</v>
      </c>
      <c r="F41" s="1025">
        <f>huishoudens!E12</f>
        <v>1152.5435364131883</v>
      </c>
      <c r="G41" s="1025">
        <f>huishoudens!F12</f>
        <v>6955.1271704790615</v>
      </c>
      <c r="H41" s="1025">
        <f>huishoudens!G12</f>
        <v>0</v>
      </c>
      <c r="I41" s="1025">
        <f>huishoudens!H12</f>
        <v>0</v>
      </c>
      <c r="J41" s="1025">
        <f>huishoudens!I12</f>
        <v>0</v>
      </c>
      <c r="K41" s="1025">
        <f>huishoudens!J12</f>
        <v>819.32022870763228</v>
      </c>
      <c r="L41" s="1025">
        <f>huishoudens!K12</f>
        <v>0</v>
      </c>
      <c r="M41" s="1025">
        <f>huishoudens!L12</f>
        <v>0</v>
      </c>
      <c r="N41" s="1025">
        <f>huishoudens!M12</f>
        <v>0</v>
      </c>
      <c r="O41" s="1025">
        <f>huishoudens!N12</f>
        <v>0</v>
      </c>
      <c r="P41" s="1025">
        <f>huishoudens!O12</f>
        <v>0</v>
      </c>
      <c r="Q41" s="775">
        <f>huishoudens!P12</f>
        <v>0</v>
      </c>
      <c r="R41" s="851">
        <f t="shared" ca="1" si="4"/>
        <v>19577.926423980436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645.87094937294205</v>
      </c>
      <c r="D43" s="1025">
        <f ca="1">industrie!C22</f>
        <v>0</v>
      </c>
      <c r="E43" s="1025">
        <f>industrie!D22</f>
        <v>366.21208226356407</v>
      </c>
      <c r="F43" s="1025">
        <f>industrie!E22</f>
        <v>101.52592978793547</v>
      </c>
      <c r="G43" s="1025">
        <f>industrie!F22</f>
        <v>761.04293661329177</v>
      </c>
      <c r="H43" s="1025">
        <f>industrie!G22</f>
        <v>0</v>
      </c>
      <c r="I43" s="1025">
        <f>industrie!H22</f>
        <v>0</v>
      </c>
      <c r="J43" s="1025">
        <f>industrie!I22</f>
        <v>0</v>
      </c>
      <c r="K43" s="1025">
        <f>industrie!J22</f>
        <v>7.5553557661769712</v>
      </c>
      <c r="L43" s="1025">
        <f>industrie!K22</f>
        <v>0</v>
      </c>
      <c r="M43" s="1025">
        <f>industrie!L22</f>
        <v>0</v>
      </c>
      <c r="N43" s="1025">
        <f>industrie!M22</f>
        <v>0</v>
      </c>
      <c r="O43" s="1025">
        <f>industrie!N22</f>
        <v>0</v>
      </c>
      <c r="P43" s="1025">
        <f>industrie!O22</f>
        <v>0</v>
      </c>
      <c r="Q43" s="775">
        <f>industrie!P22</f>
        <v>0</v>
      </c>
      <c r="R43" s="850">
        <f t="shared" ca="1" si="4"/>
        <v>1882.2072538039101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8990.9198795936409</v>
      </c>
      <c r="D46" s="733">
        <f t="shared" ref="D46:Q46" ca="1" si="5">SUM(D39:D45)</f>
        <v>0</v>
      </c>
      <c r="E46" s="733">
        <f t="shared" ca="1" si="5"/>
        <v>7601.3666399993072</v>
      </c>
      <c r="F46" s="733">
        <f t="shared" si="5"/>
        <v>1277.2070956282987</v>
      </c>
      <c r="G46" s="733">
        <f t="shared" ca="1" si="5"/>
        <v>8190.9842218667818</v>
      </c>
      <c r="H46" s="733">
        <f t="shared" si="5"/>
        <v>0</v>
      </c>
      <c r="I46" s="733">
        <f t="shared" si="5"/>
        <v>0</v>
      </c>
      <c r="J46" s="733">
        <f t="shared" si="5"/>
        <v>0</v>
      </c>
      <c r="K46" s="733">
        <f t="shared" si="5"/>
        <v>826.87558447380923</v>
      </c>
      <c r="L46" s="733">
        <f t="shared" si="5"/>
        <v>0</v>
      </c>
      <c r="M46" s="733">
        <f t="shared" ca="1" si="5"/>
        <v>0</v>
      </c>
      <c r="N46" s="733">
        <f t="shared" si="5"/>
        <v>0</v>
      </c>
      <c r="O46" s="733">
        <f t="shared" ca="1" si="5"/>
        <v>0</v>
      </c>
      <c r="P46" s="733">
        <f t="shared" si="5"/>
        <v>0</v>
      </c>
      <c r="Q46" s="733">
        <f t="shared" si="5"/>
        <v>0</v>
      </c>
      <c r="R46" s="733">
        <f ca="1">SUM(R39:R45)</f>
        <v>26887.353421561838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88.460807369088755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88.460807369088755</v>
      </c>
    </row>
    <row r="50" spans="1:18">
      <c r="A50" s="826" t="s">
        <v>307</v>
      </c>
      <c r="B50" s="836"/>
      <c r="C50" s="704">
        <f ca="1">transport!B18</f>
        <v>7.0800460478572447</v>
      </c>
      <c r="D50" s="704">
        <f>transport!C18</f>
        <v>0</v>
      </c>
      <c r="E50" s="704">
        <f>transport!D18</f>
        <v>17.904596373996096</v>
      </c>
      <c r="F50" s="704">
        <f>transport!E18</f>
        <v>150.59827521433141</v>
      </c>
      <c r="G50" s="704">
        <f>transport!F18</f>
        <v>0</v>
      </c>
      <c r="H50" s="704">
        <f>transport!G18</f>
        <v>58348.116265700657</v>
      </c>
      <c r="I50" s="704">
        <f>transport!H18</f>
        <v>8598.4316962198718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67122.130879556717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7.0800460478572447</v>
      </c>
      <c r="D52" s="733">
        <f t="shared" ref="D52:Q52" ca="1" si="6">SUM(D48:D51)</f>
        <v>0</v>
      </c>
      <c r="E52" s="733">
        <f t="shared" si="6"/>
        <v>17.904596373996096</v>
      </c>
      <c r="F52" s="733">
        <f t="shared" si="6"/>
        <v>150.59827521433141</v>
      </c>
      <c r="G52" s="733">
        <f t="shared" si="6"/>
        <v>0</v>
      </c>
      <c r="H52" s="733">
        <f t="shared" si="6"/>
        <v>58436.577073069748</v>
      </c>
      <c r="I52" s="733">
        <f t="shared" si="6"/>
        <v>8598.4316962198718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67210.591686925807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932.49214214060476</v>
      </c>
      <c r="D54" s="704">
        <f ca="1">+landbouw!C12</f>
        <v>7333.1092436974805</v>
      </c>
      <c r="E54" s="704">
        <f>+landbouw!D12</f>
        <v>1888.853511688988</v>
      </c>
      <c r="F54" s="704">
        <f>+landbouw!E12</f>
        <v>9.2127490216129448</v>
      </c>
      <c r="G54" s="704">
        <f>+landbouw!F12</f>
        <v>2968.269333892797</v>
      </c>
      <c r="H54" s="704">
        <f>+landbouw!G12</f>
        <v>0</v>
      </c>
      <c r="I54" s="704">
        <f>+landbouw!H12</f>
        <v>0</v>
      </c>
      <c r="J54" s="704">
        <f>+landbouw!I12</f>
        <v>0</v>
      </c>
      <c r="K54" s="704">
        <f>+landbouw!J12</f>
        <v>237.8022717266289</v>
      </c>
      <c r="L54" s="704">
        <f>+landbouw!K12</f>
        <v>0</v>
      </c>
      <c r="M54" s="704">
        <f>+landbouw!L12</f>
        <v>0</v>
      </c>
      <c r="N54" s="704">
        <f>+landbouw!M12</f>
        <v>0</v>
      </c>
      <c r="O54" s="704">
        <f>+landbouw!N12</f>
        <v>0</v>
      </c>
      <c r="P54" s="704">
        <f>+landbouw!O12</f>
        <v>0</v>
      </c>
      <c r="Q54" s="705">
        <f>+landbouw!P12</f>
        <v>0</v>
      </c>
      <c r="R54" s="732">
        <f ca="1">SUM(C54:Q54)</f>
        <v>13369.739252168112</v>
      </c>
    </row>
    <row r="55" spans="1:18" ht="15" thickBot="1">
      <c r="A55" s="826" t="s">
        <v>864</v>
      </c>
      <c r="B55" s="836"/>
      <c r="C55" s="704">
        <f ca="1">C25*'EF ele_warmte'!B12</f>
        <v>210.52923099898314</v>
      </c>
      <c r="D55" s="704"/>
      <c r="E55" s="704">
        <f>E25*EF_CO2_aardgas</f>
        <v>193.03523067800663</v>
      </c>
      <c r="F55" s="704"/>
      <c r="G55" s="704"/>
      <c r="H55" s="704"/>
      <c r="I55" s="704"/>
      <c r="J55" s="704"/>
      <c r="K55" s="704"/>
      <c r="L55" s="704"/>
      <c r="M55" s="704"/>
      <c r="N55" s="704"/>
      <c r="O55" s="704"/>
      <c r="P55" s="704"/>
      <c r="Q55" s="705"/>
      <c r="R55" s="732">
        <f ca="1">SUM(C55:Q55)</f>
        <v>403.56446167698977</v>
      </c>
    </row>
    <row r="56" spans="1:18" ht="15.75" thickBot="1">
      <c r="A56" s="824" t="s">
        <v>865</v>
      </c>
      <c r="B56" s="837"/>
      <c r="C56" s="733">
        <f ca="1">SUM(C54:C55)</f>
        <v>1143.0213731395879</v>
      </c>
      <c r="D56" s="733">
        <f t="shared" ref="D56:Q56" ca="1" si="7">SUM(D54:D55)</f>
        <v>7333.1092436974805</v>
      </c>
      <c r="E56" s="733">
        <f t="shared" si="7"/>
        <v>2081.8887423669944</v>
      </c>
      <c r="F56" s="733">
        <f t="shared" si="7"/>
        <v>9.2127490216129448</v>
      </c>
      <c r="G56" s="733">
        <f t="shared" si="7"/>
        <v>2968.269333892797</v>
      </c>
      <c r="H56" s="733">
        <f t="shared" si="7"/>
        <v>0</v>
      </c>
      <c r="I56" s="733">
        <f t="shared" si="7"/>
        <v>0</v>
      </c>
      <c r="J56" s="733">
        <f t="shared" si="7"/>
        <v>0</v>
      </c>
      <c r="K56" s="733">
        <f t="shared" si="7"/>
        <v>237.8022717266289</v>
      </c>
      <c r="L56" s="733">
        <f t="shared" si="7"/>
        <v>0</v>
      </c>
      <c r="M56" s="733">
        <f t="shared" si="7"/>
        <v>0</v>
      </c>
      <c r="N56" s="733">
        <f t="shared" si="7"/>
        <v>0</v>
      </c>
      <c r="O56" s="733">
        <f t="shared" si="7"/>
        <v>0</v>
      </c>
      <c r="P56" s="733">
        <f t="shared" si="7"/>
        <v>0</v>
      </c>
      <c r="Q56" s="734">
        <f t="shared" si="7"/>
        <v>0</v>
      </c>
      <c r="R56" s="735">
        <f ca="1">SUM(R54:R55)</f>
        <v>13773.303713845102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10141.021298781085</v>
      </c>
      <c r="D61" s="741">
        <f t="shared" ref="D61:Q61" ca="1" si="8">D46+D52+D56</f>
        <v>7333.1092436974805</v>
      </c>
      <c r="E61" s="741">
        <f t="shared" ca="1" si="8"/>
        <v>9701.1599787402974</v>
      </c>
      <c r="F61" s="741">
        <f t="shared" si="8"/>
        <v>1437.0181198642431</v>
      </c>
      <c r="G61" s="741">
        <f t="shared" ca="1" si="8"/>
        <v>11159.253555759578</v>
      </c>
      <c r="H61" s="741">
        <f t="shared" si="8"/>
        <v>58436.577073069748</v>
      </c>
      <c r="I61" s="741">
        <f t="shared" si="8"/>
        <v>8598.4316962198718</v>
      </c>
      <c r="J61" s="741">
        <f t="shared" si="8"/>
        <v>0</v>
      </c>
      <c r="K61" s="741">
        <f t="shared" si="8"/>
        <v>1064.6778562004381</v>
      </c>
      <c r="L61" s="741">
        <f t="shared" si="8"/>
        <v>0</v>
      </c>
      <c r="M61" s="741">
        <f t="shared" ca="1" si="8"/>
        <v>0</v>
      </c>
      <c r="N61" s="741">
        <f t="shared" si="8"/>
        <v>0</v>
      </c>
      <c r="O61" s="741">
        <f t="shared" ca="1" si="8"/>
        <v>0</v>
      </c>
      <c r="P61" s="741">
        <f t="shared" si="8"/>
        <v>0</v>
      </c>
      <c r="Q61" s="741">
        <f t="shared" si="8"/>
        <v>0</v>
      </c>
      <c r="R61" s="741">
        <f ca="1">R46+R52+R56</f>
        <v>107871.24882233275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0.21281694935951309</v>
      </c>
      <c r="D63" s="782">
        <f t="shared" ca="1" si="9"/>
        <v>0.23764705882352949</v>
      </c>
      <c r="E63" s="1036">
        <f t="shared" ca="1" si="9"/>
        <v>0.20199999999999999</v>
      </c>
      <c r="F63" s="782">
        <f t="shared" si="9"/>
        <v>0.22700000000000006</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3391.4485304677064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21600</v>
      </c>
      <c r="D76" s="1046">
        <f>'lokale energieproductie'!C8</f>
        <v>25411.76470588236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5133.176470588237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3391.4485304677064</v>
      </c>
      <c r="C78" s="756">
        <f>SUM(C72:C77)</f>
        <v>21600</v>
      </c>
      <c r="D78" s="757">
        <f t="shared" ref="D78:H78" si="10">SUM(D76:D77)</f>
        <v>25411.76470588236</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5133.176470588237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30857.142857142855</v>
      </c>
      <c r="D87" s="778">
        <f>'lokale energieproductie'!C17</f>
        <v>36302.521008403368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7333.1092436974805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30857.142857142855</v>
      </c>
      <c r="D90" s="756">
        <f t="shared" ref="D90:H90" si="12">SUM(D87:D89)</f>
        <v>36302.521008403368</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7333.1092436974805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3391.4485304677064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21600</v>
      </c>
      <c r="C8" s="571">
        <f>B101</f>
        <v>25411.76470588236</v>
      </c>
      <c r="D8" s="1056"/>
      <c r="E8" s="1056">
        <f>E101</f>
        <v>0</v>
      </c>
      <c r="F8" s="1057"/>
      <c r="G8" s="572"/>
      <c r="H8" s="1056">
        <f>I101</f>
        <v>0</v>
      </c>
      <c r="I8" s="1056">
        <f>G101+F101</f>
        <v>0</v>
      </c>
      <c r="J8" s="1056">
        <f>H101+D101+C101</f>
        <v>0</v>
      </c>
      <c r="K8" s="1056"/>
      <c r="L8" s="1056"/>
      <c r="M8" s="1056"/>
      <c r="N8" s="573"/>
      <c r="O8" s="574">
        <f>C8*$C$12+D8*$D$12+E8*$E$12+F8*$F$12+G8*$G$12+H8*$H$12+I8*$I$12+J8*$J$12</f>
        <v>5133.176470588237</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24991.448530467707</v>
      </c>
      <c r="C10" s="584">
        <f t="shared" ref="C10:L10" si="0">SUM(C8:C9)</f>
        <v>25411.76470588236</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5133.176470588237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30857.142857142855</v>
      </c>
      <c r="C17" s="596">
        <f>B102</f>
        <v>36302.521008403368</v>
      </c>
      <c r="D17" s="597"/>
      <c r="E17" s="597">
        <f>E102</f>
        <v>0</v>
      </c>
      <c r="F17" s="1062"/>
      <c r="G17" s="598"/>
      <c r="H17" s="596">
        <f>I102</f>
        <v>0</v>
      </c>
      <c r="I17" s="597">
        <f>G102+F102</f>
        <v>0</v>
      </c>
      <c r="J17" s="597">
        <f>H102+D102+C102</f>
        <v>0</v>
      </c>
      <c r="K17" s="597"/>
      <c r="L17" s="597"/>
      <c r="M17" s="597"/>
      <c r="N17" s="1063"/>
      <c r="O17" s="599">
        <f>C17*$C$22+E17*$E$22+H17*$H$22+I17*$I$22+J17*$J$22+D17*$D$22+F17*$F$22+G17*$G$22+K17*$K$22+L17*$L$22</f>
        <v>7333.1092436974805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30857.142857142855</v>
      </c>
      <c r="C20" s="583">
        <f>SUM(C17:C19)</f>
        <v>36302.521008403368</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7333.1092436974805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44049</v>
      </c>
      <c r="C28" s="797">
        <v>9850</v>
      </c>
      <c r="D28" s="654" t="s">
        <v>907</v>
      </c>
      <c r="E28" s="653" t="s">
        <v>908</v>
      </c>
      <c r="F28" s="653" t="s">
        <v>909</v>
      </c>
      <c r="G28" s="653" t="s">
        <v>910</v>
      </c>
      <c r="H28" s="653" t="s">
        <v>911</v>
      </c>
      <c r="I28" s="653" t="s">
        <v>908</v>
      </c>
      <c r="J28" s="796">
        <v>39436</v>
      </c>
      <c r="K28" s="796">
        <v>39436</v>
      </c>
      <c r="L28" s="653" t="s">
        <v>912</v>
      </c>
      <c r="M28" s="653">
        <v>2000</v>
      </c>
      <c r="N28" s="653">
        <v>9000</v>
      </c>
      <c r="O28" s="653">
        <v>12857.142857142857</v>
      </c>
      <c r="P28" s="653">
        <v>25714.285714285717</v>
      </c>
      <c r="Q28" s="653">
        <v>0</v>
      </c>
      <c r="R28" s="653">
        <v>0</v>
      </c>
      <c r="S28" s="653">
        <v>0</v>
      </c>
      <c r="T28" s="653">
        <v>0</v>
      </c>
      <c r="U28" s="653">
        <v>0</v>
      </c>
      <c r="V28" s="653">
        <v>0</v>
      </c>
      <c r="W28" s="653">
        <v>0</v>
      </c>
      <c r="X28" s="653">
        <v>10</v>
      </c>
      <c r="Y28" s="653" t="s">
        <v>112</v>
      </c>
      <c r="Z28" s="655" t="s">
        <v>112</v>
      </c>
    </row>
    <row r="29" spans="1:26" s="607" customFormat="1" ht="25.5">
      <c r="A29" s="606"/>
      <c r="B29" s="797">
        <v>44049</v>
      </c>
      <c r="C29" s="797">
        <v>9850</v>
      </c>
      <c r="D29" s="654" t="s">
        <v>913</v>
      </c>
      <c r="E29" s="653" t="s">
        <v>914</v>
      </c>
      <c r="F29" s="653" t="s">
        <v>915</v>
      </c>
      <c r="G29" s="653" t="s">
        <v>910</v>
      </c>
      <c r="H29" s="653" t="s">
        <v>911</v>
      </c>
      <c r="I29" s="653" t="s">
        <v>914</v>
      </c>
      <c r="J29" s="796">
        <v>39496</v>
      </c>
      <c r="K29" s="796">
        <v>39542</v>
      </c>
      <c r="L29" s="653" t="s">
        <v>912</v>
      </c>
      <c r="M29" s="653">
        <v>2000</v>
      </c>
      <c r="N29" s="653">
        <v>9000</v>
      </c>
      <c r="O29" s="653">
        <v>12857.142857142857</v>
      </c>
      <c r="P29" s="653">
        <v>25714.285714285717</v>
      </c>
      <c r="Q29" s="653">
        <v>0</v>
      </c>
      <c r="R29" s="653">
        <v>0</v>
      </c>
      <c r="S29" s="653">
        <v>0</v>
      </c>
      <c r="T29" s="653">
        <v>0</v>
      </c>
      <c r="U29" s="653">
        <v>0</v>
      </c>
      <c r="V29" s="653">
        <v>0</v>
      </c>
      <c r="W29" s="653">
        <v>0</v>
      </c>
      <c r="X29" s="653">
        <v>10</v>
      </c>
      <c r="Y29" s="653" t="s">
        <v>112</v>
      </c>
      <c r="Z29" s="655" t="s">
        <v>112</v>
      </c>
    </row>
    <row r="30" spans="1:26" s="607" customFormat="1" ht="25.5">
      <c r="A30" s="606"/>
      <c r="B30" s="797">
        <v>44049</v>
      </c>
      <c r="C30" s="797">
        <v>9850</v>
      </c>
      <c r="D30" s="654" t="s">
        <v>916</v>
      </c>
      <c r="E30" s="653" t="s">
        <v>917</v>
      </c>
      <c r="F30" s="653" t="s">
        <v>918</v>
      </c>
      <c r="G30" s="653" t="s">
        <v>910</v>
      </c>
      <c r="H30" s="653" t="s">
        <v>911</v>
      </c>
      <c r="I30" s="653" t="s">
        <v>917</v>
      </c>
      <c r="J30" s="796">
        <v>39898</v>
      </c>
      <c r="K30" s="796">
        <v>39708</v>
      </c>
      <c r="L30" s="653" t="s">
        <v>912</v>
      </c>
      <c r="M30" s="653">
        <v>800</v>
      </c>
      <c r="N30" s="653">
        <v>3600</v>
      </c>
      <c r="O30" s="653">
        <v>5142.8571428571431</v>
      </c>
      <c r="P30" s="653">
        <v>10285.714285714286</v>
      </c>
      <c r="Q30" s="653">
        <v>0</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4800</v>
      </c>
      <c r="N58" s="611">
        <f>SUM(N28:N57)</f>
        <v>21600</v>
      </c>
      <c r="O58" s="611">
        <f t="shared" ref="O58:W58" si="2">SUM(O28:O57)</f>
        <v>30857.142857142855</v>
      </c>
      <c r="P58" s="611">
        <f t="shared" si="2"/>
        <v>61714.285714285725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4800</v>
      </c>
      <c r="N61" s="616">
        <f t="shared" si="4"/>
        <v>21600</v>
      </c>
      <c r="O61" s="616">
        <f t="shared" si="4"/>
        <v>30857.142857142855</v>
      </c>
      <c r="P61" s="616">
        <f t="shared" si="4"/>
        <v>61714.285714285725</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25411.76470588236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36302.521008403368</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25272.70666646507</v>
      </c>
      <c r="C4" s="478">
        <f>huishoudens!C8</f>
        <v>0</v>
      </c>
      <c r="D4" s="478">
        <f>huishoudens!D8</f>
        <v>26101.362146364489</v>
      </c>
      <c r="E4" s="478">
        <f>huishoudens!E8</f>
        <v>5077.2843013796837</v>
      </c>
      <c r="F4" s="478">
        <f>huishoudens!F8</f>
        <v>26049.165432505848</v>
      </c>
      <c r="G4" s="478">
        <f>huishoudens!G8</f>
        <v>0</v>
      </c>
      <c r="H4" s="478">
        <f>huishoudens!H8</f>
        <v>0</v>
      </c>
      <c r="I4" s="478">
        <f>huishoudens!I8</f>
        <v>0</v>
      </c>
      <c r="J4" s="478">
        <f>huishoudens!J8</f>
        <v>2314.4639229029162</v>
      </c>
      <c r="K4" s="478">
        <f>huishoudens!K8</f>
        <v>0</v>
      </c>
      <c r="L4" s="478">
        <f>huishoudens!L8</f>
        <v>0</v>
      </c>
      <c r="M4" s="478">
        <f>huishoudens!M8</f>
        <v>0</v>
      </c>
      <c r="N4" s="478">
        <f>huishoudens!N8</f>
        <v>13046.687626552504</v>
      </c>
      <c r="O4" s="478">
        <f>huishoudens!O8</f>
        <v>211.05</v>
      </c>
      <c r="P4" s="479">
        <f>huishoudens!P8</f>
        <v>724.5333333333333</v>
      </c>
      <c r="Q4" s="480">
        <f>SUM(B4:P4)</f>
        <v>98797.253429503849</v>
      </c>
    </row>
    <row r="5" spans="1:17">
      <c r="A5" s="477" t="s">
        <v>156</v>
      </c>
      <c r="B5" s="478">
        <f ca="1">tertiair!B16</f>
        <v>12749.372600000001</v>
      </c>
      <c r="C5" s="478">
        <f ca="1">tertiair!C16</f>
        <v>0</v>
      </c>
      <c r="D5" s="478">
        <f ca="1">tertiair!D16</f>
        <v>9716.2346741094861</v>
      </c>
      <c r="E5" s="478">
        <f>tertiair!E16</f>
        <v>101.92788293909622</v>
      </c>
      <c r="F5" s="478">
        <f ca="1">tertiair!F16</f>
        <v>1778.3300178817551</v>
      </c>
      <c r="G5" s="478">
        <f>tertiair!G16</f>
        <v>0</v>
      </c>
      <c r="H5" s="478">
        <f>tertiair!H16</f>
        <v>0</v>
      </c>
      <c r="I5" s="478">
        <f>tertiair!I16</f>
        <v>0</v>
      </c>
      <c r="J5" s="478">
        <f>tertiair!J16</f>
        <v>0</v>
      </c>
      <c r="K5" s="478">
        <f>tertiair!K16</f>
        <v>0</v>
      </c>
      <c r="L5" s="478">
        <f ca="1">tertiair!L16</f>
        <v>0</v>
      </c>
      <c r="M5" s="478">
        <f>tertiair!M16</f>
        <v>0</v>
      </c>
      <c r="N5" s="478">
        <f ca="1">tertiair!N16</f>
        <v>1147.5171870184779</v>
      </c>
      <c r="O5" s="478">
        <f>tertiair!O16</f>
        <v>6.2533333333333339</v>
      </c>
      <c r="P5" s="479">
        <f>tertiair!P16</f>
        <v>57.2</v>
      </c>
      <c r="Q5" s="477">
        <f t="shared" ref="Q5:Q14" ca="1" si="0">SUM(B5:P5)</f>
        <v>25556.835695282152</v>
      </c>
    </row>
    <row r="6" spans="1:17">
      <c r="A6" s="477" t="s">
        <v>194</v>
      </c>
      <c r="B6" s="478">
        <f>'openbare verlichting'!B8</f>
        <v>1190.2529999999999</v>
      </c>
      <c r="C6" s="478"/>
      <c r="D6" s="478"/>
      <c r="E6" s="478"/>
      <c r="F6" s="478"/>
      <c r="G6" s="478"/>
      <c r="H6" s="478"/>
      <c r="I6" s="478"/>
      <c r="J6" s="478"/>
      <c r="K6" s="478"/>
      <c r="L6" s="478"/>
      <c r="M6" s="478"/>
      <c r="N6" s="478"/>
      <c r="O6" s="478"/>
      <c r="P6" s="479"/>
      <c r="Q6" s="477">
        <f t="shared" si="0"/>
        <v>1190.2529999999999</v>
      </c>
    </row>
    <row r="7" spans="1:17">
      <c r="A7" s="477" t="s">
        <v>112</v>
      </c>
      <c r="B7" s="478">
        <f>landbouw!B8</f>
        <v>4381.6629499999999</v>
      </c>
      <c r="C7" s="478">
        <f>landbouw!C8</f>
        <v>30857.142857142855</v>
      </c>
      <c r="D7" s="478">
        <f>landbouw!D8</f>
        <v>9350.7599588563753</v>
      </c>
      <c r="E7" s="478">
        <f>landbouw!E8</f>
        <v>40.584797452039403</v>
      </c>
      <c r="F7" s="478">
        <f>landbouw!F8</f>
        <v>11117.113610085382</v>
      </c>
      <c r="G7" s="478">
        <f>landbouw!G8</f>
        <v>0</v>
      </c>
      <c r="H7" s="478">
        <f>landbouw!H8</f>
        <v>0</v>
      </c>
      <c r="I7" s="478">
        <f>landbouw!I8</f>
        <v>0</v>
      </c>
      <c r="J7" s="478">
        <f>landbouw!J8</f>
        <v>671.75782973623984</v>
      </c>
      <c r="K7" s="478">
        <f>landbouw!K8</f>
        <v>0</v>
      </c>
      <c r="L7" s="478">
        <f>landbouw!L8</f>
        <v>0</v>
      </c>
      <c r="M7" s="478">
        <f>landbouw!M8</f>
        <v>0</v>
      </c>
      <c r="N7" s="478">
        <f>landbouw!N8</f>
        <v>0</v>
      </c>
      <c r="O7" s="478">
        <f>landbouw!O8</f>
        <v>0</v>
      </c>
      <c r="P7" s="479">
        <f>landbouw!P8</f>
        <v>0</v>
      </c>
      <c r="Q7" s="477">
        <f t="shared" si="0"/>
        <v>56419.02200327289</v>
      </c>
    </row>
    <row r="8" spans="1:17">
      <c r="A8" s="477" t="s">
        <v>650</v>
      </c>
      <c r="B8" s="478">
        <f>industrie!B18</f>
        <v>3034.8661200000001</v>
      </c>
      <c r="C8" s="478">
        <f>industrie!C18</f>
        <v>0</v>
      </c>
      <c r="D8" s="478">
        <f>industrie!D18</f>
        <v>1812.9311003146736</v>
      </c>
      <c r="E8" s="478">
        <f>industrie!E18</f>
        <v>447.25079201733683</v>
      </c>
      <c r="F8" s="478">
        <f>industrie!F18</f>
        <v>2850.3480772033399</v>
      </c>
      <c r="G8" s="478">
        <f>industrie!G18</f>
        <v>0</v>
      </c>
      <c r="H8" s="478">
        <f>industrie!H18</f>
        <v>0</v>
      </c>
      <c r="I8" s="478">
        <f>industrie!I18</f>
        <v>0</v>
      </c>
      <c r="J8" s="478">
        <f>industrie!J18</f>
        <v>21.342812898805004</v>
      </c>
      <c r="K8" s="478">
        <f>industrie!K18</f>
        <v>0</v>
      </c>
      <c r="L8" s="478">
        <f>industrie!L18</f>
        <v>0</v>
      </c>
      <c r="M8" s="478">
        <f>industrie!M18</f>
        <v>0</v>
      </c>
      <c r="N8" s="478">
        <f>industrie!N18</f>
        <v>1026.3004082714765</v>
      </c>
      <c r="O8" s="478">
        <f>industrie!O18</f>
        <v>0</v>
      </c>
      <c r="P8" s="479">
        <f>industrie!P18</f>
        <v>0</v>
      </c>
      <c r="Q8" s="477">
        <f t="shared" si="0"/>
        <v>9193.0393107056316</v>
      </c>
    </row>
    <row r="9" spans="1:17" s="483" customFormat="1">
      <c r="A9" s="481" t="s">
        <v>571</v>
      </c>
      <c r="B9" s="482">
        <f>transport!B14</f>
        <v>33.268243291547591</v>
      </c>
      <c r="C9" s="482">
        <f>transport!C14</f>
        <v>0</v>
      </c>
      <c r="D9" s="482">
        <f>transport!D14</f>
        <v>88.636615712851963</v>
      </c>
      <c r="E9" s="482">
        <f>transport!E14</f>
        <v>663.42852517326605</v>
      </c>
      <c r="F9" s="482">
        <f>transport!F14</f>
        <v>0</v>
      </c>
      <c r="G9" s="482">
        <f>transport!G14</f>
        <v>218532.27065805488</v>
      </c>
      <c r="H9" s="482">
        <f>transport!H14</f>
        <v>34531.854201686234</v>
      </c>
      <c r="I9" s="482">
        <f>transport!I14</f>
        <v>0</v>
      </c>
      <c r="J9" s="482">
        <f>transport!J14</f>
        <v>0</v>
      </c>
      <c r="K9" s="482">
        <f>transport!K14</f>
        <v>0</v>
      </c>
      <c r="L9" s="482">
        <f>transport!L14</f>
        <v>0</v>
      </c>
      <c r="M9" s="482">
        <f>transport!M14</f>
        <v>13704.104823758269</v>
      </c>
      <c r="N9" s="482">
        <f>transport!N14</f>
        <v>0</v>
      </c>
      <c r="O9" s="482">
        <f>transport!O14</f>
        <v>0</v>
      </c>
      <c r="P9" s="482">
        <f>transport!P14</f>
        <v>0</v>
      </c>
      <c r="Q9" s="481">
        <f>SUM(B9:P9)</f>
        <v>267553.56306767702</v>
      </c>
    </row>
    <row r="10" spans="1:17">
      <c r="A10" s="477" t="s">
        <v>561</v>
      </c>
      <c r="B10" s="478">
        <f>transport!B54</f>
        <v>0</v>
      </c>
      <c r="C10" s="478">
        <f>transport!C54</f>
        <v>0</v>
      </c>
      <c r="D10" s="478">
        <f>transport!D54</f>
        <v>0</v>
      </c>
      <c r="E10" s="478">
        <f>transport!E54</f>
        <v>0</v>
      </c>
      <c r="F10" s="478">
        <f>transport!F54</f>
        <v>0</v>
      </c>
      <c r="G10" s="478">
        <f>transport!G54</f>
        <v>331.31388527748595</v>
      </c>
      <c r="H10" s="478">
        <f>transport!H54</f>
        <v>0</v>
      </c>
      <c r="I10" s="478">
        <f>transport!I54</f>
        <v>0</v>
      </c>
      <c r="J10" s="478">
        <f>transport!J54</f>
        <v>0</v>
      </c>
      <c r="K10" s="478">
        <f>transport!K54</f>
        <v>0</v>
      </c>
      <c r="L10" s="478">
        <f>transport!L54</f>
        <v>0</v>
      </c>
      <c r="M10" s="478">
        <f>transport!M54</f>
        <v>18.893865045225429</v>
      </c>
      <c r="N10" s="478">
        <f>transport!N54</f>
        <v>0</v>
      </c>
      <c r="O10" s="478">
        <f>transport!O54</f>
        <v>0</v>
      </c>
      <c r="P10" s="479">
        <f>transport!P54</f>
        <v>0</v>
      </c>
      <c r="Q10" s="477">
        <f t="shared" si="0"/>
        <v>350.20775032271138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989.25030000000004</v>
      </c>
      <c r="C14" s="485"/>
      <c r="D14" s="485">
        <f>'SEAP template'!E25</f>
        <v>955.61995385151795</v>
      </c>
      <c r="E14" s="485"/>
      <c r="F14" s="485"/>
      <c r="G14" s="485"/>
      <c r="H14" s="485"/>
      <c r="I14" s="485"/>
      <c r="J14" s="485"/>
      <c r="K14" s="485"/>
      <c r="L14" s="485"/>
      <c r="M14" s="485"/>
      <c r="N14" s="485"/>
      <c r="O14" s="485"/>
      <c r="P14" s="486"/>
      <c r="Q14" s="477">
        <f t="shared" si="0"/>
        <v>1944.8702538515181</v>
      </c>
    </row>
    <row r="15" spans="1:17" s="487" customFormat="1">
      <c r="A15" s="1051" t="s">
        <v>565</v>
      </c>
      <c r="B15" s="991">
        <f ca="1">SUM(B4:B14)</f>
        <v>47651.379879756612</v>
      </c>
      <c r="C15" s="991">
        <f t="shared" ref="C15:Q15" ca="1" si="1">SUM(C4:C14)</f>
        <v>30857.142857142855</v>
      </c>
      <c r="D15" s="991">
        <f t="shared" ca="1" si="1"/>
        <v>48025.544449209396</v>
      </c>
      <c r="E15" s="991">
        <f t="shared" si="1"/>
        <v>6330.4762989614219</v>
      </c>
      <c r="F15" s="991">
        <f t="shared" ca="1" si="1"/>
        <v>41794.95713767632</v>
      </c>
      <c r="G15" s="991">
        <f t="shared" si="1"/>
        <v>218863.58454333237</v>
      </c>
      <c r="H15" s="991">
        <f t="shared" si="1"/>
        <v>34531.854201686234</v>
      </c>
      <c r="I15" s="991">
        <f t="shared" si="1"/>
        <v>0</v>
      </c>
      <c r="J15" s="991">
        <f t="shared" si="1"/>
        <v>3007.5645655379608</v>
      </c>
      <c r="K15" s="991">
        <f t="shared" si="1"/>
        <v>0</v>
      </c>
      <c r="L15" s="991">
        <f t="shared" ca="1" si="1"/>
        <v>0</v>
      </c>
      <c r="M15" s="991">
        <f t="shared" si="1"/>
        <v>13722.998688803495</v>
      </c>
      <c r="N15" s="991">
        <f t="shared" ca="1" si="1"/>
        <v>15220.505221842459</v>
      </c>
      <c r="O15" s="991">
        <f t="shared" si="1"/>
        <v>217.30333333333334</v>
      </c>
      <c r="P15" s="991">
        <f t="shared" si="1"/>
        <v>781.73333333333335</v>
      </c>
      <c r="Q15" s="991">
        <f t="shared" ca="1" si="1"/>
        <v>461005.04451061581</v>
      </c>
    </row>
    <row r="17" spans="1:17">
      <c r="A17" s="488" t="s">
        <v>566</v>
      </c>
      <c r="B17" s="787">
        <f ca="1">huishoudens!B10</f>
        <v>0.21281694935951309</v>
      </c>
      <c r="C17" s="787">
        <f ca="1">huishoudens!C10</f>
        <v>0.23764705882352949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5378.4603348149258</v>
      </c>
      <c r="C22" s="478">
        <f t="shared" ref="C22:C32" ca="1" si="3">C4*$C$17</f>
        <v>0</v>
      </c>
      <c r="D22" s="478">
        <f t="shared" ref="D22:D32" si="4">D4*$D$17</f>
        <v>5272.4751535656269</v>
      </c>
      <c r="E22" s="478">
        <f t="shared" ref="E22:E32" si="5">E4*$E$17</f>
        <v>1152.5435364131883</v>
      </c>
      <c r="F22" s="478">
        <f t="shared" ref="F22:F32" si="6">F4*$F$17</f>
        <v>6955.1271704790615</v>
      </c>
      <c r="G22" s="478">
        <f t="shared" ref="G22:G32" si="7">G4*$G$17</f>
        <v>0</v>
      </c>
      <c r="H22" s="478">
        <f t="shared" ref="H22:H32" si="8">H4*$H$17</f>
        <v>0</v>
      </c>
      <c r="I22" s="478">
        <f t="shared" ref="I22:I32" si="9">I4*$I$17</f>
        <v>0</v>
      </c>
      <c r="J22" s="478">
        <f t="shared" ref="J22:J32" si="10">J4*$J$17</f>
        <v>819.32022870763228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19577.926423980436</v>
      </c>
    </row>
    <row r="23" spans="1:17">
      <c r="A23" s="477" t="s">
        <v>156</v>
      </c>
      <c r="B23" s="478">
        <f t="shared" ca="1" si="2"/>
        <v>2713.2825829797639</v>
      </c>
      <c r="C23" s="478">
        <f t="shared" ca="1" si="3"/>
        <v>0</v>
      </c>
      <c r="D23" s="478">
        <f t="shared" ca="1" si="4"/>
        <v>1962.6794041701164</v>
      </c>
      <c r="E23" s="478">
        <f t="shared" si="5"/>
        <v>23.137629427174843</v>
      </c>
      <c r="F23" s="478">
        <f t="shared" ca="1" si="6"/>
        <v>474.81411477442862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5173.9137313514839</v>
      </c>
    </row>
    <row r="24" spans="1:17">
      <c r="A24" s="477" t="s">
        <v>194</v>
      </c>
      <c r="B24" s="478">
        <f t="shared" ca="1" si="2"/>
        <v>253.30601242600852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253.30601242600852</v>
      </c>
    </row>
    <row r="25" spans="1:17">
      <c r="A25" s="477" t="s">
        <v>112</v>
      </c>
      <c r="B25" s="478">
        <f t="shared" ca="1" si="2"/>
        <v>932.49214214060476</v>
      </c>
      <c r="C25" s="478">
        <f t="shared" ca="1" si="3"/>
        <v>7333.1092436974805</v>
      </c>
      <c r="D25" s="478">
        <f t="shared" si="4"/>
        <v>1888.853511688988</v>
      </c>
      <c r="E25" s="478">
        <f t="shared" si="5"/>
        <v>9.2127490216129448</v>
      </c>
      <c r="F25" s="478">
        <f t="shared" si="6"/>
        <v>2968.269333892797</v>
      </c>
      <c r="G25" s="478">
        <f t="shared" si="7"/>
        <v>0</v>
      </c>
      <c r="H25" s="478">
        <f t="shared" si="8"/>
        <v>0</v>
      </c>
      <c r="I25" s="478">
        <f t="shared" si="9"/>
        <v>0</v>
      </c>
      <c r="J25" s="478">
        <f t="shared" si="10"/>
        <v>237.8022717266289</v>
      </c>
      <c r="K25" s="478">
        <f t="shared" si="11"/>
        <v>0</v>
      </c>
      <c r="L25" s="478">
        <f t="shared" si="12"/>
        <v>0</v>
      </c>
      <c r="M25" s="478">
        <f t="shared" si="13"/>
        <v>0</v>
      </c>
      <c r="N25" s="478">
        <f t="shared" si="14"/>
        <v>0</v>
      </c>
      <c r="O25" s="478">
        <f t="shared" si="15"/>
        <v>0</v>
      </c>
      <c r="P25" s="479">
        <f t="shared" si="16"/>
        <v>0</v>
      </c>
      <c r="Q25" s="477">
        <f t="shared" ca="1" si="17"/>
        <v>13369.739252168112</v>
      </c>
    </row>
    <row r="26" spans="1:17">
      <c r="A26" s="477" t="s">
        <v>650</v>
      </c>
      <c r="B26" s="478">
        <f t="shared" ca="1" si="2"/>
        <v>645.87094937294205</v>
      </c>
      <c r="C26" s="478">
        <f t="shared" ca="1" si="3"/>
        <v>0</v>
      </c>
      <c r="D26" s="478">
        <f t="shared" si="4"/>
        <v>366.21208226356407</v>
      </c>
      <c r="E26" s="478">
        <f t="shared" si="5"/>
        <v>101.52592978793547</v>
      </c>
      <c r="F26" s="478">
        <f t="shared" si="6"/>
        <v>761.04293661329177</v>
      </c>
      <c r="G26" s="478">
        <f t="shared" si="7"/>
        <v>0</v>
      </c>
      <c r="H26" s="478">
        <f t="shared" si="8"/>
        <v>0</v>
      </c>
      <c r="I26" s="478">
        <f t="shared" si="9"/>
        <v>0</v>
      </c>
      <c r="J26" s="478">
        <f t="shared" si="10"/>
        <v>7.5553557661769712</v>
      </c>
      <c r="K26" s="478">
        <f t="shared" si="11"/>
        <v>0</v>
      </c>
      <c r="L26" s="478">
        <f t="shared" si="12"/>
        <v>0</v>
      </c>
      <c r="M26" s="478">
        <f t="shared" si="13"/>
        <v>0</v>
      </c>
      <c r="N26" s="478">
        <f t="shared" si="14"/>
        <v>0</v>
      </c>
      <c r="O26" s="478">
        <f t="shared" si="15"/>
        <v>0</v>
      </c>
      <c r="P26" s="479">
        <f t="shared" si="16"/>
        <v>0</v>
      </c>
      <c r="Q26" s="477">
        <f t="shared" ca="1" si="17"/>
        <v>1882.2072538039101</v>
      </c>
    </row>
    <row r="27" spans="1:17" s="483" customFormat="1">
      <c r="A27" s="481" t="s">
        <v>571</v>
      </c>
      <c r="B27" s="781">
        <f t="shared" ca="1" si="2"/>
        <v>7.0800460478572447</v>
      </c>
      <c r="C27" s="482">
        <f t="shared" ca="1" si="3"/>
        <v>0</v>
      </c>
      <c r="D27" s="482">
        <f t="shared" si="4"/>
        <v>17.904596373996096</v>
      </c>
      <c r="E27" s="482">
        <f t="shared" si="5"/>
        <v>150.59827521433141</v>
      </c>
      <c r="F27" s="482">
        <f t="shared" si="6"/>
        <v>0</v>
      </c>
      <c r="G27" s="482">
        <f t="shared" si="7"/>
        <v>58348.116265700657</v>
      </c>
      <c r="H27" s="482">
        <f t="shared" si="8"/>
        <v>8598.4316962198718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67122.130879556717</v>
      </c>
    </row>
    <row r="28" spans="1:17">
      <c r="A28" s="477" t="s">
        <v>561</v>
      </c>
      <c r="B28" s="478">
        <f t="shared" ca="1" si="2"/>
        <v>0</v>
      </c>
      <c r="C28" s="478">
        <f t="shared" ca="1" si="3"/>
        <v>0</v>
      </c>
      <c r="D28" s="478">
        <f t="shared" si="4"/>
        <v>0</v>
      </c>
      <c r="E28" s="478">
        <f t="shared" si="5"/>
        <v>0</v>
      </c>
      <c r="F28" s="478">
        <f t="shared" si="6"/>
        <v>0</v>
      </c>
      <c r="G28" s="478">
        <f t="shared" si="7"/>
        <v>88.460807369088755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88.460807369088755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210.52923099898314</v>
      </c>
      <c r="C32" s="478">
        <f t="shared" ca="1" si="3"/>
        <v>0</v>
      </c>
      <c r="D32" s="478">
        <f t="shared" si="4"/>
        <v>193.03523067800663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403.56446167698977</v>
      </c>
    </row>
    <row r="33" spans="1:17" s="487" customFormat="1">
      <c r="A33" s="1051" t="s">
        <v>565</v>
      </c>
      <c r="B33" s="991">
        <f ca="1">SUM(B22:B32)</f>
        <v>10141.021298781086</v>
      </c>
      <c r="C33" s="991">
        <f t="shared" ref="C33:Q33" ca="1" si="18">SUM(C22:C32)</f>
        <v>7333.1092436974805</v>
      </c>
      <c r="D33" s="991">
        <f t="shared" ca="1" si="18"/>
        <v>9701.1599787402956</v>
      </c>
      <c r="E33" s="991">
        <f t="shared" si="18"/>
        <v>1437.0181198642431</v>
      </c>
      <c r="F33" s="991">
        <f t="shared" ca="1" si="18"/>
        <v>11159.253555759578</v>
      </c>
      <c r="G33" s="991">
        <f t="shared" si="18"/>
        <v>58436.577073069748</v>
      </c>
      <c r="H33" s="991">
        <f t="shared" si="18"/>
        <v>8598.4316962198718</v>
      </c>
      <c r="I33" s="991">
        <f t="shared" si="18"/>
        <v>0</v>
      </c>
      <c r="J33" s="991">
        <f t="shared" si="18"/>
        <v>1064.6778562004381</v>
      </c>
      <c r="K33" s="991">
        <f t="shared" si="18"/>
        <v>0</v>
      </c>
      <c r="L33" s="991">
        <f t="shared" ca="1" si="18"/>
        <v>0</v>
      </c>
      <c r="M33" s="991">
        <f t="shared" si="18"/>
        <v>0</v>
      </c>
      <c r="N33" s="991">
        <f t="shared" ca="1" si="18"/>
        <v>0</v>
      </c>
      <c r="O33" s="991">
        <f t="shared" si="18"/>
        <v>0</v>
      </c>
      <c r="P33" s="991">
        <f t="shared" si="18"/>
        <v>0</v>
      </c>
      <c r="Q33" s="991">
        <f t="shared" ca="1" si="18"/>
        <v>107871.24882233274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3391.4485304677064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21600</v>
      </c>
      <c r="D8" s="1068">
        <f>'SEAP template'!D76</f>
        <v>25411.76470588236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5133.176470588237</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3391.4485304677064</v>
      </c>
      <c r="C10" s="1072">
        <f>SUM(C4:C9)</f>
        <v>21600</v>
      </c>
      <c r="D10" s="1072">
        <f t="shared" ref="D10:H10" si="0">SUM(D8:D9)</f>
        <v>25411.76470588236</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5133.176470588237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0.21281694935951309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30857.142857142855</v>
      </c>
      <c r="D17" s="1069">
        <f>'SEAP template'!D87</f>
        <v>36302.521008403368</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7333.1092436974805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30857.142857142855</v>
      </c>
      <c r="D20" s="1072">
        <f t="shared" ref="D20:H20" si="2">SUM(D17:D19)</f>
        <v>36302.521008403368</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7333.1092436974805</v>
      </c>
    </row>
    <row r="22" spans="1:16">
      <c r="A22" s="488" t="s">
        <v>888</v>
      </c>
      <c r="B22" s="787" t="s">
        <v>882</v>
      </c>
      <c r="C22" s="787">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0.21281694935951309</v>
      </c>
      <c r="C17" s="525">
        <f ca="1">'EF ele_warmte'!B22</f>
        <v>0.23764705882352949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2019-08-12T08:09:49Z</dcterms:modified>
</cp:coreProperties>
</file>