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N10" s="1"/>
  <c r="L90" i="14"/>
  <c r="L18" i="59"/>
  <c r="B98" i="18"/>
  <c r="G102" s="1"/>
  <c r="B17"/>
  <c r="B20" s="1"/>
  <c r="G20" i="59"/>
  <c r="L20" i="18"/>
  <c r="K20" i="59"/>
  <c r="H90" i="14"/>
  <c r="H18" i="59"/>
  <c r="H20" s="1"/>
  <c r="C98" i="18"/>
  <c r="B101" s="1"/>
  <c r="C8" s="1"/>
  <c r="P22" i="14"/>
  <c r="E20" i="59"/>
  <c r="L78" i="14"/>
  <c r="D14" i="48"/>
  <c r="K10" i="18"/>
  <c r="K78" i="14"/>
  <c r="M77"/>
  <c r="M9" i="59" s="1"/>
  <c r="H9" i="18"/>
  <c r="Q22" i="14"/>
  <c r="G10" i="59"/>
  <c r="L10"/>
  <c r="D22" i="14"/>
  <c r="L22"/>
  <c r="E10" i="59"/>
  <c r="L20"/>
  <c r="B8" i="18"/>
  <c r="B10" s="1"/>
  <c r="F13" i="15"/>
  <c r="G77" i="14"/>
  <c r="G9" i="59" s="1"/>
  <c r="I77" i="14"/>
  <c r="I9" i="59" s="1"/>
  <c r="B13" i="15"/>
  <c r="N13"/>
  <c r="L13"/>
  <c r="F77" i="14"/>
  <c r="F9" i="59" s="1"/>
  <c r="I101" i="18"/>
  <c r="H8" s="1"/>
  <c r="G101"/>
  <c r="O9"/>
  <c r="I102"/>
  <c r="H17" s="1"/>
  <c r="H102"/>
  <c r="D102"/>
  <c r="B102"/>
  <c r="C17" s="1"/>
  <c r="C89" i="14"/>
  <c r="C19" i="59" s="1"/>
  <c r="O19" i="18"/>
  <c r="N88" i="14"/>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E20" s="1"/>
  <c r="F101"/>
  <c r="O78" i="14"/>
  <c r="C102" i="18"/>
  <c r="H101"/>
  <c r="F102"/>
  <c r="D101"/>
  <c r="J17"/>
  <c r="J20" s="1"/>
  <c r="I8"/>
  <c r="I10" s="1"/>
  <c r="C101"/>
  <c r="J8" s="1"/>
  <c r="O8" s="1"/>
  <c r="O10" s="1"/>
  <c r="C77" i="14"/>
  <c r="C9" i="59" s="1"/>
  <c r="H20" i="18"/>
  <c r="M87" i="14"/>
  <c r="F76"/>
  <c r="E10" i="18"/>
  <c r="C20"/>
  <c r="D87" i="14"/>
  <c r="D17" i="59" s="1"/>
  <c r="D20" s="1"/>
  <c r="H10" i="18"/>
  <c r="M76" i="14"/>
  <c r="B88"/>
  <c r="B18" i="59" s="1"/>
  <c r="I17" i="18"/>
  <c r="D76" i="14"/>
  <c r="D8" i="59" s="1"/>
  <c r="D10" s="1"/>
  <c r="C10" i="18"/>
  <c r="C88" i="14"/>
  <c r="C18" i="59" s="1"/>
  <c r="I76" i="14"/>
  <c r="I8" i="59" s="1"/>
  <c r="I10" s="1"/>
  <c r="B77" i="14"/>
  <c r="B9" i="59" s="1"/>
  <c r="Q88" i="14"/>
  <c r="P18" i="59" s="1"/>
  <c r="H14" i="15"/>
  <c r="H16" s="1"/>
  <c r="G14"/>
  <c r="G16" s="1"/>
  <c r="I10" i="14" l="1"/>
  <c r="I16" s="1"/>
  <c r="H5" i="48"/>
  <c r="F87" i="14"/>
  <c r="O17" i="18"/>
  <c r="O20" s="1"/>
  <c r="J87" i="14"/>
  <c r="M78"/>
  <c r="M8" i="59"/>
  <c r="M10" s="1"/>
  <c r="M90" i="14"/>
  <c r="M17" i="59"/>
  <c r="M20" s="1"/>
  <c r="F78" i="14"/>
  <c r="F8" i="59"/>
  <c r="F10" s="1"/>
  <c r="H10" i="14"/>
  <c r="H16" s="1"/>
  <c r="G5" i="48"/>
  <c r="Q76" i="14"/>
  <c r="D78"/>
  <c r="I78"/>
  <c r="B76"/>
  <c r="J10" i="18"/>
  <c r="J76" i="14"/>
  <c r="I87"/>
  <c r="I17" i="59" s="1"/>
  <c r="I20" s="1"/>
  <c r="I20" i="18"/>
  <c r="D90" i="14"/>
  <c r="C87"/>
  <c r="A31" i="23"/>
  <c r="A32"/>
  <c r="A33"/>
  <c r="C90" i="14" l="1"/>
  <c r="C17" i="59"/>
  <c r="C20" s="1"/>
  <c r="B78" i="14"/>
  <c r="B8" i="59"/>
  <c r="B10" s="1"/>
  <c r="J78" i="14"/>
  <c r="J8" i="59"/>
  <c r="J10" s="1"/>
  <c r="F90" i="14"/>
  <c r="F17" i="59"/>
  <c r="F20" s="1"/>
  <c r="J90" i="14"/>
  <c r="J17" i="59"/>
  <c r="J20" s="1"/>
  <c r="Q78" i="14"/>
  <c r="B9" i="6" s="1"/>
  <c r="P8" i="59"/>
  <c r="P10" s="1"/>
  <c r="Q87" i="14"/>
  <c r="B87"/>
  <c r="I90"/>
  <c r="C76"/>
  <c r="B11" i="44"/>
  <c r="B25"/>
  <c r="B24"/>
  <c r="Q90" i="14" l="1"/>
  <c r="B17" i="6" s="1"/>
  <c r="P17" i="59"/>
  <c r="P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Q11" i="14"/>
  <c r="P4" i="48"/>
  <c r="P11" i="14"/>
  <c r="O4" i="48"/>
  <c r="I32"/>
  <c r="I28"/>
  <c r="I22"/>
  <c r="I26"/>
  <c r="I30"/>
  <c r="I29"/>
  <c r="I24"/>
  <c r="I25"/>
  <c r="I27"/>
  <c r="I31"/>
  <c r="D4"/>
  <c r="D22" s="1"/>
  <c r="E11" i="14"/>
  <c r="H32" i="48"/>
  <c r="H29"/>
  <c r="H28"/>
  <c r="H26"/>
  <c r="H24"/>
  <c r="H30"/>
  <c r="H25"/>
  <c r="H22"/>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K28"/>
  <c r="K32"/>
  <c r="K25"/>
  <c r="K27"/>
  <c r="K30"/>
  <c r="K22"/>
  <c r="K31"/>
  <c r="K24"/>
  <c r="K29"/>
  <c r="K26"/>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K23" i="48"/>
  <c r="K15"/>
  <c r="F20" i="14"/>
  <c r="F22" s="1"/>
  <c r="E9" i="48"/>
  <c r="E27" s="1"/>
  <c r="E20" i="14"/>
  <c r="E22" s="1"/>
  <c r="D9" i="48"/>
  <c r="D27" s="1"/>
  <c r="P10" i="14"/>
  <c r="O5" i="48"/>
  <c r="O23" s="1"/>
  <c r="J7"/>
  <c r="J25" s="1"/>
  <c r="K24" i="14"/>
  <c r="K26" s="1"/>
  <c r="C20"/>
  <c r="B9" i="48"/>
  <c r="G11" i="14"/>
  <c r="F4" i="48"/>
  <c r="F22" s="1"/>
  <c r="P22"/>
  <c r="K33"/>
  <c r="Q16" i="14"/>
  <c r="Q27" s="1"/>
  <c r="J63"/>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Q13"/>
  <c r="G31"/>
  <c r="E12" i="13"/>
  <c r="F41" i="14" s="1"/>
  <c r="F11"/>
  <c r="R11" s="1"/>
  <c r="E4" i="48"/>
  <c r="K11" i="14"/>
  <c r="J4" i="48"/>
  <c r="I23"/>
  <c r="I33" s="1"/>
  <c r="I15"/>
  <c r="E7"/>
  <c r="E25" s="1"/>
  <c r="F24" i="14"/>
  <c r="F26" s="1"/>
  <c r="N20"/>
  <c r="M9" i="48"/>
  <c r="N22" i="14"/>
  <c r="N27" s="1"/>
  <c r="P46"/>
  <c r="P61" s="1"/>
  <c r="R18"/>
  <c r="C22"/>
  <c r="P33" i="48"/>
  <c r="P16" i="14"/>
  <c r="P27" s="1"/>
  <c r="P63" s="1"/>
  <c r="Q63"/>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J22" i="48"/>
  <c r="F10" i="14"/>
  <c r="E5" i="48"/>
  <c r="E23" s="1"/>
  <c r="G28"/>
  <c r="Q10"/>
  <c r="G27"/>
  <c r="G15"/>
  <c r="H9"/>
  <c r="I20" i="14"/>
  <c r="I22" s="1"/>
  <c r="I27" s="1"/>
  <c r="M27" i="48"/>
  <c r="M33" s="1"/>
  <c r="M15"/>
  <c r="E22"/>
  <c r="Q4"/>
  <c r="O26"/>
  <c r="O33" s="1"/>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K16" s="1"/>
  <c r="K27" s="1"/>
  <c r="F13"/>
  <c r="E8" i="48"/>
  <c r="E26" s="1"/>
  <c r="E33" s="1"/>
  <c r="F46" i="14"/>
  <c r="F61" s="1"/>
  <c r="Q9" i="48"/>
  <c r="I63" i="14"/>
  <c r="H63"/>
  <c r="F16"/>
  <c r="F27" s="1"/>
  <c r="R20"/>
  <c r="R22" s="1"/>
  <c r="E15" i="48"/>
  <c r="G33"/>
  <c r="O13" i="14"/>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<sst xmlns="http://schemas.openxmlformats.org/spreadsheetml/2006/main" count="2419" uniqueCount="907">
  <si>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</si>
  <si>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</si>
  <si>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</si>
  <si>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</si>
  <si>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</si>
  <si>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</si>
  <si>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</si>
  <si>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</si>
  <si>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</si>
  <si>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</si>
  <si>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</si>
  <si>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</si>
  <si>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</si>
  <si>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</si>
  <si>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</si>
  <si>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</si>
  <si>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</si>
  <si>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</si>
  <si>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</si>
  <si>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</si>
  <si>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</si>
  <si>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</si>
  <si>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</si>
  <si>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</si>
  <si>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</si>
  <si>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</si>
  <si>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</si>
  <si>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</si>
  <si>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</si>
  <si>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</si>
  <si>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</si>
  <si>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</si>
  <si>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</si>
  <si>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</si>
  <si>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</si>
  <si>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</si>
  <si>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</si>
  <si>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</si>
  <si>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</si>
  <si>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</si>
  <si>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</si>
  <si>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</si>
  <si>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</si>
  <si>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</si>
  <si>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</si>
  <si>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</si>
  <si>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</si>
  <si>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</si>
  <si>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</si>
  <si>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</si>
  <si>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</si>
  <si>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</si>
  <si>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</si>
  <si>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</si>
  <si>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</si>
  <si>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</si>
  <si>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</si>
  <si>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</si>
  <si>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</si>
  <si>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</si>
  <si>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</si>
  <si>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</si>
  <si>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</si>
  <si>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</si>
  <si>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</si>
  <si>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</si>
  <si>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</si>
  <si>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</si>
  <si>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</si>
  <si>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</si>
  <si>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</si>
  <si>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</si>
  <si>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</si>
  <si>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</si>
  <si>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</si>
  <si>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</si>
  <si>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</si>
  <si>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</si>
  <si>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</si>
  <si>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</si>
  <si>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</si>
  <si>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</si>
  <si>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</si>
  <si>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</si>
  <si>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</si>
  <si>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</si>
  <si>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</si>
  <si>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</si>
  <si>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</si>
  <si>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</si>
  <si>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</si>
  <si>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</si>
  <si>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</si>
  <si>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</si>
  <si>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</si>
  <si>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</si>
  <si>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</si>
  <si>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</si>
  <si>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</si>
  <si>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</si>
  <si>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</si>
  <si>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</si>
  <si>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</si>
  <si>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</si>
  <si>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</si>
  <si>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</si>
  <si>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</si>
  <si>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</si>
  <si>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</si>
  <si>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</si>
  <si>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</si>
  <si>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</si>
  <si>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</si>
  <si>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</si>
  <si>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</si>
  <si>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</si>
  <si>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</si>
  <si>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</si>
  <si>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</si>
  <si>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</si>
  <si>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</si>
  <si>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</si>
  <si>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</si>
  <si>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</si>
  <si>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</si>
  <si>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</si>
  <si>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</si>
  <si>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</si>
  <si>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</si>
  <si>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</si>
  <si>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</si>
  <si>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</si>
  <si>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</si>
  <si>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</si>
  <si>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</si>
  <si>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</si>
  <si>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</si>
  <si>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</si>
  <si>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</si>
  <si>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</si>
  <si>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</si>
  <si>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</si>
  <si>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</si>
  <si>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</si>
  <si>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</si>
  <si>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</si>
  <si>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</si>
  <si>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</si>
  <si>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</si>
  <si>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</si>
  <si>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</si>
  <si>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</si>
  <si>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</si>
  <si>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</si>
  <si>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</si>
  <si>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</si>
  <si>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</si>
  <si>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</si>
  <si>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</si>
  <si>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</si>
  <si>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</si>
  <si>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</si>
  <si>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</si>
  <si>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</si>
  <si>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</si>
  <si>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</si>
  <si>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</si>
  <si>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</si>
  <si>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</si>
  <si>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</si>
  <si>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</si>
  <si>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</si>
  <si>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</si>
  <si>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</si>
  <si>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</si>
  <si>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</si>
  <si>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</si>
  <si>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</si>
  <si>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</si>
  <si>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</si>
  <si>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</si>
  <si>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</si>
  <si>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</si>
  <si>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</si>
  <si>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</si>
  <si>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</si>
  <si>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</si>
  <si>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</si>
  <si>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</si>
  <si>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</si>
  <si>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</si>
  <si>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</si>
  <si>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</si>
  <si>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</si>
  <si>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</si>
  <si>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</si>
  <si>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</si>
  <si>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</si>
  <si>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</si>
  <si>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</si>
  <si>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</si>
  <si>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</si>
  <si>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</si>
  <si>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</si>
  <si>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</si>
  <si>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</si>
  <si>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</si>
  <si>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</si>
  <si>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</si>
  <si>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</si>
  <si>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</si>
  <si>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</si>
  <si>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</si>
  <si>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</si>
  <si>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</si>
  <si>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</si>
  <si>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</si>
  <si>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</si>
  <si>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</si>
  <si>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</si>
  <si>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</si>
  <si>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</si>
  <si>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</si>
  <si>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</si>
  <si>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</si>
  <si>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</si>
  <si>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</si>
  <si>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</si>
  <si>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</si>
  <si>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</si>
  <si>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</si>
  <si>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</si>
  <si>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</si>
  <si>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</si>
  <si>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</si>
  <si>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</si>
  <si>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</si>
  <si>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</si>
  <si>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</si>
  <si>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</si>
  <si>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</si>
  <si>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</si>
  <si>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</si>
  <si>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</si>
  <si>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</si>
  <si>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</si>
  <si>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</si>
  <si>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</si>
  <si>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</si>
  <si>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</si>
  <si>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</si>
  <si>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</si>
  <si>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</si>
  <si>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</si>
  <si>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</si>
  <si>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</si>
  <si>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</si>
  <si>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</si>
  <si>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</si>
  <si>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</si>
  <si>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</si>
  <si>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</si>
  <si>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</si>
  <si>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</si>
  <si>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</si>
  <si>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</si>
  <si>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</si>
  <si>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</si>
  <si>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</si>
  <si>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</si>
  <si>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</si>
  <si>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</si>
  <si>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</si>
  <si>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</si>
  <si>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</si>
  <si>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</si>
  <si>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</si>
  <si>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</si>
  <si>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</si>
  <si>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</si>
  <si>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</si>
  <si>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</si>
  <si>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</si>
  <si>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</si>
  <si>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</si>
  <si>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</si>
  <si>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</si>
  <si>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</si>
  <si>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</si>
  <si>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</si>
  <si>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</si>
  <si>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</si>
  <si>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</si>
  <si>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</si>
  <si>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</si>
  <si>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</si>
  <si>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</si>
  <si>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</si>
  <si>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</si>
  <si>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</si>
  <si>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</si>
  <si>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</si>
  <si>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</si>
  <si>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</si>
  <si>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</si>
  <si>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</si>
  <si>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</si>
  <si>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</si>
  <si>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</si>
  <si>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</si>
  <si>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</si>
  <si>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</si>
  <si>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</si>
  <si>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</si>
  <si>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</si>
  <si>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</si>
  <si>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</si>
  <si>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</si>
  <si>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</si>
  <si>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</si>
  <si>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</si>
  <si>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</si>
  <si>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</si>
  <si>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</si>
  <si>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</si>
  <si>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</si>
  <si>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</si>
  <si>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</si>
  <si>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</si>
  <si>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</si>
  <si>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</si>
  <si>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</si>
  <si>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</si>
  <si>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</si>
  <si>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</si>
  <si>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</si>
  <si>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</si>
  <si>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</si>
  <si>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</si>
  <si>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</si>
  <si>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</si>
  <si>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</si>
  <si>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</si>
  <si>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</si>
  <si>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</si>
  <si>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</si>
  <si>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</si>
  <si>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</si>
  <si>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</si>
  <si>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</si>
  <si>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</si>
  <si>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</si>
  <si>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</si>
  <si>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</si>
  <si>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</si>
  <si>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</si>
  <si>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</si>
  <si>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</si>
  <si>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</si>
  <si>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</si>
  <si>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</si>
  <si>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</si>
  <si>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</si>
  <si>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</si>
  <si>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</si>
  <si>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</si>
  <si>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</si>
  <si>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</si>
  <si>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</si>
  <si>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</si>
  <si>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</si>
  <si>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</si>
  <si>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</si>
  <si>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</si>
  <si>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</si>
  <si>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</si>
  <si>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</si>
  <si>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</si>
  <si>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</si>
  <si>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</si>
  <si>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</si>
  <si>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</si>
  <si>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</si>
  <si>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</si>
  <si>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</si>
  <si>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</si>
  <si>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</si>
  <si>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</si>
  <si>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</si>
  <si>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</si>
  <si>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</si>
  <si>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</si>
  <si>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</si>
  <si>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</si>
  <si>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</si>
  <si>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</si>
  <si>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</si>
  <si>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</si>
  <si>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</si>
  <si>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</si>
  <si>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</si>
  <si>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</si>
  <si>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</si>
  <si>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</si>
  <si>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</si>
  <si>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</si>
  <si>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</si>
  <si>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</si>
  <si>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</si>
  <si>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</si>
  <si>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</si>
  <si>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</si>
  <si>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</si>
  <si>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</si>
  <si>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</si>
  <si>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</si>
  <si>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</si>
  <si>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</si>
  <si>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</si>
  <si>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</si>
  <si>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</si>
  <si>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</si>
  <si>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</si>
  <si>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</si>
  <si>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</si>
  <si>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</si>
  <si>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</si>
  <si>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</si>
  <si>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</si>
  <si>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</si>
  <si>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</si>
  <si>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</si>
  <si>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</si>
  <si>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</si>
  <si>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</si>
  <si>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</si>
  <si>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</si>
  <si>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</si>
  <si>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</si>
  <si>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</si>
  <si>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</si>
  <si>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</si>
  <si>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</si>
  <si>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</si>
  <si>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</si>
  <si>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</si>
  <si>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</si>
  <si>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</si>
  <si>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</si>
  <si>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</si>
  <si>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</si>
  <si>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</si>
  <si>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</si>
  <si>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</si>
  <si>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</si>
  <si>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</si>
  <si>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</si>
  <si>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</si>
  <si>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</si>
  <si>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</si>
  <si>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</si>
  <si>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</si>
  <si>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</si>
  <si>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</si>
  <si>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</si>
  <si>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</si>
  <si>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</si>
  <si>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</si>
  <si>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</si>
  <si>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</si>
  <si>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</si>
  <si>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</si>
  <si>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</si>
  <si>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</si>
  <si>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</si>
  <si>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</si>
  <si>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</si>
  <si>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</si>
  <si>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</si>
  <si>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</si>
  <si>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</si>
  <si>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</si>
  <si>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</si>
  <si>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</si>
  <si>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</si>
  <si>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</si>
  <si>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</si>
  <si>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</si>
  <si>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</si>
  <si>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</si>
  <si>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</si>
  <si>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</si>
  <si>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</si>
  <si>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</si>
  <si>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</si>
  <si>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</si>
  <si>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</si>
  <si>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</si>
  <si>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</si>
  <si>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</si>
  <si>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</si>
  <si>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</si>
  <si>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</si>
  <si>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</si>
  <si>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</si>
  <si>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</si>
  <si>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</si>
  <si>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</si>
  <si>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</si>
  <si>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</si>
  <si>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</si>
  <si>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</si>
  <si>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</si>
  <si>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</si>
  <si>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</si>
  <si>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</si>
  <si>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</si>
  <si>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</si>
  <si>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</si>
  <si>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</si>
  <si>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</si>
  <si>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</si>
  <si>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</si>
  <si>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</si>
  <si>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</si>
  <si>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</si>
  <si>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</si>
  <si>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</si>
  <si>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</si>
  <si>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</si>
  <si>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</si>
  <si>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</si>
  <si>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</si>
  <si>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</si>
  <si>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</si>
  <si>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</si>
  <si>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</si>
  <si>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</si>
  <si>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</si>
  <si>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</si>
  <si>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</si>
  <si>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</si>
  <si>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</si>
  <si>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</si>
  <si>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</si>
  <si>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</si>
  <si>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</si>
  <si>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</si>
  <si>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</si>
  <si>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</si>
  <si>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</si>
  <si>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</si>
  <si>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</si>
  <si>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</si>
  <si>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</si>
  <si>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</si>
  <si>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</si>
  <si>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</si>
  <si>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</si>
  <si>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</si>
  <si>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</si>
  <si>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</si>
  <si>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</si>
  <si>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</si>
  <si>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</si>
  <si>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</si>
  <si>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</si>
  <si>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</si>
  <si>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</si>
  <si>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</si>
  <si>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</si>
  <si>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</si>
  <si>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</si>
  <si>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</si>
  <si>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</si>
  <si>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</si>
  <si>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</si>
  <si>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</si>
  <si>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</si>
  <si>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</si>
  <si>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</si>
  <si>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</si>
  <si>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</si>
  <si>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</si>
  <si>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</si>
  <si>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</si>
  <si>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</si>
  <si>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</si>
  <si>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</si>
  <si>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</si>
  <si>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</si>
  <si>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</si>
  <si>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</si>
  <si>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</si>
  <si>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</si>
  <si>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</si>
  <si>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</si>
  <si>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</si>
  <si>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</si>
  <si>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</si>
  <si>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</si>
  <si>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</si>
  <si>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</si>
  <si>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</si>
  <si>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</si>
  <si>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</si>
  <si>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</si>
  <si>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</si>
  <si>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</si>
  <si>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</si>
  <si>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</si>
  <si>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</si>
  <si>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</si>
  <si>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</si>
  <si>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</si>
  <si>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</si>
  <si>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</si>
  <si>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</si>
  <si>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</si>
  <si>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</si>
  <si>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</si>
  <si>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</si>
  <si>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</si>
  <si>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</si>
  <si>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</si>
  <si>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</si>
  <si>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</si>
  <si>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</si>
  <si>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</si>
  <si>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</si>
  <si>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</si>
  <si>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</si>
  <si>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</si>
  <si>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</si>
  <si>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</si>
  <si>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</si>
  <si>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</si>
  <si>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</si>
  <si>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</si>
  <si>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</si>
  <si>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</si>
  <si>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</si>
  <si>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</si>
  <si>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</si>
  <si>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</si>
  <si>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</si>
  <si>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</si>
  <si>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</si>
  <si>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</si>
  <si>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</si>
  <si>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</si>
  <si>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</si>
  <si>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</si>
  <si>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</si>
  <si>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</si>
  <si>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</si>
  <si>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</si>
  <si>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</si>
  <si>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</si>
  <si>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</si>
  <si>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</si>
  <si>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</si>
  <si>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</si>
  <si>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</si>
  <si>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</si>
  <si>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</si>
  <si>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</si>
  <si>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</si>
  <si>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</si>
  <si>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</si>
  <si>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</si>
  <si>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</si>
  <si>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</si>
  <si>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</si>
  <si>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</si>
  <si>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</si>
  <si>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</si>
  <si>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</si>
  <si>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</si>
  <si>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</si>
  <si>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</si>
  <si>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</si>
  <si>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</si>
  <si>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</si>
  <si>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</si>
  <si>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</si>
  <si>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</si>
  <si>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</si>
  <si>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</si>
  <si>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</si>
  <si>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</si>
  <si>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</si>
  <si>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</si>
  <si>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</si>
  <si>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</si>
  <si>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</si>
  <si>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</si>
  <si>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</si>
  <si>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</si>
  <si>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</si>
  <si>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</si>
  <si>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</si>
  <si>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</si>
  <si>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</si>
  <si>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</si>
  <si>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</si>
  <si>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</si>
  <si>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</si>
  <si>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</si>
  <si>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</si>
  <si>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</si>
  <si>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</si>
  <si>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</si>
  <si>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</si>
  <si>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</si>
  <si>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</si>
  <si>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</si>
  <si>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</si>
  <si>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</si>
  <si>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</si>
  <si>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</si>
  <si>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</si>
  <si>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</si>
  <si>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</si>
  <si>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</si>
  <si>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</si>
  <si>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</si>
  <si>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</si>
  <si>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</si>
  <si>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</si>
  <si>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</si>
  <si>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</si>
  <si>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</si>
  <si>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</si>
  <si>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</si>
  <si>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</si>
  <si>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</si>
  <si>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</si>
  <si>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</si>
  <si>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</si>
  <si>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</si>
  <si>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</si>
  <si>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</si>
  <si>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</si>
  <si>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</si>
  <si>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</si>
  <si>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</si>
  <si>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</si>
  <si>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</si>
  <si>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</si>
  <si>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</si>
  <si>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</si>
  <si>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</si>
  <si>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</si>
  <si>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</si>
  <si>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</si>
  <si>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</si>
  <si>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</si>
  <si>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</si>
  <si>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</si>
  <si>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</si>
  <si>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</si>
  <si>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</si>
  <si>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</si>
  <si>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</si>
  <si>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</si>
  <si>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</si>
  <si>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</si>
  <si>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</si>
  <si>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</si>
  <si>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</si>
  <si>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</si>
  <si>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</si>
  <si>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</si>
  <si>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</si>
  <si>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</si>
  <si>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</si>
  <si>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</si>
  <si>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</si>
  <si>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</si>
  <si>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</si>
  <si>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</si>
  <si>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</si>
  <si>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</si>
  <si>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</si>
  <si>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</si>
  <si>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</si>
  <si>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</si>
  <si>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</si>
  <si>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</si>
  <si>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</si>
  <si>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</si>
  <si>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</si>
  <si>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</si>
  <si>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</si>
  <si>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</si>
  <si>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</si>
  <si>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</si>
  <si>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</si>
  <si>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</si>
  <si>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</si>
  <si>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</si>
  <si>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</si>
  <si>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</si>
  <si>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</si>
  <si>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</si>
  <si>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</si>
  <si>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</si>
  <si>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</si>
  <si>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</si>
  <si>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</si>
  <si>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</si>
  <si>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</si>
  <si>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</si>
  <si>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</si>
  <si>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</si>
  <si>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</si>
  <si>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</si>
  <si>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</si>
  <si>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</si>
  <si>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</si>
  <si>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</si>
  <si>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</si>
  <si>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</si>
  <si>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</si>
  <si>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</si>
  <si>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</si>
  <si>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</si>
  <si>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</si>
  <si>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</si>
  <si>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</si>
  <si>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</si>
  <si>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</si>
  <si>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</si>
  <si>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</si>
  <si>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</si>
  <si>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</si>
  <si>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</si>
  <si>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</si>
  <si>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</si>
  <si>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</si>
  <si>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</si>
  <si>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</si>
  <si>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</si>
  <si>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</si>
  <si>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</si>
  <si>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</si>
  <si>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</si>
  <si>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</si>
  <si>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</si>
  <si>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</si>
  <si>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</si>
  <si>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</si>
  <si>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</si>
  <si>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</si>
  <si>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</si>
  <si>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</si>
  <si>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</si>
  <si>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</si>
  <si>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</si>
  <si>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</si>
  <si>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</si>
  <si>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</si>
  <si>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</si>
  <si>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</si>
  <si>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</si>
  <si>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</si>
  <si>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</si>
  <si>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</si>
  <si>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</si>
  <si>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</si>
  <si>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</si>
  <si>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</si>
  <si>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</si>
  <si>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</si>
  <si>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</si>
  <si>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</si>
  <si>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</si>
  <si>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</si>
  <si>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</si>
  <si>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</si>
  <si>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</si>
  <si>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</si>
  <si>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</si>
  <si>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</si>
  <si>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</si>
  <si>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</si>
  <si>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</si>
  <si>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</si>
  <si>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</si>
  <si>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</si>
  <si>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</si>
  <si>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</si>
  <si>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</si>
  <si>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</si>
  <si>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</si>
  <si>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</si>
  <si>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</si>
  <si>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</si>
  <si>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44043</t>
  </si>
  <si>
    <t>MERELBEKE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</si>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</sst>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165110.73133030979</c:v>
                </c:pt>
                <c:pt idx="1">
                  <c:v>128770.28698828294</c:v>
                </c:pt>
                <c:pt idx="2">
                  <c:v>1910.3019999999999</c:v>
                </c:pt>
                <c:pt idx="3">
                  <c:v>13793.558767163022</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0896"/>
        <c:axId val="143042432"/>
      </c:barChart>
      <c:catAx>
        <c:axId val="143040896"/>
        <c:scaling>
          <c:orientation val="minMax"/>
        </c:scaling>
        <c:axPos val="b"/>
        <c:numFmt formatCode="General" sourceLinked="0"/>
        <c:tickLblPos val="nextTo"/>
        <c:crossAx val="143042432"/>
        <c:crosses val="autoZero"/>
        <c:auto val="1"/>
        <c:lblAlgn val="ctr"/>
        <c:lblOffset val="100"/>
      </c:catAx>
      <c:valAx>
        <c:axId val="143042432"/>
        <c:scaling>
          <c:orientation val="minMax"/>
        </c:scaling>
        <c:axPos val="l"/>
        <c:majorGridlines/>
        <c:numFmt formatCode="#,##0" sourceLinked="1"/>
        <c:tickLblPos val="nextTo"/>
        <c:crossAx val="143040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165110.73133030979</c:v>
                </c:pt>
                <c:pt idx="1">
                  <c:v>128770.28698828294</c:v>
                </c:pt>
                <c:pt idx="2">
                  <c:v>1910.3019999999999</c:v>
                </c:pt>
                <c:pt idx="3">
                  <c:v>13793.558767163022</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32635.748029101625</c:v>
                </c:pt>
                <c:pt idx="2">
                  <c:v>27077.09814303882</c:v>
                </c:pt>
                <c:pt idx="3">
                  <c:v>409.9690755903996</c:v>
                </c:pt>
                <c:pt idx="4">
                  <c:v>3218.5178383359403</c:v>
                </c:pt>
                <c:pt idx="5">
                  <c:v>11683.848138489133</c:v>
                </c:pt>
                <c:pt idx="6">
                  <c:v>60589.425052559141</c:v>
                </c:pt>
                <c:pt idx="7">
                  <c:v>825.32241908196409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4640"/>
        <c:axId val="147190528"/>
      </c:barChart>
      <c:catAx>
        <c:axId val="147184640"/>
        <c:scaling>
          <c:orientation val="minMax"/>
        </c:scaling>
        <c:axPos val="b"/>
        <c:numFmt formatCode="General" sourceLinked="0"/>
        <c:tickLblPos val="nextTo"/>
        <c:crossAx val="147190528"/>
        <c:crosses val="autoZero"/>
        <c:auto val="1"/>
        <c:lblAlgn val="ctr"/>
        <c:lblOffset val="100"/>
      </c:catAx>
      <c:valAx>
        <c:axId val="147190528"/>
        <c:scaling>
          <c:orientation val="minMax"/>
        </c:scaling>
        <c:axPos val="l"/>
        <c:majorGridlines/>
        <c:numFmt formatCode="#,##0" sourceLinked="1"/>
        <c:tickLblPos val="nextTo"/>
        <c:crossAx val="14718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32635.748029101625</c:v>
                </c:pt>
                <c:pt idx="2">
                  <c:v>27077.09814303882</c:v>
                </c:pt>
                <c:pt idx="3">
                  <c:v>409.9690755903996</c:v>
                </c:pt>
                <c:pt idx="4">
                  <c:v>3218.5178383359403</c:v>
                </c:pt>
                <c:pt idx="5">
                  <c:v>11683.848138489133</c:v>
                </c:pt>
                <c:pt idx="6">
                  <c:v>60589.425052559141</c:v>
                </c:pt>
                <c:pt idx="7">
                  <c:v>825.32241908196409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44043</v>
      </c>
      <c r="B6" s="416"/>
      <c r="C6" s="417"/>
    </row>
    <row r="7" spans="1:7" s="414" customFormat="1" ht="15.75" customHeight="1">
      <c r="A7" s="418" t="str">
        <f>txtMunicipality</f>
        <v>MERELBEKE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0.21460956204327883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0.21460956204327883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9704</v>
      </c>
      <c r="C9" s="342">
        <v>10130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1367</v>
      </c>
    </row>
    <row r="15" spans="1:6">
      <c r="A15" s="348" t="s">
        <v>184</v>
      </c>
      <c r="B15" s="334">
        <v>6</v>
      </c>
    </row>
    <row r="16" spans="1:6">
      <c r="A16" s="348" t="s">
        <v>6</v>
      </c>
      <c r="B16" s="334">
        <v>238</v>
      </c>
    </row>
    <row r="17" spans="1:6">
      <c r="A17" s="348" t="s">
        <v>7</v>
      </c>
      <c r="B17" s="334">
        <v>360</v>
      </c>
    </row>
    <row r="18" spans="1:6">
      <c r="A18" s="348" t="s">
        <v>8</v>
      </c>
      <c r="B18" s="334">
        <v>415</v>
      </c>
    </row>
    <row r="19" spans="1:6">
      <c r="A19" s="348" t="s">
        <v>9</v>
      </c>
      <c r="B19" s="334">
        <v>386</v>
      </c>
    </row>
    <row r="20" spans="1:6">
      <c r="A20" s="348" t="s">
        <v>10</v>
      </c>
      <c r="B20" s="334">
        <v>305</v>
      </c>
    </row>
    <row r="21" spans="1:6">
      <c r="A21" s="348" t="s">
        <v>11</v>
      </c>
      <c r="B21" s="334">
        <v>197</v>
      </c>
    </row>
    <row r="22" spans="1:6">
      <c r="A22" s="348" t="s">
        <v>12</v>
      </c>
      <c r="B22" s="334">
        <v>110</v>
      </c>
    </row>
    <row r="23" spans="1:6">
      <c r="A23" s="348" t="s">
        <v>13</v>
      </c>
      <c r="B23" s="334">
        <v>7</v>
      </c>
    </row>
    <row r="24" spans="1:6">
      <c r="A24" s="348" t="s">
        <v>14</v>
      </c>
      <c r="B24" s="334">
        <v>2</v>
      </c>
    </row>
    <row r="25" spans="1:6">
      <c r="A25" s="348" t="s">
        <v>15</v>
      </c>
      <c r="B25" s="334">
        <v>116</v>
      </c>
    </row>
    <row r="26" spans="1:6">
      <c r="A26" s="348" t="s">
        <v>16</v>
      </c>
      <c r="B26" s="334">
        <v>18</v>
      </c>
    </row>
    <row r="27" spans="1:6">
      <c r="A27" s="348" t="s">
        <v>17</v>
      </c>
      <c r="B27" s="334">
        <v>2</v>
      </c>
    </row>
    <row r="28" spans="1:6" s="356" customFormat="1">
      <c r="A28" s="355" t="s">
        <v>18</v>
      </c>
      <c r="B28" s="355">
        <v>3843</v>
      </c>
    </row>
    <row r="29" spans="1:6">
      <c r="A29" s="355" t="s">
        <v>901</v>
      </c>
      <c r="B29" s="355">
        <v>185</v>
      </c>
      <c r="C29" s="356"/>
      <c r="D29" s="356"/>
      <c r="E29" s="356"/>
      <c r="F29" s="356"/>
    </row>
    <row r="30" spans="1:6">
      <c r="A30" s="341" t="s">
        <v>902</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160876.5</v>
      </c>
    </row>
    <row r="36" spans="1:6">
      <c r="A36" s="348" t="s">
        <v>25</v>
      </c>
      <c r="B36" s="348" t="s">
        <v>27</v>
      </c>
      <c r="C36" s="334">
        <v>0</v>
      </c>
      <c r="D36" s="334">
        <v>0</v>
      </c>
      <c r="E36" s="334">
        <v>3</v>
      </c>
      <c r="F36" s="334">
        <v>19041.84</v>
      </c>
    </row>
    <row r="37" spans="1:6">
      <c r="A37" s="348" t="s">
        <v>25</v>
      </c>
      <c r="B37" s="348" t="s">
        <v>28</v>
      </c>
      <c r="C37" s="334">
        <v>0</v>
      </c>
      <c r="D37" s="334">
        <v>0</v>
      </c>
      <c r="E37" s="334">
        <v>0</v>
      </c>
      <c r="F37" s="334">
        <v>0</v>
      </c>
    </row>
    <row r="38" spans="1:6">
      <c r="A38" s="348" t="s">
        <v>25</v>
      </c>
      <c r="B38" s="348" t="s">
        <v>29</v>
      </c>
      <c r="C38" s="334">
        <v>1</v>
      </c>
      <c r="D38" s="334">
        <v>13470.878189577101</v>
      </c>
      <c r="E38" s="334">
        <v>1</v>
      </c>
      <c r="F38" s="334">
        <v>2740.9029999999998</v>
      </c>
    </row>
    <row r="39" spans="1:6">
      <c r="A39" s="348" t="s">
        <v>30</v>
      </c>
      <c r="B39" s="348" t="s">
        <v>31</v>
      </c>
      <c r="C39" s="334">
        <v>6406</v>
      </c>
      <c r="D39" s="334">
        <v>97986987.035304606</v>
      </c>
      <c r="E39" s="334">
        <v>9580</v>
      </c>
      <c r="F39" s="334">
        <v>43441342</v>
      </c>
    </row>
    <row r="40" spans="1:6">
      <c r="A40" s="348" t="s">
        <v>30</v>
      </c>
      <c r="B40" s="348" t="s">
        <v>29</v>
      </c>
      <c r="C40" s="334">
        <v>0</v>
      </c>
      <c r="D40" s="334">
        <v>0</v>
      </c>
      <c r="E40" s="334">
        <v>0</v>
      </c>
      <c r="F40" s="334">
        <v>0</v>
      </c>
    </row>
    <row r="41" spans="1:6">
      <c r="A41" s="348" t="s">
        <v>32</v>
      </c>
      <c r="B41" s="348" t="s">
        <v>33</v>
      </c>
      <c r="C41" s="334">
        <v>93</v>
      </c>
      <c r="D41" s="334">
        <v>11088329.6689972</v>
      </c>
      <c r="E41" s="334">
        <v>207</v>
      </c>
      <c r="F41" s="334">
        <v>2009915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595870.10618074599</v>
      </c>
      <c r="E44" s="334">
        <v>27</v>
      </c>
      <c r="F44" s="334">
        <v>813576.8</v>
      </c>
    </row>
    <row r="45" spans="1:6">
      <c r="A45" s="348" t="s">
        <v>32</v>
      </c>
      <c r="B45" s="348" t="s">
        <v>37</v>
      </c>
      <c r="C45" s="334">
        <v>0</v>
      </c>
      <c r="D45" s="334">
        <v>0</v>
      </c>
      <c r="E45" s="334">
        <v>3</v>
      </c>
      <c r="F45" s="334">
        <v>7877.4250000000002</v>
      </c>
    </row>
    <row r="46" spans="1:6">
      <c r="A46" s="348" t="s">
        <v>32</v>
      </c>
      <c r="B46" s="348" t="s">
        <v>38</v>
      </c>
      <c r="C46" s="334">
        <v>0</v>
      </c>
      <c r="D46" s="334">
        <v>0</v>
      </c>
      <c r="E46" s="334">
        <v>0</v>
      </c>
      <c r="F46" s="334">
        <v>0</v>
      </c>
    </row>
    <row r="47" spans="1:6">
      <c r="A47" s="348" t="s">
        <v>32</v>
      </c>
      <c r="B47" s="348" t="s">
        <v>39</v>
      </c>
      <c r="C47" s="334">
        <v>4</v>
      </c>
      <c r="D47" s="334">
        <v>159184.20846696699</v>
      </c>
      <c r="E47" s="334">
        <v>8</v>
      </c>
      <c r="F47" s="334">
        <v>537429.6</v>
      </c>
    </row>
    <row r="48" spans="1:6">
      <c r="A48" s="348" t="s">
        <v>32</v>
      </c>
      <c r="B48" s="348" t="s">
        <v>29</v>
      </c>
      <c r="C48" s="334">
        <v>29</v>
      </c>
      <c r="D48" s="334">
        <v>1416903.0112425</v>
      </c>
      <c r="E48" s="334">
        <v>33</v>
      </c>
      <c r="F48" s="334">
        <v>25855609</v>
      </c>
    </row>
    <row r="49" spans="1:6">
      <c r="A49" s="348" t="s">
        <v>32</v>
      </c>
      <c r="B49" s="348" t="s">
        <v>40</v>
      </c>
      <c r="C49" s="334">
        <v>0</v>
      </c>
      <c r="D49" s="334">
        <v>0</v>
      </c>
      <c r="E49" s="334">
        <v>0</v>
      </c>
      <c r="F49" s="334">
        <v>0</v>
      </c>
    </row>
    <row r="50" spans="1:6">
      <c r="A50" s="348" t="s">
        <v>32</v>
      </c>
      <c r="B50" s="348" t="s">
        <v>41</v>
      </c>
      <c r="C50" s="334">
        <v>10</v>
      </c>
      <c r="D50" s="334">
        <v>335989.53618188697</v>
      </c>
      <c r="E50" s="334">
        <v>15</v>
      </c>
      <c r="F50" s="334">
        <v>547959.6</v>
      </c>
    </row>
    <row r="51" spans="1:6">
      <c r="A51" s="348" t="s">
        <v>42</v>
      </c>
      <c r="B51" s="348" t="s">
        <v>43</v>
      </c>
      <c r="C51" s="334">
        <v>28</v>
      </c>
      <c r="D51" s="334">
        <v>6422035.4225527896</v>
      </c>
      <c r="E51" s="334">
        <v>92</v>
      </c>
      <c r="F51" s="334">
        <v>2096941</v>
      </c>
    </row>
    <row r="52" spans="1:6">
      <c r="A52" s="348" t="s">
        <v>42</v>
      </c>
      <c r="B52" s="348" t="s">
        <v>29</v>
      </c>
      <c r="C52" s="334">
        <v>3</v>
      </c>
      <c r="D52" s="334">
        <v>52733.902308956298</v>
      </c>
      <c r="E52" s="334">
        <v>7</v>
      </c>
      <c r="F52" s="334">
        <v>52741.16</v>
      </c>
    </row>
    <row r="53" spans="1:6">
      <c r="A53" s="348" t="s">
        <v>44</v>
      </c>
      <c r="B53" s="348" t="s">
        <v>45</v>
      </c>
      <c r="C53" s="334">
        <v>178</v>
      </c>
      <c r="D53" s="334">
        <v>4488194.5261818897</v>
      </c>
      <c r="E53" s="334">
        <v>350</v>
      </c>
      <c r="F53" s="334">
        <v>1478451</v>
      </c>
    </row>
    <row r="54" spans="1:6">
      <c r="A54" s="348" t="s">
        <v>46</v>
      </c>
      <c r="B54" s="348" t="s">
        <v>47</v>
      </c>
      <c r="C54" s="334">
        <v>0</v>
      </c>
      <c r="D54" s="334">
        <v>0</v>
      </c>
      <c r="E54" s="334">
        <v>5</v>
      </c>
      <c r="F54" s="334">
        <v>1910302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1246026.4068007099</v>
      </c>
      <c r="E57" s="334">
        <v>152</v>
      </c>
      <c r="F57" s="334">
        <v>2857686</v>
      </c>
    </row>
    <row r="58" spans="1:6">
      <c r="A58" s="348" t="s">
        <v>49</v>
      </c>
      <c r="B58" s="348" t="s">
        <v>51</v>
      </c>
      <c r="C58" s="334">
        <v>52</v>
      </c>
      <c r="D58" s="334">
        <v>2999452.1952481801</v>
      </c>
      <c r="E58" s="334">
        <v>87</v>
      </c>
      <c r="F58" s="334">
        <v>40766026</v>
      </c>
    </row>
    <row r="59" spans="1:6">
      <c r="A59" s="348" t="s">
        <v>49</v>
      </c>
      <c r="B59" s="348" t="s">
        <v>52</v>
      </c>
      <c r="C59" s="334">
        <v>124</v>
      </c>
      <c r="D59" s="334">
        <v>4339289.7831760496</v>
      </c>
      <c r="E59" s="334">
        <v>263</v>
      </c>
      <c r="F59" s="334">
        <v>9632068</v>
      </c>
    </row>
    <row r="60" spans="1:6">
      <c r="A60" s="348" t="s">
        <v>49</v>
      </c>
      <c r="B60" s="348" t="s">
        <v>53</v>
      </c>
      <c r="C60" s="334">
        <v>66</v>
      </c>
      <c r="D60" s="334">
        <v>2613446.1052358602</v>
      </c>
      <c r="E60" s="334">
        <v>80</v>
      </c>
      <c r="F60" s="334">
        <v>2290698</v>
      </c>
    </row>
    <row r="61" spans="1:6">
      <c r="A61" s="348" t="s">
        <v>49</v>
      </c>
      <c r="B61" s="348" t="s">
        <v>54</v>
      </c>
      <c r="C61" s="334">
        <v>272</v>
      </c>
      <c r="D61" s="334">
        <v>18203325.509814501</v>
      </c>
      <c r="E61" s="334">
        <v>433</v>
      </c>
      <c r="F61" s="334">
        <v>11964206</v>
      </c>
    </row>
    <row r="62" spans="1:6">
      <c r="A62" s="348" t="s">
        <v>49</v>
      </c>
      <c r="B62" s="348" t="s">
        <v>55</v>
      </c>
      <c r="C62" s="334">
        <v>11</v>
      </c>
      <c r="D62" s="334">
        <v>7830972.7468733704</v>
      </c>
      <c r="E62" s="334">
        <v>22</v>
      </c>
      <c r="F62" s="334">
        <v>5100567</v>
      </c>
    </row>
    <row r="63" spans="1:6">
      <c r="A63" s="348" t="s">
        <v>49</v>
      </c>
      <c r="B63" s="348" t="s">
        <v>29</v>
      </c>
      <c r="C63" s="334">
        <v>115</v>
      </c>
      <c r="D63" s="334">
        <v>5629276.6939138798</v>
      </c>
      <c r="E63" s="334">
        <v>110</v>
      </c>
      <c r="F63" s="334">
        <v>3690674</v>
      </c>
    </row>
    <row r="64" spans="1:6">
      <c r="A64" s="348" t="s">
        <v>56</v>
      </c>
      <c r="B64" s="348" t="s">
        <v>57</v>
      </c>
      <c r="C64" s="334">
        <v>0</v>
      </c>
      <c r="D64" s="334">
        <v>0</v>
      </c>
      <c r="E64" s="334">
        <v>0</v>
      </c>
      <c r="F64" s="334">
        <v>0</v>
      </c>
    </row>
    <row r="65" spans="1:6">
      <c r="A65" s="348" t="s">
        <v>56</v>
      </c>
      <c r="B65" s="348" t="s">
        <v>29</v>
      </c>
      <c r="C65" s="334">
        <v>1</v>
      </c>
      <c r="D65" s="334">
        <v>147675.286144254</v>
      </c>
      <c r="E65" s="334">
        <v>1</v>
      </c>
      <c r="F65" s="334">
        <v>51175.21</v>
      </c>
    </row>
    <row r="66" spans="1:6">
      <c r="A66" s="348" t="s">
        <v>56</v>
      </c>
      <c r="B66" s="348" t="s">
        <v>58</v>
      </c>
      <c r="C66" s="334">
        <v>5</v>
      </c>
      <c r="D66" s="334">
        <v>2469915.1457552598</v>
      </c>
      <c r="E66" s="334">
        <v>17</v>
      </c>
      <c r="F66" s="334">
        <v>1935074</v>
      </c>
    </row>
    <row r="67" spans="1:6">
      <c r="A67" s="355" t="s">
        <v>56</v>
      </c>
      <c r="B67" s="355" t="s">
        <v>59</v>
      </c>
      <c r="C67" s="334">
        <v>0</v>
      </c>
      <c r="D67" s="334">
        <v>0</v>
      </c>
      <c r="E67" s="334">
        <v>0</v>
      </c>
      <c r="F67" s="334">
        <v>0</v>
      </c>
    </row>
    <row r="68" spans="1:6">
      <c r="A68" s="341" t="s">
        <v>56</v>
      </c>
      <c r="B68" s="341" t="s">
        <v>60</v>
      </c>
      <c r="C68" s="334">
        <v>8</v>
      </c>
      <c r="D68" s="334">
        <v>168527.08513253901</v>
      </c>
      <c r="E68" s="334">
        <v>10</v>
      </c>
      <c r="F68" s="334">
        <v>74601.27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78691988</v>
      </c>
      <c r="E73" s="476">
        <v>67924307.214679882</v>
      </c>
    </row>
    <row r="74" spans="1:6">
      <c r="A74" s="348" t="s">
        <v>64</v>
      </c>
      <c r="B74" s="348" t="s">
        <v>714</v>
      </c>
      <c r="C74" s="1311" t="s">
        <v>716</v>
      </c>
      <c r="D74" s="476">
        <v>6462546.1840099115</v>
      </c>
      <c r="E74" s="476">
        <v>5120736.7797019891</v>
      </c>
    </row>
    <row r="75" spans="1:6">
      <c r="A75" s="348" t="s">
        <v>65</v>
      </c>
      <c r="B75" s="348" t="s">
        <v>713</v>
      </c>
      <c r="C75" s="1311" t="s">
        <v>717</v>
      </c>
      <c r="D75" s="476">
        <v>57599874</v>
      </c>
      <c r="E75" s="476">
        <v>50586807.316690914</v>
      </c>
    </row>
    <row r="76" spans="1:6">
      <c r="A76" s="348" t="s">
        <v>65</v>
      </c>
      <c r="B76" s="348" t="s">
        <v>714</v>
      </c>
      <c r="C76" s="1311" t="s">
        <v>718</v>
      </c>
      <c r="D76" s="476">
        <v>3899633.184009912</v>
      </c>
      <c r="E76" s="476">
        <v>2716310.8393851542</v>
      </c>
    </row>
    <row r="77" spans="1:6">
      <c r="A77" s="348" t="s">
        <v>66</v>
      </c>
      <c r="B77" s="348" t="s">
        <v>713</v>
      </c>
      <c r="C77" s="1311" t="s">
        <v>719</v>
      </c>
      <c r="D77" s="476">
        <v>118917445</v>
      </c>
      <c r="E77" s="476">
        <v>116165760.1635299</v>
      </c>
    </row>
    <row r="78" spans="1:6">
      <c r="A78" s="341" t="s">
        <v>66</v>
      </c>
      <c r="B78" s="341" t="s">
        <v>714</v>
      </c>
      <c r="C78" s="341" t="s">
        <v>720</v>
      </c>
      <c r="D78" s="1307">
        <v>12332957</v>
      </c>
      <c r="E78" s="1307">
        <v>12190951.679089887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873119.63198017608</v>
      </c>
      <c r="C83" s="476">
        <v>885880.94620958425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4247.7782544760121</v>
      </c>
    </row>
    <row r="92" spans="1:6">
      <c r="A92" s="341" t="s">
        <v>69</v>
      </c>
      <c r="B92" s="342">
        <v>359.60679300327735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42</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6</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159336.82517361664</v>
      </c>
      <c r="C3" s="43" t="s">
        <v>170</v>
      </c>
      <c r="D3" s="43"/>
      <c r="E3" s="154"/>
      <c r="F3" s="43"/>
      <c r="G3" s="43"/>
      <c r="H3" s="43"/>
      <c r="I3" s="43"/>
      <c r="J3" s="43"/>
      <c r="K3" s="96"/>
    </row>
    <row r="4" spans="1:11">
      <c r="A4" s="384" t="s">
        <v>171</v>
      </c>
      <c r="B4" s="49">
        <f>IF(ISERROR('SEAP template'!B78+'SEAP template'!C78),0,'SEAP template'!B78+'SEAP template'!C78)</f>
        <v>4607.3850474792898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0.21460956204327883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1910.3019999999999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1910.3019999999999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0.21460956204327883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409.9690755903996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43441.341999999997</v>
      </c>
      <c r="C5" s="17">
        <f>IF(ISERROR('Eigen informatie GS &amp; warmtenet'!B57),0,'Eigen informatie GS &amp; warmtenet'!B57)</f>
        <v>0</v>
      </c>
      <c r="D5" s="30">
        <f>(SUM(HH_hh_gas_kWh,HH_rest_gas_kWh)/1000)*0.902</f>
        <v>88384.26230584475</v>
      </c>
      <c r="E5" s="17">
        <f>B46*B57</f>
        <v>2359.7785192485785</v>
      </c>
      <c r="F5" s="17">
        <f>B51*B62</f>
        <v>15025.90302400451</v>
      </c>
      <c r="G5" s="18"/>
      <c r="H5" s="17"/>
      <c r="I5" s="17"/>
      <c r="J5" s="17">
        <f>B50*B61+C50*C61</f>
        <v>0</v>
      </c>
      <c r="K5" s="17"/>
      <c r="L5" s="17"/>
      <c r="M5" s="17"/>
      <c r="N5" s="17">
        <f>B48*B59+C48*C59</f>
        <v>10500.037226735922</v>
      </c>
      <c r="O5" s="17">
        <f>B69*B70*B71</f>
        <v>408.03000000000003</v>
      </c>
      <c r="P5" s="17">
        <f>B77*B78*B79/1000-B77*B78*B79/1000/B80</f>
        <v>743.6</v>
      </c>
    </row>
    <row r="6" spans="1:16">
      <c r="A6" s="16" t="s">
        <v>631</v>
      </c>
      <c r="B6" s="789">
        <f>kWh_PV_kleiner_dan_10kW</f>
        <v>4247.7782544760121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47689.120254476009</v>
      </c>
      <c r="C8" s="21">
        <f>C5</f>
        <v>0</v>
      </c>
      <c r="D8" s="21">
        <f>D5</f>
        <v>88384.26230584475</v>
      </c>
      <c r="E8" s="21">
        <f>E5</f>
        <v>2359.7785192485785</v>
      </c>
      <c r="F8" s="21">
        <f>F5</f>
        <v>15025.90302400451</v>
      </c>
      <c r="G8" s="21"/>
      <c r="H8" s="21"/>
      <c r="I8" s="21"/>
      <c r="J8" s="21">
        <f>J5</f>
        <v>0</v>
      </c>
      <c r="K8" s="21"/>
      <c r="L8" s="21">
        <f>L5</f>
        <v>0</v>
      </c>
      <c r="M8" s="21">
        <f>M5</f>
        <v>0</v>
      </c>
      <c r="N8" s="21">
        <f>N5</f>
        <v>10500.037226735922</v>
      </c>
      <c r="O8" s="21">
        <f>O5</f>
        <v>408.03000000000003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0.21460956204327883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10234.541212042353</v>
      </c>
      <c r="C12" s="23">
        <f ca="1">C10*C8</f>
        <v>0</v>
      </c>
      <c r="D12" s="23">
        <f>D8*D10</f>
        <v>17853.620985780639</v>
      </c>
      <c r="E12" s="23">
        <f>E10*E8</f>
        <v>535.66972386942734</v>
      </c>
      <c r="F12" s="23">
        <f>F10*F8</f>
        <v>4011.9161074092044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9704</v>
      </c>
      <c r="C28" s="36"/>
      <c r="D28" s="228"/>
    </row>
    <row r="29" spans="1:7" s="15" customFormat="1">
      <c r="A29" s="230" t="s">
        <v>741</v>
      </c>
      <c r="B29" s="37">
        <f>SUM(HH_hh_gas_aantal,HH_rest_gas_aantal)</f>
        <v>6406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6406</v>
      </c>
      <c r="C32" s="167">
        <f>IF(ISERROR(B32/SUM($B$32,$B$34,$B$35,$B$36,$B$38,$B$39)*100),0,B32/SUM($B$32,$B$34,$B$35,$B$36,$B$38,$B$39)*100)</f>
        <v>66.280393171236412</v>
      </c>
      <c r="D32" s="233"/>
      <c r="G32" s="15"/>
    </row>
    <row r="33" spans="1:7">
      <c r="A33" s="171" t="s">
        <v>72</v>
      </c>
      <c r="B33" s="34" t="s">
        <v>111</v>
      </c>
      <c r="C33" s="167"/>
      <c r="D33" s="233"/>
      <c r="G33" s="15"/>
    </row>
    <row r="34" spans="1:7">
      <c r="A34" s="171" t="s">
        <v>73</v>
      </c>
      <c r="B34" s="33">
        <f>IF((($B$28-$B$32-$B$39-$B$77-$B$38)*C20/100)&lt;0,0,($B$28-$B$32-$B$39-$B$77-$B$38)*C20/100)</f>
        <v>158.15684713375796</v>
      </c>
      <c r="C34" s="167">
        <f>IF(ISERROR(B34/SUM($B$32,$B$34,$B$35,$B$36,$B$38,$B$39)*100),0,B34/SUM($B$32,$B$34,$B$35,$B$36,$B$38,$B$39)*100)</f>
        <v>1.6363874509442107</v>
      </c>
      <c r="D34" s="233"/>
      <c r="G34" s="15"/>
    </row>
    <row r="35" spans="1:7">
      <c r="A35" s="171" t="s">
        <v>74</v>
      </c>
      <c r="B35" s="33">
        <f>IF((($B$28-$B$32-$B$39-$B$77-$B$38)*C21/100)&lt;0,0,($B$28-$B$32-$B$39-$B$77-$B$38)*C21/100)</f>
        <v>2304.8724522292991</v>
      </c>
      <c r="C35" s="167">
        <f>IF(ISERROR(B35/SUM($B$32,$B$34,$B$35,$B$36,$B$38,$B$39)*100),0,B35/SUM($B$32,$B$34,$B$35,$B$36,$B$38,$B$39)*100)</f>
        <v>23.847619785093627</v>
      </c>
      <c r="D35" s="233"/>
      <c r="G35" s="15"/>
    </row>
    <row r="36" spans="1:7">
      <c r="A36" s="171" t="s">
        <v>75</v>
      </c>
      <c r="B36" s="33">
        <f>IF((($B$28-$B$32-$B$39-$B$77-$B$38)*C22/100)&lt;0,0,($B$28-$B$32-$B$39-$B$77-$B$38)*C22/100)</f>
        <v>185.57070063694266</v>
      </c>
      <c r="C36" s="167">
        <f>IF(ISERROR(B36/SUM($B$32,$B$34,$B$35,$B$36,$B$38,$B$39)*100),0,B36/SUM($B$32,$B$34,$B$35,$B$36,$B$38,$B$39)*100)</f>
        <v>1.9200279424412072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610.40000000000009</v>
      </c>
      <c r="C39" s="167">
        <f>IF(ISERROR(B39/SUM($B$32,$B$34,$B$35,$B$36,$B$38,$B$39)*100),0,B39/SUM($B$32,$B$34,$B$35,$B$36,$B$38,$B$39)*100)</f>
        <v>6.3155716502845323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6406</v>
      </c>
      <c r="C44" s="34" t="s">
        <v>111</v>
      </c>
      <c r="D44" s="174"/>
    </row>
    <row r="45" spans="1:7">
      <c r="A45" s="171" t="s">
        <v>72</v>
      </c>
      <c r="B45" s="33" t="str">
        <f t="shared" si="0"/>
        <v>-</v>
      </c>
      <c r="C45" s="34" t="s">
        <v>111</v>
      </c>
      <c r="D45" s="174"/>
    </row>
    <row r="46" spans="1:7">
      <c r="A46" s="171" t="s">
        <v>73</v>
      </c>
      <c r="B46" s="33">
        <f t="shared" si="0"/>
        <v>158.15684713375796</v>
      </c>
      <c r="C46" s="34" t="s">
        <v>111</v>
      </c>
      <c r="D46" s="174"/>
    </row>
    <row r="47" spans="1:7">
      <c r="A47" s="171" t="s">
        <v>74</v>
      </c>
      <c r="B47" s="33">
        <f t="shared" si="0"/>
        <v>2304.8724522292991</v>
      </c>
      <c r="C47" s="34" t="s">
        <v>111</v>
      </c>
      <c r="D47" s="174"/>
    </row>
    <row r="48" spans="1:7">
      <c r="A48" s="171" t="s">
        <v>75</v>
      </c>
      <c r="B48" s="33">
        <f t="shared" si="0"/>
        <v>185.57070063694266</v>
      </c>
      <c r="C48" s="33">
        <f>B48*10</f>
        <v>1855.7070063694266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76301.924999999988</v>
      </c>
      <c r="C5" s="17">
        <f>IF(ISERROR('Eigen informatie GS &amp; warmtenet'!B58),0,'Eigen informatie GS &amp; warmtenet'!B58)</f>
        <v>0</v>
      </c>
      <c r="D5" s="30">
        <f>SUM(D6:D12)</f>
        <v>38661.334075838422</v>
      </c>
      <c r="E5" s="17">
        <f>SUM(E6:E12)</f>
        <v>313.41522578573097</v>
      </c>
      <c r="F5" s="17">
        <f>SUM(F6:F12)</f>
        <v>10566.444554895108</v>
      </c>
      <c r="G5" s="18"/>
      <c r="H5" s="17"/>
      <c r="I5" s="17"/>
      <c r="J5" s="17">
        <f>SUM(J6:J12)</f>
        <v>0</v>
      </c>
      <c r="K5" s="17"/>
      <c r="L5" s="17"/>
      <c r="M5" s="17"/>
      <c r="N5" s="17">
        <f>SUM(N6:N12)</f>
        <v>2860.5881317636963</v>
      </c>
      <c r="O5" s="17">
        <f>B38*B39*B40</f>
        <v>9.3800000000000008</v>
      </c>
      <c r="P5" s="17">
        <f>B46*B47*B48/1000-B46*B47*B48/1000/B49</f>
        <v>57.2</v>
      </c>
      <c r="R5" s="32"/>
    </row>
    <row r="6" spans="1:18">
      <c r="A6" s="32" t="s">
        <v>54</v>
      </c>
      <c r="B6" s="37">
        <f>B26</f>
        <v>11964.206</v>
      </c>
      <c r="C6" s="33"/>
      <c r="D6" s="37">
        <f>IF(ISERROR(TER_kantoor_gas_kWh/1000),0,TER_kantoor_gas_kWh/1000)*0.902</f>
        <v>16419.39960985268</v>
      </c>
      <c r="E6" s="33">
        <f>$C$26*'E Balans VL '!I12/100/3.6*1000000</f>
        <v>34.662060179922634</v>
      </c>
      <c r="F6" s="33">
        <f>$C$26*('E Balans VL '!L12+'E Balans VL '!N12)/100/3.6*1000000</f>
        <v>1354.0845273049224</v>
      </c>
      <c r="G6" s="34"/>
      <c r="H6" s="33"/>
      <c r="I6" s="33"/>
      <c r="J6" s="33">
        <f>$C$26*('E Balans VL '!D12+'E Balans VL '!E12)/100/3.6*1000000</f>
        <v>0</v>
      </c>
      <c r="K6" s="33"/>
      <c r="L6" s="33"/>
      <c r="M6" s="33"/>
      <c r="N6" s="33">
        <f>$C$26*'E Balans VL '!Y12/100/3.6*1000000</f>
        <v>119.75288643941261</v>
      </c>
      <c r="O6" s="33"/>
      <c r="P6" s="33"/>
      <c r="R6" s="32"/>
    </row>
    <row r="7" spans="1:18">
      <c r="A7" s="32" t="s">
        <v>53</v>
      </c>
      <c r="B7" s="37">
        <f t="shared" ref="B7:B12" si="0">B27</f>
        <v>2290.6979999999999</v>
      </c>
      <c r="C7" s="33"/>
      <c r="D7" s="37">
        <f>IF(ISERROR(TER_horeca_gas_kWh/1000),0,TER_horeca_gas_kWh/1000)*0.902</f>
        <v>2357.3283869227457</v>
      </c>
      <c r="E7" s="33">
        <f>$C$27*'E Balans VL '!I9/100/3.6*1000000</f>
        <v>96.157101956278211</v>
      </c>
      <c r="F7" s="33">
        <f>$C$27*('E Balans VL '!L9+'E Balans VL '!N9)/100/3.6*1000000</f>
        <v>492.20344048675167</v>
      </c>
      <c r="G7" s="34"/>
      <c r="H7" s="33"/>
      <c r="I7" s="33"/>
      <c r="J7" s="33">
        <f>$C$27*('E Balans VL '!D9+'E Balans VL '!E9)/100/3.6*1000000</f>
        <v>0</v>
      </c>
      <c r="K7" s="33"/>
      <c r="L7" s="33"/>
      <c r="M7" s="33"/>
      <c r="N7" s="33">
        <f>$C$27*'E Balans VL '!Y9/100/3.6*1000000</f>
        <v>0.590292841719251</v>
      </c>
      <c r="O7" s="33"/>
      <c r="P7" s="33"/>
      <c r="R7" s="32"/>
    </row>
    <row r="8" spans="1:18">
      <c r="A8" s="6" t="s">
        <v>52</v>
      </c>
      <c r="B8" s="37">
        <f t="shared" si="0"/>
        <v>9632.0679999999993</v>
      </c>
      <c r="C8" s="33"/>
      <c r="D8" s="37">
        <f>IF(ISERROR(TER_handel_gas_kWh/1000),0,TER_handel_gas_kWh/1000)*0.902</f>
        <v>3914.0393844247965</v>
      </c>
      <c r="E8" s="33">
        <f>$C$28*'E Balans VL '!I13/100/3.6*1000000</f>
        <v>103.45642686231341</v>
      </c>
      <c r="F8" s="33">
        <f>$C$28*('E Balans VL '!L13+'E Balans VL '!N13)/100/3.6*1000000</f>
        <v>1246.9507425778438</v>
      </c>
      <c r="G8" s="34"/>
      <c r="H8" s="33"/>
      <c r="I8" s="33"/>
      <c r="J8" s="33">
        <f>$C$28*('E Balans VL '!D13+'E Balans VL '!E13)/100/3.6*1000000</f>
        <v>0</v>
      </c>
      <c r="K8" s="33"/>
      <c r="L8" s="33"/>
      <c r="M8" s="33"/>
      <c r="N8" s="33">
        <f>$C$28*'E Balans VL '!Y13/100/3.6*1000000</f>
        <v>78.135861549780145</v>
      </c>
      <c r="O8" s="33"/>
      <c r="P8" s="33"/>
      <c r="R8" s="32"/>
    </row>
    <row r="9" spans="1:18">
      <c r="A9" s="32" t="s">
        <v>51</v>
      </c>
      <c r="B9" s="37">
        <f t="shared" si="0"/>
        <v>40766.025999999998</v>
      </c>
      <c r="C9" s="33"/>
      <c r="D9" s="37">
        <f>IF(ISERROR(TER_gezond_gas_kWh/1000),0,TER_gezond_gas_kWh/1000)*0.902</f>
        <v>2705.5058801138584</v>
      </c>
      <c r="E9" s="33">
        <f>$C$29*'E Balans VL '!I10/100/3.6*1000000</f>
        <v>32.452393371923037</v>
      </c>
      <c r="F9" s="33">
        <f>$C$29*('E Balans VL '!L10+'E Balans VL '!N10)/100/3.6*1000000</f>
        <v>4955.6995824381702</v>
      </c>
      <c r="G9" s="34"/>
      <c r="H9" s="33"/>
      <c r="I9" s="33"/>
      <c r="J9" s="33">
        <f>$C$29*('E Balans VL '!D10+'E Balans VL '!E10)/100/3.6*1000000</f>
        <v>0</v>
      </c>
      <c r="K9" s="33"/>
      <c r="L9" s="33"/>
      <c r="M9" s="33"/>
      <c r="N9" s="33">
        <f>$C$29*'E Balans VL '!Y10/100/3.6*1000000</f>
        <v>329.29715777902766</v>
      </c>
      <c r="O9" s="33"/>
      <c r="P9" s="33"/>
      <c r="R9" s="32"/>
    </row>
    <row r="10" spans="1:18">
      <c r="A10" s="32" t="s">
        <v>50</v>
      </c>
      <c r="B10" s="37">
        <f t="shared" si="0"/>
        <v>2857.6860000000001</v>
      </c>
      <c r="C10" s="33"/>
      <c r="D10" s="37">
        <f>IF(ISERROR(TER_ander_gas_kWh/1000),0,TER_ander_gas_kWh/1000)*0.902</f>
        <v>1123.9158189342404</v>
      </c>
      <c r="E10" s="33">
        <f>$C$30*'E Balans VL '!I14/100/3.6*1000000</f>
        <v>9.7934400455787056</v>
      </c>
      <c r="F10" s="33">
        <f>$C$30*('E Balans VL '!L14+'E Balans VL '!N14)/100/3.6*1000000</f>
        <v>638.29092971980549</v>
      </c>
      <c r="G10" s="34"/>
      <c r="H10" s="33"/>
      <c r="I10" s="33"/>
      <c r="J10" s="33">
        <f>$C$30*('E Balans VL '!D14+'E Balans VL '!E14)/100/3.6*1000000</f>
        <v>0</v>
      </c>
      <c r="K10" s="33"/>
      <c r="L10" s="33"/>
      <c r="M10" s="33"/>
      <c r="N10" s="33">
        <f>$C$30*'E Balans VL '!Y14/100/3.6*1000000</f>
        <v>2012.9696296334607</v>
      </c>
      <c r="O10" s="33"/>
      <c r="P10" s="33"/>
      <c r="R10" s="32"/>
    </row>
    <row r="11" spans="1:18">
      <c r="A11" s="32" t="s">
        <v>55</v>
      </c>
      <c r="B11" s="37">
        <f t="shared" si="0"/>
        <v>5100.567</v>
      </c>
      <c r="C11" s="33"/>
      <c r="D11" s="37">
        <f>IF(ISERROR(TER_onderwijs_gas_kWh/1000),0,TER_onderwijs_gas_kWh/1000)*0.902</f>
        <v>7063.5374176797795</v>
      </c>
      <c r="E11" s="33">
        <f>$C$31*'E Balans VL '!I11/100/3.6*1000000</f>
        <v>3.5258648819991918</v>
      </c>
      <c r="F11" s="33">
        <f>$C$31*('E Balans VL '!L11+'E Balans VL '!N11)/100/3.6*1000000</f>
        <v>1335.1802791816433</v>
      </c>
      <c r="G11" s="34"/>
      <c r="H11" s="33"/>
      <c r="I11" s="33"/>
      <c r="J11" s="33">
        <f>$C$31*('E Balans VL '!D11+'E Balans VL '!E11)/100/3.6*1000000</f>
        <v>0</v>
      </c>
      <c r="K11" s="33"/>
      <c r="L11" s="33"/>
      <c r="M11" s="33"/>
      <c r="N11" s="33">
        <f>$C$31*'E Balans VL '!Y11/100/3.6*1000000</f>
        <v>5.0771800160922558</v>
      </c>
      <c r="O11" s="33"/>
      <c r="P11" s="33"/>
      <c r="R11" s="32"/>
    </row>
    <row r="12" spans="1:18">
      <c r="A12" s="32" t="s">
        <v>260</v>
      </c>
      <c r="B12" s="37">
        <f t="shared" si="0"/>
        <v>3690.674</v>
      </c>
      <c r="C12" s="33"/>
      <c r="D12" s="37">
        <f>IF(ISERROR(TER_rest_gas_kWh/1000),0,TER_rest_gas_kWh/1000)*0.902</f>
        <v>5077.6075779103203</v>
      </c>
      <c r="E12" s="33">
        <f>$C$32*'E Balans VL '!I8/100/3.6*1000000</f>
        <v>33.367938487715755</v>
      </c>
      <c r="F12" s="33">
        <f>$C$32*('E Balans VL '!L8+'E Balans VL '!N8)/100/3.6*1000000</f>
        <v>544.03505318597036</v>
      </c>
      <c r="G12" s="34"/>
      <c r="H12" s="33"/>
      <c r="I12" s="33"/>
      <c r="J12" s="33">
        <f>$C$32*('E Balans VL '!D8+'E Balans VL '!E8)/100/3.6*1000000</f>
        <v>0</v>
      </c>
      <c r="K12" s="33"/>
      <c r="L12" s="33"/>
      <c r="M12" s="33"/>
      <c r="N12" s="33">
        <f>$C$32*'E Balans VL '!Y8/100/3.6*1000000</f>
        <v>314.7651235042037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76301.924999999988</v>
      </c>
      <c r="C16" s="21">
        <f t="shared" ca="1" si="1"/>
        <v>0</v>
      </c>
      <c r="D16" s="21">
        <f t="shared" ca="1" si="1"/>
        <v>38661.334075838422</v>
      </c>
      <c r="E16" s="21">
        <f t="shared" si="1"/>
        <v>313.41522578573097</v>
      </c>
      <c r="F16" s="21">
        <f t="shared" ca="1" si="1"/>
        <v>10566.444554895108</v>
      </c>
      <c r="G16" s="21">
        <f t="shared" si="1"/>
        <v>0</v>
      </c>
      <c r="H16" s="21">
        <f t="shared" si="1"/>
        <v>0</v>
      </c>
      <c r="I16" s="21">
        <f t="shared" si="1"/>
        <v>0</v>
      </c>
      <c r="J16" s="21">
        <f t="shared" si="1"/>
        <v>0</v>
      </c>
      <c r="K16" s="21">
        <f t="shared" si="1"/>
        <v>0</v>
      </c>
      <c r="L16" s="21">
        <f t="shared" ca="1" si="1"/>
        <v>0</v>
      </c>
      <c r="M16" s="21">
        <f t="shared" si="1"/>
        <v>0</v>
      </c>
      <c r="N16" s="21">
        <f t="shared" ca="1" si="1"/>
        <v>2860.5881317636963</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0.21460956204327883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16375.122707309105</v>
      </c>
      <c r="C20" s="23">
        <f t="shared" ref="C20:P20" ca="1" si="2">C16*C18</f>
        <v>0</v>
      </c>
      <c r="D20" s="23">
        <f t="shared" ca="1" si="2"/>
        <v>7809.5894833193615</v>
      </c>
      <c r="E20" s="23">
        <f t="shared" si="2"/>
        <v>71.145256253360927</v>
      </c>
      <c r="F20" s="23">
        <f t="shared" ca="1" si="2"/>
        <v>2821.2406961569941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11964.206</v>
      </c>
      <c r="C26" s="39">
        <f>IF(ISERROR(B26*3.6/1000000/'E Balans VL '!Z12*100),0,B26*3.6/1000000/'E Balans VL '!Z12*100)</f>
        <v>0.26280761679723508</v>
      </c>
      <c r="D26" s="237" t="s">
        <v>692</v>
      </c>
      <c r="F26" s="6"/>
    </row>
    <row r="27" spans="1:18">
      <c r="A27" s="231" t="s">
        <v>53</v>
      </c>
      <c r="B27" s="33">
        <f>IF(ISERROR(TER_horeca_ele_kWh/1000),0,TER_horeca_ele_kWh/1000)</f>
        <v>2290.6979999999999</v>
      </c>
      <c r="C27" s="39">
        <f>IF(ISERROR(B27*3.6/1000000/'E Balans VL '!Z9*100),0,B27*3.6/1000000/'E Balans VL '!Z9*100)</f>
        <v>0.1840804182473576</v>
      </c>
      <c r="D27" s="237" t="s">
        <v>692</v>
      </c>
      <c r="F27" s="6"/>
    </row>
    <row r="28" spans="1:18">
      <c r="A28" s="171" t="s">
        <v>52</v>
      </c>
      <c r="B28" s="33">
        <f>IF(ISERROR(TER_handel_ele_kWh/1000),0,TER_handel_ele_kWh/1000)</f>
        <v>9632.0679999999993</v>
      </c>
      <c r="C28" s="39">
        <f>IF(ISERROR(B28*3.6/1000000/'E Balans VL '!Z13*100),0,B28*3.6/1000000/'E Balans VL '!Z13*100)</f>
        <v>0.28481352165600704</v>
      </c>
      <c r="D28" s="237" t="s">
        <v>692</v>
      </c>
      <c r="F28" s="6"/>
    </row>
    <row r="29" spans="1:18">
      <c r="A29" s="231" t="s">
        <v>51</v>
      </c>
      <c r="B29" s="33">
        <f>IF(ISERROR(TER_gezond_ele_kWh/1000),0,TER_gezond_ele_kWh/1000)</f>
        <v>40766.025999999998</v>
      </c>
      <c r="C29" s="39">
        <f>IF(ISERROR(B29*3.6/1000000/'E Balans VL '!Z10*100),0,B29*3.6/1000000/'E Balans VL '!Z10*100)</f>
        <v>4.5932786441855562</v>
      </c>
      <c r="D29" s="237" t="s">
        <v>692</v>
      </c>
      <c r="F29" s="6"/>
    </row>
    <row r="30" spans="1:18">
      <c r="A30" s="231" t="s">
        <v>50</v>
      </c>
      <c r="B30" s="33">
        <f>IF(ISERROR(TER_ander_ele_kWh/1000),0,TER_ander_ele_kWh/1000)</f>
        <v>2857.6860000000001</v>
      </c>
      <c r="C30" s="39">
        <f>IF(ISERROR(B30*3.6/1000000/'E Balans VL '!Z14*100),0,B30*3.6/1000000/'E Balans VL '!Z14*100)</f>
        <v>0.21612190718643848</v>
      </c>
      <c r="D30" s="237" t="s">
        <v>692</v>
      </c>
      <c r="F30" s="6"/>
    </row>
    <row r="31" spans="1:18">
      <c r="A31" s="231" t="s">
        <v>55</v>
      </c>
      <c r="B31" s="33">
        <f>IF(ISERROR(TER_onderwijs_ele_kWh/1000),0,TER_onderwijs_ele_kWh/1000)</f>
        <v>5100.567</v>
      </c>
      <c r="C31" s="39">
        <f>IF(ISERROR(B31*3.6/1000000/'E Balans VL '!Z11*100),0,B31*3.6/1000000/'E Balans VL '!Z11*100)</f>
        <v>1.0587593046202537</v>
      </c>
      <c r="D31" s="237" t="s">
        <v>692</v>
      </c>
    </row>
    <row r="32" spans="1:18">
      <c r="A32" s="231" t="s">
        <v>260</v>
      </c>
      <c r="B32" s="33">
        <f>IF(ISERROR(TER_rest_ele_kWh/1000),0,TER_rest_ele_kWh/1000)</f>
        <v>3690.674</v>
      </c>
      <c r="C32" s="39">
        <f>IF(ISERROR(B32*3.6/1000000/'E Balans VL '!Z8*100),0,B32*3.6/1000000/'E Balans VL '!Z8*100)</f>
        <v>3.1091757300011021E-2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29772.367425</v>
      </c>
      <c r="C5" s="17">
        <f>IF(ISERROR('Eigen informatie GS &amp; warmtenet'!B59),0,'Eigen informatie GS &amp; warmtenet'!B59)</f>
        <v>0</v>
      </c>
      <c r="D5" s="30">
        <f>SUM(D6:D15)</f>
        <v>12263.841431024508</v>
      </c>
      <c r="E5" s="17">
        <f>SUM(E6:E15)</f>
        <v>1895.0834742408413</v>
      </c>
      <c r="F5" s="17">
        <f>SUM(F6:F15)</f>
        <v>8778.6046891473925</v>
      </c>
      <c r="G5" s="18"/>
      <c r="H5" s="17"/>
      <c r="I5" s="17"/>
      <c r="J5" s="17">
        <f>SUM(J6:J15)</f>
        <v>121.59896806871564</v>
      </c>
      <c r="K5" s="17"/>
      <c r="L5" s="17"/>
      <c r="M5" s="17"/>
      <c r="N5" s="17">
        <f>SUM(N6:N15)</f>
        <v>6044.7201733890215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813.57680000000005</v>
      </c>
      <c r="C8" s="33"/>
      <c r="D8" s="37">
        <f>IF( ISERROR(IND_metaal_Gas_kWH/1000),0,IND_metaal_Gas_kWH/1000)*0.902</f>
        <v>537.47483577503294</v>
      </c>
      <c r="E8" s="33">
        <f>C30*'E Balans VL '!I18/100/3.6*1000000</f>
        <v>20.360979846202806</v>
      </c>
      <c r="F8" s="33">
        <f>C30*'E Balans VL '!L18/100/3.6*1000000+C30*'E Balans VL '!N18/100/3.6*1000000</f>
        <v>254.97901605912904</v>
      </c>
      <c r="G8" s="34"/>
      <c r="H8" s="33"/>
      <c r="I8" s="33"/>
      <c r="J8" s="40">
        <f>C30*'E Balans VL '!D18/100/3.6*1000000+C30*'E Balans VL '!E18/100/3.6*1000000</f>
        <v>0</v>
      </c>
      <c r="K8" s="33"/>
      <c r="L8" s="33"/>
      <c r="M8" s="33"/>
      <c r="N8" s="33">
        <f>C30*'E Balans VL '!Y18/100/3.6*1000000</f>
        <v>20.439160631912891</v>
      </c>
      <c r="O8" s="33"/>
      <c r="P8" s="33"/>
      <c r="R8" s="32"/>
    </row>
    <row r="9" spans="1:18">
      <c r="A9" s="6" t="s">
        <v>33</v>
      </c>
      <c r="B9" s="37">
        <f t="shared" si="0"/>
        <v>2009.915</v>
      </c>
      <c r="C9" s="33"/>
      <c r="D9" s="37">
        <f>IF( ISERROR(IND_andere_gas_kWh/1000),0,IND_andere_gas_kWh/1000)*0.902</f>
        <v>10001.673361435474</v>
      </c>
      <c r="E9" s="33">
        <f>C31*'E Balans VL '!I19/100/3.6*1000000</f>
        <v>552.64418822453547</v>
      </c>
      <c r="F9" s="33">
        <f>C31*'E Balans VL '!L19/100/3.6*1000000+C31*'E Balans VL '!N19/100/3.6*1000000</f>
        <v>1584.1627703213596</v>
      </c>
      <c r="G9" s="34"/>
      <c r="H9" s="33"/>
      <c r="I9" s="33"/>
      <c r="J9" s="40">
        <f>C31*'E Balans VL '!D19/100/3.6*1000000+C31*'E Balans VL '!E19/100/3.6*1000000</f>
        <v>0</v>
      </c>
      <c r="K9" s="33"/>
      <c r="L9" s="33"/>
      <c r="M9" s="33"/>
      <c r="N9" s="33">
        <f>C31*'E Balans VL '!Y19/100/3.6*1000000</f>
        <v>650.66253837817681</v>
      </c>
      <c r="O9" s="33"/>
      <c r="P9" s="33"/>
      <c r="R9" s="32"/>
    </row>
    <row r="10" spans="1:18">
      <c r="A10" s="6" t="s">
        <v>41</v>
      </c>
      <c r="B10" s="37">
        <f t="shared" si="0"/>
        <v>547.95960000000002</v>
      </c>
      <c r="C10" s="33"/>
      <c r="D10" s="37">
        <f>IF( ISERROR(IND_voed_gas_kWh/1000),0,IND_voed_gas_kWh/1000)*0.902</f>
        <v>303.06256163606207</v>
      </c>
      <c r="E10" s="33">
        <f>C32*'E Balans VL '!I20/100/3.6*1000000</f>
        <v>5.5861462493338685</v>
      </c>
      <c r="F10" s="33">
        <f>C32*'E Balans VL '!L20/100/3.6*1000000+C32*'E Balans VL '!N20/100/3.6*1000000</f>
        <v>1035.0922572435288</v>
      </c>
      <c r="G10" s="34"/>
      <c r="H10" s="33"/>
      <c r="I10" s="33"/>
      <c r="J10" s="40">
        <f>C32*'E Balans VL '!D20/100/3.6*1000000+C32*'E Balans VL '!E20/100/3.6*1000000</f>
        <v>13.114466159928517</v>
      </c>
      <c r="K10" s="33"/>
      <c r="L10" s="33"/>
      <c r="M10" s="33"/>
      <c r="N10" s="33">
        <f>C32*'E Balans VL '!Y20/100/3.6*1000000</f>
        <v>288.83782640626316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7.8774250000000006</v>
      </c>
      <c r="C12" s="33"/>
      <c r="D12" s="37">
        <f>IF( ISERROR(IND_min_gas_kWh/1000),0,IND_min_gas_kWh/1000)*0.902</f>
        <v>0</v>
      </c>
      <c r="E12" s="33">
        <f>C34*'E Balans VL '!I22/100/3.6*1000000</f>
        <v>2.3857156948697781E-2</v>
      </c>
      <c r="F12" s="33">
        <f>C34*'E Balans VL '!L22/100/3.6*1000000+C34*'E Balans VL '!N22/100/3.6*1000000</f>
        <v>0.24617630375668695</v>
      </c>
      <c r="G12" s="34"/>
      <c r="H12" s="33"/>
      <c r="I12" s="33"/>
      <c r="J12" s="40">
        <f>C34*'E Balans VL '!D22/100/3.6*1000000+C34*'E Balans VL '!E22/100/3.6*1000000</f>
        <v>1.1680472576758732E-2</v>
      </c>
      <c r="K12" s="33"/>
      <c r="L12" s="33"/>
      <c r="M12" s="33"/>
      <c r="N12" s="33">
        <f>C34*'E Balans VL '!Y22/100/3.6*1000000</f>
        <v>0</v>
      </c>
      <c r="O12" s="33"/>
      <c r="P12" s="33"/>
      <c r="R12" s="32"/>
    </row>
    <row r="13" spans="1:18">
      <c r="A13" s="6" t="s">
        <v>39</v>
      </c>
      <c r="B13" s="37">
        <f t="shared" si="0"/>
        <v>537.42959999999994</v>
      </c>
      <c r="C13" s="33"/>
      <c r="D13" s="37">
        <f>IF( ISERROR(IND_papier_gas_kWh/1000),0,IND_papier_gas_kWh/1000)*0.902</f>
        <v>143.58415603720422</v>
      </c>
      <c r="E13" s="33">
        <f>C35*'E Balans VL '!I23/100/3.6*1000000</f>
        <v>1.1130529772244981</v>
      </c>
      <c r="F13" s="33">
        <f>C35*'E Balans VL '!L23/100/3.6*1000000+C35*'E Balans VL '!N23/100/3.6*1000000</f>
        <v>10.658381125488022</v>
      </c>
      <c r="G13" s="34"/>
      <c r="H13" s="33"/>
      <c r="I13" s="33"/>
      <c r="J13" s="40">
        <f>C35*'E Balans VL '!D23/100/3.6*1000000+C35*'E Balans VL '!E23/100/3.6*1000000</f>
        <v>0</v>
      </c>
      <c r="K13" s="33"/>
      <c r="L13" s="33"/>
      <c r="M13" s="33"/>
      <c r="N13" s="33">
        <f>C35*'E Balans VL '!Y23/100/3.6*1000000</f>
        <v>226.92850321942458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25855.609</v>
      </c>
      <c r="C15" s="33"/>
      <c r="D15" s="37">
        <f>IF( ISERROR(IND_rest_gas_kWh/1000),0,IND_rest_gas_kWh/1000)*0.902</f>
        <v>1278.0465161407351</v>
      </c>
      <c r="E15" s="33">
        <f>C37*'E Balans VL '!I15/100/3.6*1000000</f>
        <v>1315.355249786596</v>
      </c>
      <c r="F15" s="33">
        <f>C37*'E Balans VL '!L15/100/3.6*1000000+C37*'E Balans VL '!N15/100/3.6*1000000</f>
        <v>5893.4660880941292</v>
      </c>
      <c r="G15" s="34"/>
      <c r="H15" s="33"/>
      <c r="I15" s="33"/>
      <c r="J15" s="40">
        <f>C37*'E Balans VL '!D15/100/3.6*1000000+C37*'E Balans VL '!E15/100/3.6*1000000</f>
        <v>108.47282143621037</v>
      </c>
      <c r="K15" s="33"/>
      <c r="L15" s="33"/>
      <c r="M15" s="33"/>
      <c r="N15" s="33">
        <f>C37*'E Balans VL '!Y15/100/3.6*1000000</f>
        <v>4857.8521447532439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29772.367425</v>
      </c>
      <c r="C18" s="21">
        <f>C5+C16</f>
        <v>0</v>
      </c>
      <c r="D18" s="21">
        <f>MAX((D5+D16),0)</f>
        <v>12263.841431024508</v>
      </c>
      <c r="E18" s="21">
        <f>MAX((E5+E16),0)</f>
        <v>1895.0834742408413</v>
      </c>
      <c r="F18" s="21">
        <f>MAX((F5+F16),0)</f>
        <v>8778.6046891473925</v>
      </c>
      <c r="G18" s="21"/>
      <c r="H18" s="21"/>
      <c r="I18" s="21"/>
      <c r="J18" s="21">
        <f>MAX((J5+J16),0)</f>
        <v>121.59896806871564</v>
      </c>
      <c r="K18" s="21"/>
      <c r="L18" s="21">
        <f>MAX((L5+L16),0)</f>
        <v>0</v>
      </c>
      <c r="M18" s="21"/>
      <c r="N18" s="21">
        <f>MAX((N5+N16),0)</f>
        <v>6044.7201733890215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0.21460956204327883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6389.4347340708309</v>
      </c>
      <c r="C22" s="23">
        <f ca="1">C18*C20</f>
        <v>0</v>
      </c>
      <c r="D22" s="23">
        <f>D18*D20</f>
        <v>2477.2959690669509</v>
      </c>
      <c r="E22" s="23">
        <f>E18*E20</f>
        <v>430.18394865267101</v>
      </c>
      <c r="F22" s="23">
        <f>F18*F20</f>
        <v>2343.8874520023537</v>
      </c>
      <c r="G22" s="23"/>
      <c r="H22" s="23"/>
      <c r="I22" s="23"/>
      <c r="J22" s="23">
        <f>J18*J20</f>
        <v>43.046034696325336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813.57680000000005</v>
      </c>
      <c r="C30" s="39">
        <f>IF(ISERROR(B30*3.6/1000000/'E Balans VL '!Z18*100),0,B30*3.6/1000000/'E Balans VL '!Z18*100)</f>
        <v>0.11387363925361722</v>
      </c>
      <c r="D30" s="237" t="s">
        <v>692</v>
      </c>
    </row>
    <row r="31" spans="1:18">
      <c r="A31" s="6" t="s">
        <v>33</v>
      </c>
      <c r="B31" s="37">
        <f>IF( ISERROR(IND_ander_ele_kWh/1000),0,IND_ander_ele_kWh/1000)</f>
        <v>2009.915</v>
      </c>
      <c r="C31" s="39">
        <f>IF(ISERROR(B31*3.6/1000000/'E Balans VL '!Z19*100),0,B31*3.6/1000000/'E Balans VL '!Z19*100)</f>
        <v>8.7973653495463031E-2</v>
      </c>
      <c r="D31" s="237" t="s">
        <v>692</v>
      </c>
    </row>
    <row r="32" spans="1:18">
      <c r="A32" s="171" t="s">
        <v>41</v>
      </c>
      <c r="B32" s="37">
        <f>IF( ISERROR(IND_voed_ele_kWh/1000),0,IND_voed_ele_kWh/1000)</f>
        <v>547.95960000000002</v>
      </c>
      <c r="C32" s="39">
        <f>IF(ISERROR(B32*3.6/1000000/'E Balans VL '!Z20*100),0,B32*3.6/1000000/'E Balans VL '!Z20*100)</f>
        <v>0.13565660011925193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7.8774250000000006</v>
      </c>
      <c r="C34" s="39">
        <f>IF(ISERROR(B34*3.6/1000000/'E Balans VL '!Z22*100),0,B34*3.6/1000000/'E Balans VL '!Z22*100)</f>
        <v>2.2352918333324828E-4</v>
      </c>
      <c r="D34" s="237" t="s">
        <v>692</v>
      </c>
    </row>
    <row r="35" spans="1:5">
      <c r="A35" s="171" t="s">
        <v>39</v>
      </c>
      <c r="B35" s="37">
        <f>IF( ISERROR(IND_papier_ele_kWh/1000),0,IND_papier_ele_kWh/1000)</f>
        <v>537.42959999999994</v>
      </c>
      <c r="C35" s="39">
        <f>IF(ISERROR(B35*3.6/1000000/'E Balans VL '!Z22*100),0,B35*3.6/1000000/'E Balans VL '!Z22*100)</f>
        <v>1.5250059453071819E-2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25855.609</v>
      </c>
      <c r="C37" s="39">
        <f>IF(ISERROR(B37*3.6/1000000/'E Balans VL '!Z15*100),0,B37*3.6/1000000/'E Balans VL '!Z15*100)</f>
        <v>0.19171491406741836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2149.6821600000003</v>
      </c>
      <c r="C5" s="17">
        <f>'Eigen informatie GS &amp; warmtenet'!B60</f>
        <v>0</v>
      </c>
      <c r="D5" s="30">
        <f>IF(ISERROR(SUM(LB_lb_gas_kWh,LB_rest_gas_kWh)/1000),0,SUM(LB_lb_gas_kWh,LB_rest_gas_kWh)/1000)*0.902</f>
        <v>5840.2419310252953</v>
      </c>
      <c r="E5" s="17">
        <f>B17*'E Balans VL '!I25/3.6*1000000/100</f>
        <v>19.911256535572321</v>
      </c>
      <c r="F5" s="17">
        <f>B17*('E Balans VL '!L25/3.6*1000000+'E Balans VL '!N25/3.6*1000000)/100</f>
        <v>5454.1531539512298</v>
      </c>
      <c r="G5" s="18"/>
      <c r="H5" s="17"/>
      <c r="I5" s="17"/>
      <c r="J5" s="17">
        <f>('E Balans VL '!D25+'E Balans VL '!E25)/3.6*1000000*landbouw!B17/100</f>
        <v>329.57026565092428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2149.6821600000003</v>
      </c>
      <c r="C8" s="21">
        <f>C5+C6</f>
        <v>0</v>
      </c>
      <c r="D8" s="21">
        <f>MAX((D5+D6),0)</f>
        <v>5840.2419310252953</v>
      </c>
      <c r="E8" s="21">
        <f>MAX((E5+E6),0)</f>
        <v>19.911256535572321</v>
      </c>
      <c r="F8" s="21">
        <f>MAX((F5+F6),0)</f>
        <v>5454.1531539512298</v>
      </c>
      <c r="G8" s="21"/>
      <c r="H8" s="21"/>
      <c r="I8" s="21"/>
      <c r="J8" s="21">
        <f>MAX((J5+J6),0)</f>
        <v>329.57026565092428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0.21460956204327883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461.34234688984969</v>
      </c>
      <c r="C12" s="23">
        <f ca="1">C8*C10</f>
        <v>0</v>
      </c>
      <c r="D12" s="23">
        <f>D8*D10</f>
        <v>1179.7288700671097</v>
      </c>
      <c r="E12" s="23">
        <f>E8*E10</f>
        <v>4.5198552335749165</v>
      </c>
      <c r="F12" s="23">
        <f>F8*F10</f>
        <v>1456.2588921049785</v>
      </c>
      <c r="G12" s="23"/>
      <c r="H12" s="23"/>
      <c r="I12" s="23"/>
      <c r="J12" s="23">
        <f>J8*J10</f>
        <v>116.66787404042719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0.3056392220115503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117.96800238126039</v>
      </c>
      <c r="C26" s="247">
        <f>B26*'GWP N2O_CH4'!B5</f>
        <v>2477.3280500064684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17.800870704463595</v>
      </c>
      <c r="C27" s="247">
        <f>B27*'GWP N2O_CH4'!B5</f>
        <v>373.81828479373547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1.5899695522452784</v>
      </c>
      <c r="C28" s="247">
        <f>B28*'GWP N2O_CH4'!B4</f>
        <v>492.89056119603629</v>
      </c>
      <c r="D28" s="50"/>
    </row>
    <row r="29" spans="1:4">
      <c r="A29" s="41" t="s">
        <v>277</v>
      </c>
      <c r="B29" s="247">
        <f>B34*'ha_N2O bodem landbouw'!B4</f>
        <v>9.0492490307546802</v>
      </c>
      <c r="C29" s="247">
        <f>B29*'GWP N2O_CH4'!B4</f>
        <v>2805.267199533951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2.0295871341695173E-3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1.2591840290639885E-4</v>
      </c>
      <c r="C5" s="464" t="s">
        <v>211</v>
      </c>
      <c r="D5" s="449">
        <f>SUM(D6:D11)</f>
        <v>3.4837849552604358E-4</v>
      </c>
      <c r="E5" s="449">
        <f>SUM(E6:E11)</f>
        <v>2.4386829829627539E-3</v>
      </c>
      <c r="F5" s="462" t="s">
        <v>211</v>
      </c>
      <c r="G5" s="449">
        <f>SUM(G6:G11)</f>
        <v>0.68979469112630665</v>
      </c>
      <c r="H5" s="449">
        <f>SUM(H6:H11)</f>
        <v>0.13371795530907346</v>
      </c>
      <c r="I5" s="464" t="s">
        <v>211</v>
      </c>
      <c r="J5" s="464" t="s">
        <v>211</v>
      </c>
      <c r="K5" s="464" t="s">
        <v>211</v>
      </c>
      <c r="L5" s="464" t="s">
        <v>211</v>
      </c>
      <c r="M5" s="449">
        <f>SUM(M6:M11)</f>
        <v>4.4017823783815219E-2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3.8826050534628434E-5</v>
      </c>
      <c r="C6" s="450"/>
      <c r="D6" s="893">
        <f>vkm_2011_GW_PW*SUMIFS(TableVerdeelsleutelVkm[CNG],TableVerdeelsleutelVkm[Voertuigtype],"Lichte voertuigen")*SUMIFS(TableECFTransport[EnergieConsumptieFactor (PJ per km)],TableECFTransport[Index],CONCATENATE($A6,"_CNG_CNG"))</f>
        <v>8.9808929457686643E-5</v>
      </c>
      <c r="E6" s="893">
        <f>vkm_2011_GW_PW*SUMIFS(TableVerdeelsleutelVkm[LPG],TableVerdeelsleutelVkm[Voertuigtype],"Lichte voertuigen")*SUMIFS(TableECFTransport[EnergieConsumptieFactor (PJ per km)],TableECFTransport[Index],CONCATENATE($A6,"_LPG_LPG"))</f>
        <v>5.8478151453509035E-4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0.12148403327318112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3.4243838437153916E-2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8.0814692590995569E-3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6.0288088229401016E-2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2.061743129177076E-5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3.4880076324630247E-3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2.8419355966864512E-5</v>
      </c>
      <c r="C8" s="450"/>
      <c r="D8" s="452">
        <f>vkm_2011_NGW_PW*SUMIFS(TableVerdeelsleutelVkm[CNG],TableVerdeelsleutelVkm[Voertuigtype],"Lichte voertuigen")*SUMIFS(TableECFTransport[EnergieConsumptieFactor (PJ per km)],TableECFTransport[Index],CONCATENATE($A8,"_CNG_CNG"))</f>
        <v>1.1626971720290436E-4</v>
      </c>
      <c r="E8" s="452">
        <f>vkm_2011_NGW_PW*SUMIFS(TableVerdeelsleutelVkm[LPG],TableVerdeelsleutelVkm[Voertuigtype],"Lichte voertuigen")*SUMIFS(TableECFTransport[EnergieConsumptieFactor (PJ per km)],TableECFTransport[Index],CONCATENATE($A8,"_LPG_LPG"))</f>
        <v>6.9870440000339127E-4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0.13568736803881176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4.2867120613639835E-2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9.1685338516651303E-3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4.6410131565048626E-2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1.5017777957459109E-5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2.6850628958726181E-3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5.8672996404905901E-5</v>
      </c>
      <c r="C10" s="450"/>
      <c r="D10" s="452">
        <f>vkm_2011_SW_PW*SUMIFS(TableVerdeelsleutelVkm[CNG],TableVerdeelsleutelVkm[Voertuigtype],"Lichte voertuigen")*SUMIFS(TableECFTransport[EnergieConsumptieFactor (PJ per km)],TableECFTransport[Index],CONCATENATE($A10,"_CNG_CNG"))</f>
        <v>1.4229984886545257E-4</v>
      </c>
      <c r="E10" s="452">
        <f>vkm_2011_SW_PW*SUMIFS(TableVerdeelsleutelVkm[LPG],TableVerdeelsleutelVkm[Voertuigtype],"Lichte voertuigen")*SUMIFS(TableECFTransport[EnergieConsumptieFactor (PJ per km)],TableECFTransport[Index],CONCATENATE($A10,"_LPG_LPG"))</f>
        <v>1.1551970684242725E-3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0.21605502037373225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5.6530867094933109E-2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1.4238055095698655E-2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0.1098700496461318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4.0493954097392211E-5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6.3566950490162345E-3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34.977334140666343</v>
      </c>
      <c r="C14" s="21"/>
      <c r="D14" s="21">
        <f t="shared" ref="D14:M14" si="0">((D5)*10^9/3600)+D12</f>
        <v>96.771804312789882</v>
      </c>
      <c r="E14" s="21">
        <f t="shared" si="0"/>
        <v>677.41193971187613</v>
      </c>
      <c r="F14" s="21"/>
      <c r="G14" s="21">
        <f t="shared" si="0"/>
        <v>191609.63642397407</v>
      </c>
      <c r="H14" s="21">
        <f t="shared" si="0"/>
        <v>37143.876474742632</v>
      </c>
      <c r="I14" s="21"/>
      <c r="J14" s="21"/>
      <c r="K14" s="21"/>
      <c r="L14" s="21"/>
      <c r="M14" s="21">
        <f t="shared" si="0"/>
        <v>12227.173273282006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0.21460956204327883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7.5064703613698285</v>
      </c>
      <c r="C18" s="23"/>
      <c r="D18" s="23">
        <f t="shared" ref="D18:M18" si="1">D14*D16</f>
        <v>19.547904471183557</v>
      </c>
      <c r="E18" s="23">
        <f t="shared" si="1"/>
        <v>153.77251031459588</v>
      </c>
      <c r="F18" s="23"/>
      <c r="G18" s="23">
        <f t="shared" si="1"/>
        <v>51159.772925201076</v>
      </c>
      <c r="H18" s="23">
        <f t="shared" si="1"/>
        <v>9248.8252422109163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1.112794272919502E-2</v>
      </c>
      <c r="H50" s="321">
        <f t="shared" si="2"/>
        <v>0</v>
      </c>
      <c r="I50" s="321">
        <f t="shared" si="2"/>
        <v>0</v>
      </c>
      <c r="J50" s="321">
        <f t="shared" si="2"/>
        <v>0</v>
      </c>
      <c r="K50" s="321">
        <f t="shared" si="2"/>
        <v>0</v>
      </c>
      <c r="L50" s="321">
        <f t="shared" si="2"/>
        <v>0</v>
      </c>
      <c r="M50" s="321">
        <f t="shared" si="2"/>
        <v>6.3459413414055168E-4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1.112794272919502E-2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6.3459413414055168E-4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3091.0952025541724</v>
      </c>
      <c r="H54" s="21">
        <f t="shared" si="3"/>
        <v>0</v>
      </c>
      <c r="I54" s="21">
        <f t="shared" si="3"/>
        <v>0</v>
      </c>
      <c r="J54" s="21">
        <f t="shared" si="3"/>
        <v>0</v>
      </c>
      <c r="K54" s="21">
        <f t="shared" si="3"/>
        <v>0</v>
      </c>
      <c r="L54" s="21">
        <f t="shared" si="3"/>
        <v>0</v>
      </c>
      <c r="M54" s="21">
        <f t="shared" si="3"/>
        <v>176.27614837237547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0.21460956204327883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825.32241908196409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78212.226999999984</v>
      </c>
      <c r="D10" s="1025">
        <f ca="1">tertiair!C16</f>
        <v>0</v>
      </c>
      <c r="E10" s="1025">
        <f ca="1">tertiair!D16</f>
        <v>38661.334075838422</v>
      </c>
      <c r="F10" s="1025">
        <f>tertiair!E16</f>
        <v>313.41522578573097</v>
      </c>
      <c r="G10" s="1025">
        <f ca="1">tertiair!F16</f>
        <v>10566.444554895108</v>
      </c>
      <c r="H10" s="1025">
        <f>tertiair!G16</f>
        <v>0</v>
      </c>
      <c r="I10" s="1025">
        <f>tertiair!H16</f>
        <v>0</v>
      </c>
      <c r="J10" s="1025">
        <f>tertiair!I16</f>
        <v>0</v>
      </c>
      <c r="K10" s="1025">
        <f>tertiair!J16</f>
        <v>0</v>
      </c>
      <c r="L10" s="1025">
        <f>tertiair!K16</f>
        <v>0</v>
      </c>
      <c r="M10" s="1025">
        <f ca="1">tertiair!L16</f>
        <v>0</v>
      </c>
      <c r="N10" s="1025">
        <f>tertiair!M16</f>
        <v>0</v>
      </c>
      <c r="O10" s="1025">
        <f ca="1">tertiair!N16</f>
        <v>2860.5881317636963</v>
      </c>
      <c r="P10" s="1025">
        <f>tertiair!O16</f>
        <v>9.3800000000000008</v>
      </c>
      <c r="Q10" s="1026">
        <f>tertiair!P16</f>
        <v>57.2</v>
      </c>
      <c r="R10" s="701">
        <f ca="1">SUM(C10:Q10)</f>
        <v>130680.58898828294</v>
      </c>
      <c r="S10" s="67"/>
    </row>
    <row r="11" spans="1:19" s="474" customFormat="1">
      <c r="A11" s="810" t="s">
        <v>225</v>
      </c>
      <c r="B11" s="815"/>
      <c r="C11" s="1025">
        <f>huishoudens!B8</f>
        <v>47689.120254476009</v>
      </c>
      <c r="D11" s="1025">
        <f>huishoudens!C8</f>
        <v>0</v>
      </c>
      <c r="E11" s="1025">
        <f>huishoudens!D8</f>
        <v>88384.26230584475</v>
      </c>
      <c r="F11" s="1025">
        <f>huishoudens!E8</f>
        <v>2359.7785192485785</v>
      </c>
      <c r="G11" s="1025">
        <f>huishoudens!F8</f>
        <v>15025.90302400451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10500.037226735922</v>
      </c>
      <c r="P11" s="1025">
        <f>huishoudens!O8</f>
        <v>408.03000000000003</v>
      </c>
      <c r="Q11" s="1026">
        <f>huishoudens!P8</f>
        <v>743.6</v>
      </c>
      <c r="R11" s="701">
        <f>SUM(C11:Q11)</f>
        <v>165110.73133030979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29772.367425</v>
      </c>
      <c r="D13" s="1025">
        <f>industrie!C18</f>
        <v>0</v>
      </c>
      <c r="E13" s="1025">
        <f>industrie!D18</f>
        <v>12263.841431024508</v>
      </c>
      <c r="F13" s="1025">
        <f>industrie!E18</f>
        <v>1895.0834742408413</v>
      </c>
      <c r="G13" s="1025">
        <f>industrie!F18</f>
        <v>8778.6046891473925</v>
      </c>
      <c r="H13" s="1025">
        <f>industrie!G18</f>
        <v>0</v>
      </c>
      <c r="I13" s="1025">
        <f>industrie!H18</f>
        <v>0</v>
      </c>
      <c r="J13" s="1025">
        <f>industrie!I18</f>
        <v>0</v>
      </c>
      <c r="K13" s="1025">
        <f>industrie!J18</f>
        <v>121.59896806871564</v>
      </c>
      <c r="L13" s="1025">
        <f>industrie!K18</f>
        <v>0</v>
      </c>
      <c r="M13" s="1025">
        <f>industrie!L18</f>
        <v>0</v>
      </c>
      <c r="N13" s="1025">
        <f>industrie!M18</f>
        <v>0</v>
      </c>
      <c r="O13" s="1025">
        <f>industrie!N18</f>
        <v>6044.7201733890215</v>
      </c>
      <c r="P13" s="1025">
        <f>industrie!O18</f>
        <v>0</v>
      </c>
      <c r="Q13" s="1026">
        <f>industrie!P18</f>
        <v>0</v>
      </c>
      <c r="R13" s="701">
        <f>SUM(C13:Q13)</f>
        <v>58876.216160870477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155673.71467947599</v>
      </c>
      <c r="D16" s="733">
        <f t="shared" ref="D16:R16" ca="1" si="0">SUM(D9:D15)</f>
        <v>0</v>
      </c>
      <c r="E16" s="733">
        <f t="shared" ca="1" si="0"/>
        <v>139309.43781270768</v>
      </c>
      <c r="F16" s="733">
        <f t="shared" si="0"/>
        <v>4568.2772192751509</v>
      </c>
      <c r="G16" s="733">
        <f t="shared" ca="1" si="0"/>
        <v>34370.952268047011</v>
      </c>
      <c r="H16" s="733">
        <f t="shared" si="0"/>
        <v>0</v>
      </c>
      <c r="I16" s="733">
        <f t="shared" si="0"/>
        <v>0</v>
      </c>
      <c r="J16" s="733">
        <f t="shared" si="0"/>
        <v>0</v>
      </c>
      <c r="K16" s="733">
        <f t="shared" si="0"/>
        <v>121.59896806871564</v>
      </c>
      <c r="L16" s="733">
        <f t="shared" si="0"/>
        <v>0</v>
      </c>
      <c r="M16" s="733">
        <f t="shared" ca="1" si="0"/>
        <v>0</v>
      </c>
      <c r="N16" s="733">
        <f t="shared" si="0"/>
        <v>0</v>
      </c>
      <c r="O16" s="733">
        <f t="shared" ca="1" si="0"/>
        <v>19405.345531888641</v>
      </c>
      <c r="P16" s="733">
        <f t="shared" si="0"/>
        <v>417.41</v>
      </c>
      <c r="Q16" s="733">
        <f t="shared" si="0"/>
        <v>800.80000000000007</v>
      </c>
      <c r="R16" s="733">
        <f t="shared" ca="1" si="0"/>
        <v>354667.53647946322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3091.0952025541724</v>
      </c>
      <c r="I19" s="1025">
        <f>transport!H54</f>
        <v>0</v>
      </c>
      <c r="J19" s="1025">
        <f>transport!I54</f>
        <v>0</v>
      </c>
      <c r="K19" s="1025">
        <f>transport!J54</f>
        <v>0</v>
      </c>
      <c r="L19" s="1025">
        <f>transport!K54</f>
        <v>0</v>
      </c>
      <c r="M19" s="1025">
        <f>transport!L54</f>
        <v>0</v>
      </c>
      <c r="N19" s="1025">
        <f>transport!M54</f>
        <v>176.27614837237547</v>
      </c>
      <c r="O19" s="1025">
        <f>transport!N54</f>
        <v>0</v>
      </c>
      <c r="P19" s="1025">
        <f>transport!O54</f>
        <v>0</v>
      </c>
      <c r="Q19" s="1026">
        <f>transport!P54</f>
        <v>0</v>
      </c>
      <c r="R19" s="701">
        <f>SUM(C19:Q19)</f>
        <v>3267.3713509265481</v>
      </c>
      <c r="S19" s="67"/>
    </row>
    <row r="20" spans="1:19" s="474" customFormat="1">
      <c r="A20" s="810" t="s">
        <v>307</v>
      </c>
      <c r="B20" s="815"/>
      <c r="C20" s="1025">
        <f>transport!B14</f>
        <v>34.977334140666343</v>
      </c>
      <c r="D20" s="1025">
        <f>transport!C14</f>
        <v>0</v>
      </c>
      <c r="E20" s="1025">
        <f>transport!D14</f>
        <v>96.771804312789882</v>
      </c>
      <c r="F20" s="1025">
        <f>transport!E14</f>
        <v>677.41193971187613</v>
      </c>
      <c r="G20" s="1025">
        <f>transport!F14</f>
        <v>0</v>
      </c>
      <c r="H20" s="1025">
        <f>transport!G14</f>
        <v>191609.63642397407</v>
      </c>
      <c r="I20" s="1025">
        <f>transport!H14</f>
        <v>37143.876474742632</v>
      </c>
      <c r="J20" s="1025">
        <f>transport!I14</f>
        <v>0</v>
      </c>
      <c r="K20" s="1025">
        <f>transport!J14</f>
        <v>0</v>
      </c>
      <c r="L20" s="1025">
        <f>transport!K14</f>
        <v>0</v>
      </c>
      <c r="M20" s="1025">
        <f>transport!L14</f>
        <v>0</v>
      </c>
      <c r="N20" s="1025">
        <f>transport!M14</f>
        <v>12227.173273282006</v>
      </c>
      <c r="O20" s="1025">
        <f>transport!N14</f>
        <v>0</v>
      </c>
      <c r="P20" s="1025">
        <f>transport!O14</f>
        <v>0</v>
      </c>
      <c r="Q20" s="1026">
        <f>transport!P14</f>
        <v>0</v>
      </c>
      <c r="R20" s="701">
        <f>SUM(C20:Q20)</f>
        <v>241789.84725016405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34.977334140666343</v>
      </c>
      <c r="D22" s="813">
        <f t="shared" ref="D22:R22" si="1">SUM(D18:D21)</f>
        <v>0</v>
      </c>
      <c r="E22" s="813">
        <f t="shared" si="1"/>
        <v>96.771804312789882</v>
      </c>
      <c r="F22" s="813">
        <f t="shared" si="1"/>
        <v>677.41193971187613</v>
      </c>
      <c r="G22" s="813">
        <f t="shared" si="1"/>
        <v>0</v>
      </c>
      <c r="H22" s="813">
        <f t="shared" si="1"/>
        <v>194700.73162652823</v>
      </c>
      <c r="I22" s="813">
        <f t="shared" si="1"/>
        <v>37143.876474742632</v>
      </c>
      <c r="J22" s="813">
        <f t="shared" si="1"/>
        <v>0</v>
      </c>
      <c r="K22" s="813">
        <f t="shared" si="1"/>
        <v>0</v>
      </c>
      <c r="L22" s="813">
        <f t="shared" si="1"/>
        <v>0</v>
      </c>
      <c r="M22" s="813">
        <f t="shared" si="1"/>
        <v>0</v>
      </c>
      <c r="N22" s="813">
        <f t="shared" si="1"/>
        <v>12403.449421654381</v>
      </c>
      <c r="O22" s="813">
        <f t="shared" si="1"/>
        <v>0</v>
      </c>
      <c r="P22" s="813">
        <f t="shared" si="1"/>
        <v>0</v>
      </c>
      <c r="Q22" s="813">
        <f t="shared" si="1"/>
        <v>0</v>
      </c>
      <c r="R22" s="813">
        <f t="shared" si="1"/>
        <v>245057.2186010906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2149.6821600000003</v>
      </c>
      <c r="D24" s="1025">
        <f>+landbouw!C8</f>
        <v>0</v>
      </c>
      <c r="E24" s="1025">
        <f>+landbouw!D8</f>
        <v>5840.2419310252953</v>
      </c>
      <c r="F24" s="1025">
        <f>+landbouw!E8</f>
        <v>19.911256535572321</v>
      </c>
      <c r="G24" s="1025">
        <f>+landbouw!F8</f>
        <v>5454.1531539512298</v>
      </c>
      <c r="H24" s="1025">
        <f>+landbouw!G8</f>
        <v>0</v>
      </c>
      <c r="I24" s="1025">
        <f>+landbouw!H8</f>
        <v>0</v>
      </c>
      <c r="J24" s="1025">
        <f>+landbouw!I8</f>
        <v>0</v>
      </c>
      <c r="K24" s="1025">
        <f>+landbouw!J8</f>
        <v>329.57026565092428</v>
      </c>
      <c r="L24" s="1025">
        <f>+landbouw!K8</f>
        <v>0</v>
      </c>
      <c r="M24" s="1025">
        <f>+landbouw!L8</f>
        <v>0</v>
      </c>
      <c r="N24" s="1025">
        <f>+landbouw!M8</f>
        <v>0</v>
      </c>
      <c r="O24" s="1025">
        <f>+landbouw!N8</f>
        <v>0</v>
      </c>
      <c r="P24" s="1025">
        <f>+landbouw!O8</f>
        <v>0</v>
      </c>
      <c r="Q24" s="1026">
        <f>+landbouw!P8</f>
        <v>0</v>
      </c>
      <c r="R24" s="701">
        <f>SUM(C24:Q24)</f>
        <v>13793.558767163022</v>
      </c>
      <c r="S24" s="67"/>
    </row>
    <row r="25" spans="1:19" s="474" customFormat="1" ht="15" thickBot="1">
      <c r="A25" s="832" t="s">
        <v>864</v>
      </c>
      <c r="B25" s="1028"/>
      <c r="C25" s="1029">
        <f>IF(Onbekend_ele_kWh="---",0,Onbekend_ele_kWh)/1000+IF(REST_rest_ele_kWh="---",0,REST_rest_ele_kWh)/1000</f>
        <v>1478.451</v>
      </c>
      <c r="D25" s="1029"/>
      <c r="E25" s="1029">
        <f>IF(onbekend_gas_kWh="---",0,onbekend_gas_kWh)/1000+IF(REST_rest_gas_kWh="---",0,REST_rest_gas_kWh)/1000</f>
        <v>4488.1945261818901</v>
      </c>
      <c r="F25" s="1029"/>
      <c r="G25" s="1029"/>
      <c r="H25" s="1029"/>
      <c r="I25" s="1029"/>
      <c r="J25" s="1029"/>
      <c r="K25" s="1029"/>
      <c r="L25" s="1029"/>
      <c r="M25" s="1029"/>
      <c r="N25" s="1029"/>
      <c r="O25" s="1029"/>
      <c r="P25" s="1029"/>
      <c r="Q25" s="1030"/>
      <c r="R25" s="701">
        <f>SUM(C25:Q25)</f>
        <v>5966.6455261818901</v>
      </c>
      <c r="S25" s="67"/>
    </row>
    <row r="26" spans="1:19" s="474" customFormat="1" ht="15.75" thickBot="1">
      <c r="A26" s="706" t="s">
        <v>865</v>
      </c>
      <c r="B26" s="818"/>
      <c r="C26" s="813">
        <f>SUM(C24:C25)</f>
        <v>3628.1331600000003</v>
      </c>
      <c r="D26" s="813">
        <f t="shared" ref="D26:R26" si="2">SUM(D24:D25)</f>
        <v>0</v>
      </c>
      <c r="E26" s="813">
        <f t="shared" si="2"/>
        <v>10328.436457207186</v>
      </c>
      <c r="F26" s="813">
        <f t="shared" si="2"/>
        <v>19.911256535572321</v>
      </c>
      <c r="G26" s="813">
        <f t="shared" si="2"/>
        <v>5454.1531539512298</v>
      </c>
      <c r="H26" s="813">
        <f t="shared" si="2"/>
        <v>0</v>
      </c>
      <c r="I26" s="813">
        <f t="shared" si="2"/>
        <v>0</v>
      </c>
      <c r="J26" s="813">
        <f t="shared" si="2"/>
        <v>0</v>
      </c>
      <c r="K26" s="813">
        <f t="shared" si="2"/>
        <v>329.57026565092428</v>
      </c>
      <c r="L26" s="813">
        <f t="shared" si="2"/>
        <v>0</v>
      </c>
      <c r="M26" s="813">
        <f t="shared" si="2"/>
        <v>0</v>
      </c>
      <c r="N26" s="813">
        <f t="shared" si="2"/>
        <v>0</v>
      </c>
      <c r="O26" s="813">
        <f t="shared" si="2"/>
        <v>0</v>
      </c>
      <c r="P26" s="813">
        <f t="shared" si="2"/>
        <v>0</v>
      </c>
      <c r="Q26" s="813">
        <f t="shared" si="2"/>
        <v>0</v>
      </c>
      <c r="R26" s="813">
        <f t="shared" si="2"/>
        <v>19760.204293344912</v>
      </c>
      <c r="S26" s="67"/>
    </row>
    <row r="27" spans="1:19" s="474" customFormat="1" ht="17.25" thickTop="1" thickBot="1">
      <c r="A27" s="707" t="s">
        <v>116</v>
      </c>
      <c r="B27" s="806"/>
      <c r="C27" s="708">
        <f ca="1">C22+C16+C26</f>
        <v>159336.82517361664</v>
      </c>
      <c r="D27" s="708">
        <f t="shared" ref="D27:R27" ca="1" si="3">D22+D16+D26</f>
        <v>0</v>
      </c>
      <c r="E27" s="708">
        <f t="shared" ca="1" si="3"/>
        <v>149734.64607422767</v>
      </c>
      <c r="F27" s="708">
        <f t="shared" si="3"/>
        <v>5265.6004155225992</v>
      </c>
      <c r="G27" s="708">
        <f t="shared" ca="1" si="3"/>
        <v>39825.10542199824</v>
      </c>
      <c r="H27" s="708">
        <f t="shared" si="3"/>
        <v>194700.73162652823</v>
      </c>
      <c r="I27" s="708">
        <f t="shared" si="3"/>
        <v>37143.876474742632</v>
      </c>
      <c r="J27" s="708">
        <f t="shared" si="3"/>
        <v>0</v>
      </c>
      <c r="K27" s="708">
        <f t="shared" si="3"/>
        <v>451.16923371963992</v>
      </c>
      <c r="L27" s="708">
        <f t="shared" si="3"/>
        <v>0</v>
      </c>
      <c r="M27" s="708">
        <f t="shared" ca="1" si="3"/>
        <v>0</v>
      </c>
      <c r="N27" s="708">
        <f t="shared" si="3"/>
        <v>12403.449421654381</v>
      </c>
      <c r="O27" s="708">
        <f t="shared" ca="1" si="3"/>
        <v>19405.345531888641</v>
      </c>
      <c r="P27" s="708">
        <f t="shared" si="3"/>
        <v>417.41</v>
      </c>
      <c r="Q27" s="708">
        <f t="shared" si="3"/>
        <v>800.80000000000007</v>
      </c>
      <c r="R27" s="708">
        <f t="shared" ca="1" si="3"/>
        <v>619484.95937389869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16785.091782899504</v>
      </c>
      <c r="D40" s="1025">
        <f ca="1">tertiair!C20</f>
        <v>0</v>
      </c>
      <c r="E40" s="1025">
        <f ca="1">tertiair!D20</f>
        <v>7809.5894833193615</v>
      </c>
      <c r="F40" s="1025">
        <f>tertiair!E20</f>
        <v>71.145256253360927</v>
      </c>
      <c r="G40" s="1025">
        <f ca="1">tertiair!F20</f>
        <v>2821.2406961569941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27487.067218629221</v>
      </c>
    </row>
    <row r="41" spans="1:18">
      <c r="A41" s="823" t="s">
        <v>225</v>
      </c>
      <c r="B41" s="830"/>
      <c r="C41" s="1025">
        <f ca="1">huishoudens!B12</f>
        <v>10234.541212042353</v>
      </c>
      <c r="D41" s="1025">
        <f ca="1">huishoudens!C12</f>
        <v>0</v>
      </c>
      <c r="E41" s="1025">
        <f>huishoudens!D12</f>
        <v>17853.620985780639</v>
      </c>
      <c r="F41" s="1025">
        <f>huishoudens!E12</f>
        <v>535.66972386942734</v>
      </c>
      <c r="G41" s="1025">
        <f>huishoudens!F12</f>
        <v>4011.9161074092044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32635.748029101625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6389.4347340708309</v>
      </c>
      <c r="D43" s="1025">
        <f ca="1">industrie!C22</f>
        <v>0</v>
      </c>
      <c r="E43" s="1025">
        <f>industrie!D22</f>
        <v>2477.2959690669509</v>
      </c>
      <c r="F43" s="1025">
        <f>industrie!E22</f>
        <v>430.18394865267101</v>
      </c>
      <c r="G43" s="1025">
        <f>industrie!F22</f>
        <v>2343.8874520023537</v>
      </c>
      <c r="H43" s="1025">
        <f>industrie!G22</f>
        <v>0</v>
      </c>
      <c r="I43" s="1025">
        <f>industrie!H22</f>
        <v>0</v>
      </c>
      <c r="J43" s="1025">
        <f>industrie!I22</f>
        <v>0</v>
      </c>
      <c r="K43" s="1025">
        <f>industrie!J22</f>
        <v>43.046034696325336</v>
      </c>
      <c r="L43" s="1025">
        <f>industrie!K22</f>
        <v>0</v>
      </c>
      <c r="M43" s="1025">
        <f>industrie!L22</f>
        <v>0</v>
      </c>
      <c r="N43" s="1025">
        <f>industrie!M22</f>
        <v>0</v>
      </c>
      <c r="O43" s="1025">
        <f>industrie!N22</f>
        <v>0</v>
      </c>
      <c r="P43" s="1025">
        <f>industrie!O22</f>
        <v>0</v>
      </c>
      <c r="Q43" s="775">
        <f>industrie!P22</f>
        <v>0</v>
      </c>
      <c r="R43" s="850">
        <f t="shared" ca="1" si="4"/>
        <v>11683.848138489133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33409.067729012691</v>
      </c>
      <c r="D46" s="733">
        <f t="shared" ref="D46:Q46" ca="1" si="5">SUM(D39:D45)</f>
        <v>0</v>
      </c>
      <c r="E46" s="733">
        <f t="shared" ca="1" si="5"/>
        <v>28140.506438166951</v>
      </c>
      <c r="F46" s="733">
        <f t="shared" si="5"/>
        <v>1036.9989287754593</v>
      </c>
      <c r="G46" s="733">
        <f t="shared" ca="1" si="5"/>
        <v>9177.0442555685513</v>
      </c>
      <c r="H46" s="733">
        <f t="shared" si="5"/>
        <v>0</v>
      </c>
      <c r="I46" s="733">
        <f t="shared" si="5"/>
        <v>0</v>
      </c>
      <c r="J46" s="733">
        <f t="shared" si="5"/>
        <v>0</v>
      </c>
      <c r="K46" s="733">
        <f t="shared" si="5"/>
        <v>43.046034696325336</v>
      </c>
      <c r="L46" s="733">
        <f t="shared" si="5"/>
        <v>0</v>
      </c>
      <c r="M46" s="733">
        <f t="shared" ca="1" si="5"/>
        <v>0</v>
      </c>
      <c r="N46" s="733">
        <f t="shared" si="5"/>
        <v>0</v>
      </c>
      <c r="O46" s="733">
        <f t="shared" ca="1" si="5"/>
        <v>0</v>
      </c>
      <c r="P46" s="733">
        <f t="shared" si="5"/>
        <v>0</v>
      </c>
      <c r="Q46" s="733">
        <f t="shared" si="5"/>
        <v>0</v>
      </c>
      <c r="R46" s="733">
        <f ca="1">SUM(R39:R45)</f>
        <v>71806.663386219981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825.32241908196409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825.32241908196409</v>
      </c>
    </row>
    <row r="50" spans="1:18">
      <c r="A50" s="826" t="s">
        <v>307</v>
      </c>
      <c r="B50" s="836"/>
      <c r="C50" s="704">
        <f ca="1">transport!B18</f>
        <v>7.5064703613698285</v>
      </c>
      <c r="D50" s="704">
        <f>transport!C18</f>
        <v>0</v>
      </c>
      <c r="E50" s="704">
        <f>transport!D18</f>
        <v>19.547904471183557</v>
      </c>
      <c r="F50" s="704">
        <f>transport!E18</f>
        <v>153.77251031459588</v>
      </c>
      <c r="G50" s="704">
        <f>transport!F18</f>
        <v>0</v>
      </c>
      <c r="H50" s="704">
        <f>transport!G18</f>
        <v>51159.772925201076</v>
      </c>
      <c r="I50" s="704">
        <f>transport!H18</f>
        <v>9248.8252422109163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60589.425052559141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7.5064703613698285</v>
      </c>
      <c r="D52" s="733">
        <f t="shared" ref="D52:Q52" ca="1" si="6">SUM(D48:D51)</f>
        <v>0</v>
      </c>
      <c r="E52" s="733">
        <f t="shared" si="6"/>
        <v>19.547904471183557</v>
      </c>
      <c r="F52" s="733">
        <f t="shared" si="6"/>
        <v>153.77251031459588</v>
      </c>
      <c r="G52" s="733">
        <f t="shared" si="6"/>
        <v>0</v>
      </c>
      <c r="H52" s="733">
        <f t="shared" si="6"/>
        <v>51985.095344283043</v>
      </c>
      <c r="I52" s="733">
        <f t="shared" si="6"/>
        <v>9248.8252422109163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61414.747471641109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461.34234688984969</v>
      </c>
      <c r="D54" s="704">
        <f ca="1">+landbouw!C12</f>
        <v>0</v>
      </c>
      <c r="E54" s="704">
        <f>+landbouw!D12</f>
        <v>1179.7288700671097</v>
      </c>
      <c r="F54" s="704">
        <f>+landbouw!E12</f>
        <v>4.5198552335749165</v>
      </c>
      <c r="G54" s="704">
        <f>+landbouw!F12</f>
        <v>1456.2588921049785</v>
      </c>
      <c r="H54" s="704">
        <f>+landbouw!G12</f>
        <v>0</v>
      </c>
      <c r="I54" s="704">
        <f>+landbouw!H12</f>
        <v>0</v>
      </c>
      <c r="J54" s="704">
        <f>+landbouw!I12</f>
        <v>0</v>
      </c>
      <c r="K54" s="704">
        <f>+landbouw!J12</f>
        <v>116.66787404042719</v>
      </c>
      <c r="L54" s="704">
        <f>+landbouw!K12</f>
        <v>0</v>
      </c>
      <c r="M54" s="704">
        <f>+landbouw!L12</f>
        <v>0</v>
      </c>
      <c r="N54" s="704">
        <f>+landbouw!M12</f>
        <v>0</v>
      </c>
      <c r="O54" s="704">
        <f>+landbouw!N12</f>
        <v>0</v>
      </c>
      <c r="P54" s="704">
        <f>+landbouw!O12</f>
        <v>0</v>
      </c>
      <c r="Q54" s="705">
        <f>+landbouw!P12</f>
        <v>0</v>
      </c>
      <c r="R54" s="732">
        <f ca="1">SUM(C54:Q54)</f>
        <v>3218.5178383359403</v>
      </c>
    </row>
    <row r="55" spans="1:18" ht="15" thickBot="1">
      <c r="A55" s="826" t="s">
        <v>864</v>
      </c>
      <c r="B55" s="836"/>
      <c r="C55" s="704">
        <f ca="1">C25*'EF ele_warmte'!B12</f>
        <v>317.28972161244764</v>
      </c>
      <c r="D55" s="704"/>
      <c r="E55" s="704">
        <f>E25*EF_CO2_aardgas</f>
        <v>906.61529428874189</v>
      </c>
      <c r="F55" s="704"/>
      <c r="G55" s="704"/>
      <c r="H55" s="704"/>
      <c r="I55" s="704"/>
      <c r="J55" s="704"/>
      <c r="K55" s="704"/>
      <c r="L55" s="704"/>
      <c r="M55" s="704"/>
      <c r="N55" s="704"/>
      <c r="O55" s="704"/>
      <c r="P55" s="704"/>
      <c r="Q55" s="705"/>
      <c r="R55" s="732">
        <f ca="1">SUM(C55:Q55)</f>
        <v>1223.9050159011895</v>
      </c>
    </row>
    <row r="56" spans="1:18" ht="15.75" thickBot="1">
      <c r="A56" s="824" t="s">
        <v>865</v>
      </c>
      <c r="B56" s="837"/>
      <c r="C56" s="733">
        <f ca="1">SUM(C54:C55)</f>
        <v>778.63206850229733</v>
      </c>
      <c r="D56" s="733">
        <f t="shared" ref="D56:Q56" ca="1" si="7">SUM(D54:D55)</f>
        <v>0</v>
      </c>
      <c r="E56" s="733">
        <f t="shared" si="7"/>
        <v>2086.3441643558517</v>
      </c>
      <c r="F56" s="733">
        <f t="shared" si="7"/>
        <v>4.5198552335749165</v>
      </c>
      <c r="G56" s="733">
        <f t="shared" si="7"/>
        <v>1456.2588921049785</v>
      </c>
      <c r="H56" s="733">
        <f t="shared" si="7"/>
        <v>0</v>
      </c>
      <c r="I56" s="733">
        <f t="shared" si="7"/>
        <v>0</v>
      </c>
      <c r="J56" s="733">
        <f t="shared" si="7"/>
        <v>0</v>
      </c>
      <c r="K56" s="733">
        <f t="shared" si="7"/>
        <v>116.66787404042719</v>
      </c>
      <c r="L56" s="733">
        <f t="shared" si="7"/>
        <v>0</v>
      </c>
      <c r="M56" s="733">
        <f t="shared" si="7"/>
        <v>0</v>
      </c>
      <c r="N56" s="733">
        <f t="shared" si="7"/>
        <v>0</v>
      </c>
      <c r="O56" s="733">
        <f t="shared" si="7"/>
        <v>0</v>
      </c>
      <c r="P56" s="733">
        <f t="shared" si="7"/>
        <v>0</v>
      </c>
      <c r="Q56" s="734">
        <f t="shared" si="7"/>
        <v>0</v>
      </c>
      <c r="R56" s="735">
        <f ca="1">SUM(R54:R55)</f>
        <v>4442.4228542371293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34195.206267876354</v>
      </c>
      <c r="D61" s="741">
        <f t="shared" ref="D61:Q61" ca="1" si="8">D46+D52+D56</f>
        <v>0</v>
      </c>
      <c r="E61" s="741">
        <f t="shared" ca="1" si="8"/>
        <v>30246.398506993984</v>
      </c>
      <c r="F61" s="741">
        <f t="shared" si="8"/>
        <v>1195.2912943236299</v>
      </c>
      <c r="G61" s="741">
        <f t="shared" ca="1" si="8"/>
        <v>10633.30314767353</v>
      </c>
      <c r="H61" s="741">
        <f t="shared" si="8"/>
        <v>51985.095344283043</v>
      </c>
      <c r="I61" s="741">
        <f t="shared" si="8"/>
        <v>9248.8252422109163</v>
      </c>
      <c r="J61" s="741">
        <f t="shared" si="8"/>
        <v>0</v>
      </c>
      <c r="K61" s="741">
        <f t="shared" si="8"/>
        <v>159.71390873675253</v>
      </c>
      <c r="L61" s="741">
        <f t="shared" si="8"/>
        <v>0</v>
      </c>
      <c r="M61" s="741">
        <f t="shared" ca="1" si="8"/>
        <v>0</v>
      </c>
      <c r="N61" s="741">
        <f t="shared" si="8"/>
        <v>0</v>
      </c>
      <c r="O61" s="741">
        <f t="shared" ca="1" si="8"/>
        <v>0</v>
      </c>
      <c r="P61" s="741">
        <f t="shared" si="8"/>
        <v>0</v>
      </c>
      <c r="Q61" s="741">
        <f t="shared" si="8"/>
        <v>0</v>
      </c>
      <c r="R61" s="741">
        <f ca="1">R46+R52+R56</f>
        <v>137663.83371209825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0.21460956204327883</v>
      </c>
      <c r="D63" s="782">
        <f t="shared" ca="1" si="9"/>
        <v>0</v>
      </c>
      <c r="E63" s="1036">
        <f t="shared" ca="1" si="9"/>
        <v>0.20199999999999996</v>
      </c>
      <c r="F63" s="782">
        <f t="shared" si="9"/>
        <v>0.22699999999999998</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4607.3850474792898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4607.3850474792898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4607.3850474792898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4607.3850474792898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47689.120254476009</v>
      </c>
      <c r="C4" s="478">
        <f>huishoudens!C8</f>
        <v>0</v>
      </c>
      <c r="D4" s="478">
        <f>huishoudens!D8</f>
        <v>88384.26230584475</v>
      </c>
      <c r="E4" s="478">
        <f>huishoudens!E8</f>
        <v>2359.7785192485785</v>
      </c>
      <c r="F4" s="478">
        <f>huishoudens!F8</f>
        <v>15025.90302400451</v>
      </c>
      <c r="G4" s="478">
        <f>huishoudens!G8</f>
        <v>0</v>
      </c>
      <c r="H4" s="478">
        <f>huishoudens!H8</f>
        <v>0</v>
      </c>
      <c r="I4" s="478">
        <f>huishoudens!I8</f>
        <v>0</v>
      </c>
      <c r="J4" s="478">
        <f>huishoudens!J8</f>
        <v>0</v>
      </c>
      <c r="K4" s="478">
        <f>huishoudens!K8</f>
        <v>0</v>
      </c>
      <c r="L4" s="478">
        <f>huishoudens!L8</f>
        <v>0</v>
      </c>
      <c r="M4" s="478">
        <f>huishoudens!M8</f>
        <v>0</v>
      </c>
      <c r="N4" s="478">
        <f>huishoudens!N8</f>
        <v>10500.037226735922</v>
      </c>
      <c r="O4" s="478">
        <f>huishoudens!O8</f>
        <v>408.03000000000003</v>
      </c>
      <c r="P4" s="479">
        <f>huishoudens!P8</f>
        <v>743.6</v>
      </c>
      <c r="Q4" s="480">
        <f>SUM(B4:P4)</f>
        <v>165110.73133030979</v>
      </c>
    </row>
    <row r="5" spans="1:17">
      <c r="A5" s="477" t="s">
        <v>156</v>
      </c>
      <c r="B5" s="478">
        <f ca="1">tertiair!B16</f>
        <v>76301.924999999988</v>
      </c>
      <c r="C5" s="478">
        <f ca="1">tertiair!C16</f>
        <v>0</v>
      </c>
      <c r="D5" s="478">
        <f ca="1">tertiair!D16</f>
        <v>38661.334075838422</v>
      </c>
      <c r="E5" s="478">
        <f>tertiair!E16</f>
        <v>313.41522578573097</v>
      </c>
      <c r="F5" s="478">
        <f ca="1">tertiair!F16</f>
        <v>10566.444554895108</v>
      </c>
      <c r="G5" s="478">
        <f>tertiair!G16</f>
        <v>0</v>
      </c>
      <c r="H5" s="478">
        <f>tertiair!H16</f>
        <v>0</v>
      </c>
      <c r="I5" s="478">
        <f>tertiair!I16</f>
        <v>0</v>
      </c>
      <c r="J5" s="478">
        <f>tertiair!J16</f>
        <v>0</v>
      </c>
      <c r="K5" s="478">
        <f>tertiair!K16</f>
        <v>0</v>
      </c>
      <c r="L5" s="478">
        <f ca="1">tertiair!L16</f>
        <v>0</v>
      </c>
      <c r="M5" s="478">
        <f>tertiair!M16</f>
        <v>0</v>
      </c>
      <c r="N5" s="478">
        <f ca="1">tertiair!N16</f>
        <v>2860.5881317636963</v>
      </c>
      <c r="O5" s="478">
        <f>tertiair!O16</f>
        <v>9.3800000000000008</v>
      </c>
      <c r="P5" s="479">
        <f>tertiair!P16</f>
        <v>57.2</v>
      </c>
      <c r="Q5" s="477">
        <f t="shared" ref="Q5:Q14" ca="1" si="0">SUM(B5:P5)</f>
        <v>128770.28698828294</v>
      </c>
    </row>
    <row r="6" spans="1:17">
      <c r="A6" s="477" t="s">
        <v>194</v>
      </c>
      <c r="B6" s="478">
        <f>'openbare verlichting'!B8</f>
        <v>1910.3019999999999</v>
      </c>
      <c r="C6" s="478"/>
      <c r="D6" s="478"/>
      <c r="E6" s="478"/>
      <c r="F6" s="478"/>
      <c r="G6" s="478"/>
      <c r="H6" s="478"/>
      <c r="I6" s="478"/>
      <c r="J6" s="478"/>
      <c r="K6" s="478"/>
      <c r="L6" s="478"/>
      <c r="M6" s="478"/>
      <c r="N6" s="478"/>
      <c r="O6" s="478"/>
      <c r="P6" s="479"/>
      <c r="Q6" s="477">
        <f t="shared" si="0"/>
        <v>1910.3019999999999</v>
      </c>
    </row>
    <row r="7" spans="1:17">
      <c r="A7" s="477" t="s">
        <v>112</v>
      </c>
      <c r="B7" s="478">
        <f>landbouw!B8</f>
        <v>2149.6821600000003</v>
      </c>
      <c r="C7" s="478">
        <f>landbouw!C8</f>
        <v>0</v>
      </c>
      <c r="D7" s="478">
        <f>landbouw!D8</f>
        <v>5840.2419310252953</v>
      </c>
      <c r="E7" s="478">
        <f>landbouw!E8</f>
        <v>19.911256535572321</v>
      </c>
      <c r="F7" s="478">
        <f>landbouw!F8</f>
        <v>5454.1531539512298</v>
      </c>
      <c r="G7" s="478">
        <f>landbouw!G8</f>
        <v>0</v>
      </c>
      <c r="H7" s="478">
        <f>landbouw!H8</f>
        <v>0</v>
      </c>
      <c r="I7" s="478">
        <f>landbouw!I8</f>
        <v>0</v>
      </c>
      <c r="J7" s="478">
        <f>landbouw!J8</f>
        <v>329.57026565092428</v>
      </c>
      <c r="K7" s="478">
        <f>landbouw!K8</f>
        <v>0</v>
      </c>
      <c r="L7" s="478">
        <f>landbouw!L8</f>
        <v>0</v>
      </c>
      <c r="M7" s="478">
        <f>landbouw!M8</f>
        <v>0</v>
      </c>
      <c r="N7" s="478">
        <f>landbouw!N8</f>
        <v>0</v>
      </c>
      <c r="O7" s="478">
        <f>landbouw!O8</f>
        <v>0</v>
      </c>
      <c r="P7" s="479">
        <f>landbouw!P8</f>
        <v>0</v>
      </c>
      <c r="Q7" s="477">
        <f t="shared" si="0"/>
        <v>13793.558767163022</v>
      </c>
    </row>
    <row r="8" spans="1:17">
      <c r="A8" s="477" t="s">
        <v>650</v>
      </c>
      <c r="B8" s="478">
        <f>industrie!B18</f>
        <v>29772.367425</v>
      </c>
      <c r="C8" s="478">
        <f>industrie!C18</f>
        <v>0</v>
      </c>
      <c r="D8" s="478">
        <f>industrie!D18</f>
        <v>12263.841431024508</v>
      </c>
      <c r="E8" s="478">
        <f>industrie!E18</f>
        <v>1895.0834742408413</v>
      </c>
      <c r="F8" s="478">
        <f>industrie!F18</f>
        <v>8778.6046891473925</v>
      </c>
      <c r="G8" s="478">
        <f>industrie!G18</f>
        <v>0</v>
      </c>
      <c r="H8" s="478">
        <f>industrie!H18</f>
        <v>0</v>
      </c>
      <c r="I8" s="478">
        <f>industrie!I18</f>
        <v>0</v>
      </c>
      <c r="J8" s="478">
        <f>industrie!J18</f>
        <v>121.59896806871564</v>
      </c>
      <c r="K8" s="478">
        <f>industrie!K18</f>
        <v>0</v>
      </c>
      <c r="L8" s="478">
        <f>industrie!L18</f>
        <v>0</v>
      </c>
      <c r="M8" s="478">
        <f>industrie!M18</f>
        <v>0</v>
      </c>
      <c r="N8" s="478">
        <f>industrie!N18</f>
        <v>6044.7201733890215</v>
      </c>
      <c r="O8" s="478">
        <f>industrie!O18</f>
        <v>0</v>
      </c>
      <c r="P8" s="479">
        <f>industrie!P18</f>
        <v>0</v>
      </c>
      <c r="Q8" s="477">
        <f t="shared" si="0"/>
        <v>58876.216160870477</v>
      </c>
    </row>
    <row r="9" spans="1:17" s="483" customFormat="1">
      <c r="A9" s="481" t="s">
        <v>571</v>
      </c>
      <c r="B9" s="482">
        <f>transport!B14</f>
        <v>34.977334140666343</v>
      </c>
      <c r="C9" s="482">
        <f>transport!C14</f>
        <v>0</v>
      </c>
      <c r="D9" s="482">
        <f>transport!D14</f>
        <v>96.771804312789882</v>
      </c>
      <c r="E9" s="482">
        <f>transport!E14</f>
        <v>677.41193971187613</v>
      </c>
      <c r="F9" s="482">
        <f>transport!F14</f>
        <v>0</v>
      </c>
      <c r="G9" s="482">
        <f>transport!G14</f>
        <v>191609.63642397407</v>
      </c>
      <c r="H9" s="482">
        <f>transport!H14</f>
        <v>37143.876474742632</v>
      </c>
      <c r="I9" s="482">
        <f>transport!I14</f>
        <v>0</v>
      </c>
      <c r="J9" s="482">
        <f>transport!J14</f>
        <v>0</v>
      </c>
      <c r="K9" s="482">
        <f>transport!K14</f>
        <v>0</v>
      </c>
      <c r="L9" s="482">
        <f>transport!L14</f>
        <v>0</v>
      </c>
      <c r="M9" s="482">
        <f>transport!M14</f>
        <v>12227.173273282006</v>
      </c>
      <c r="N9" s="482">
        <f>transport!N14</f>
        <v>0</v>
      </c>
      <c r="O9" s="482">
        <f>transport!O14</f>
        <v>0</v>
      </c>
      <c r="P9" s="482">
        <f>transport!P14</f>
        <v>0</v>
      </c>
      <c r="Q9" s="481">
        <f>SUM(B9:P9)</f>
        <v>241789.84725016405</v>
      </c>
    </row>
    <row r="10" spans="1:17">
      <c r="A10" s="477" t="s">
        <v>561</v>
      </c>
      <c r="B10" s="478">
        <f>transport!B54</f>
        <v>0</v>
      </c>
      <c r="C10" s="478">
        <f>transport!C54</f>
        <v>0</v>
      </c>
      <c r="D10" s="478">
        <f>transport!D54</f>
        <v>0</v>
      </c>
      <c r="E10" s="478">
        <f>transport!E54</f>
        <v>0</v>
      </c>
      <c r="F10" s="478">
        <f>transport!F54</f>
        <v>0</v>
      </c>
      <c r="G10" s="478">
        <f>transport!G54</f>
        <v>3091.0952025541724</v>
      </c>
      <c r="H10" s="478">
        <f>transport!H54</f>
        <v>0</v>
      </c>
      <c r="I10" s="478">
        <f>transport!I54</f>
        <v>0</v>
      </c>
      <c r="J10" s="478">
        <f>transport!J54</f>
        <v>0</v>
      </c>
      <c r="K10" s="478">
        <f>transport!K54</f>
        <v>0</v>
      </c>
      <c r="L10" s="478">
        <f>transport!L54</f>
        <v>0</v>
      </c>
      <c r="M10" s="478">
        <f>transport!M54</f>
        <v>176.27614837237547</v>
      </c>
      <c r="N10" s="478">
        <f>transport!N54</f>
        <v>0</v>
      </c>
      <c r="O10" s="478">
        <f>transport!O54</f>
        <v>0</v>
      </c>
      <c r="P10" s="479">
        <f>transport!P54</f>
        <v>0</v>
      </c>
      <c r="Q10" s="477">
        <f t="shared" si="0"/>
        <v>3267.3713509265481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1478.451</v>
      </c>
      <c r="C14" s="485"/>
      <c r="D14" s="485">
        <f>'SEAP template'!E25</f>
        <v>4488.1945261818901</v>
      </c>
      <c r="E14" s="485"/>
      <c r="F14" s="485"/>
      <c r="G14" s="485"/>
      <c r="H14" s="485"/>
      <c r="I14" s="485"/>
      <c r="J14" s="485"/>
      <c r="K14" s="485"/>
      <c r="L14" s="485"/>
      <c r="M14" s="485"/>
      <c r="N14" s="485"/>
      <c r="O14" s="485"/>
      <c r="P14" s="486"/>
      <c r="Q14" s="477">
        <f t="shared" si="0"/>
        <v>5966.6455261818901</v>
      </c>
    </row>
    <row r="15" spans="1:17" s="487" customFormat="1">
      <c r="A15" s="1051" t="s">
        <v>565</v>
      </c>
      <c r="B15" s="991">
        <f ca="1">SUM(B4:B14)</f>
        <v>159336.82517361664</v>
      </c>
      <c r="C15" s="991">
        <f t="shared" ref="C15:Q15" ca="1" si="1">SUM(C4:C14)</f>
        <v>0</v>
      </c>
      <c r="D15" s="991">
        <f t="shared" ca="1" si="1"/>
        <v>149734.64607422764</v>
      </c>
      <c r="E15" s="991">
        <f t="shared" si="1"/>
        <v>5265.6004155225983</v>
      </c>
      <c r="F15" s="991">
        <f t="shared" ca="1" si="1"/>
        <v>39825.10542199824</v>
      </c>
      <c r="G15" s="991">
        <f t="shared" si="1"/>
        <v>194700.73162652823</v>
      </c>
      <c r="H15" s="991">
        <f t="shared" si="1"/>
        <v>37143.876474742632</v>
      </c>
      <c r="I15" s="991">
        <f t="shared" si="1"/>
        <v>0</v>
      </c>
      <c r="J15" s="991">
        <f t="shared" si="1"/>
        <v>451.16923371963992</v>
      </c>
      <c r="K15" s="991">
        <f t="shared" si="1"/>
        <v>0</v>
      </c>
      <c r="L15" s="991">
        <f t="shared" ca="1" si="1"/>
        <v>0</v>
      </c>
      <c r="M15" s="991">
        <f t="shared" si="1"/>
        <v>12403.449421654381</v>
      </c>
      <c r="N15" s="991">
        <f t="shared" ca="1" si="1"/>
        <v>19405.345531888641</v>
      </c>
      <c r="O15" s="991">
        <f t="shared" si="1"/>
        <v>417.41</v>
      </c>
      <c r="P15" s="991">
        <f t="shared" si="1"/>
        <v>800.80000000000007</v>
      </c>
      <c r="Q15" s="991">
        <f t="shared" ca="1" si="1"/>
        <v>619484.9593738988</v>
      </c>
    </row>
    <row r="17" spans="1:17">
      <c r="A17" s="488" t="s">
        <v>566</v>
      </c>
      <c r="B17" s="787">
        <f ca="1">huishoudens!B10</f>
        <v>0.21460956204327883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10234.541212042353</v>
      </c>
      <c r="C22" s="478">
        <f t="shared" ref="C22:C32" ca="1" si="3">C4*$C$17</f>
        <v>0</v>
      </c>
      <c r="D22" s="478">
        <f t="shared" ref="D22:D32" si="4">D4*$D$17</f>
        <v>17853.620985780639</v>
      </c>
      <c r="E22" s="478">
        <f t="shared" ref="E22:E32" si="5">E4*$E$17</f>
        <v>535.66972386942734</v>
      </c>
      <c r="F22" s="478">
        <f t="shared" ref="F22:F32" si="6">F4*$F$17</f>
        <v>4011.9161074092044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32635.748029101625</v>
      </c>
    </row>
    <row r="23" spans="1:17">
      <c r="A23" s="477" t="s">
        <v>156</v>
      </c>
      <c r="B23" s="478">
        <f t="shared" ca="1" si="2"/>
        <v>16375.122707309105</v>
      </c>
      <c r="C23" s="478">
        <f t="shared" ca="1" si="3"/>
        <v>0</v>
      </c>
      <c r="D23" s="478">
        <f t="shared" ca="1" si="4"/>
        <v>7809.5894833193615</v>
      </c>
      <c r="E23" s="478">
        <f t="shared" si="5"/>
        <v>71.145256253360927</v>
      </c>
      <c r="F23" s="478">
        <f t="shared" ca="1" si="6"/>
        <v>2821.2406961569941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27077.09814303882</v>
      </c>
    </row>
    <row r="24" spans="1:17">
      <c r="A24" s="477" t="s">
        <v>194</v>
      </c>
      <c r="B24" s="478">
        <f t="shared" ca="1" si="2"/>
        <v>409.9690755903996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409.9690755903996</v>
      </c>
    </row>
    <row r="25" spans="1:17">
      <c r="A25" s="477" t="s">
        <v>112</v>
      </c>
      <c r="B25" s="478">
        <f t="shared" ca="1" si="2"/>
        <v>461.34234688984969</v>
      </c>
      <c r="C25" s="478">
        <f t="shared" ca="1" si="3"/>
        <v>0</v>
      </c>
      <c r="D25" s="478">
        <f t="shared" si="4"/>
        <v>1179.7288700671097</v>
      </c>
      <c r="E25" s="478">
        <f t="shared" si="5"/>
        <v>4.5198552335749165</v>
      </c>
      <c r="F25" s="478">
        <f t="shared" si="6"/>
        <v>1456.2588921049785</v>
      </c>
      <c r="G25" s="478">
        <f t="shared" si="7"/>
        <v>0</v>
      </c>
      <c r="H25" s="478">
        <f t="shared" si="8"/>
        <v>0</v>
      </c>
      <c r="I25" s="478">
        <f t="shared" si="9"/>
        <v>0</v>
      </c>
      <c r="J25" s="478">
        <f t="shared" si="10"/>
        <v>116.66787404042719</v>
      </c>
      <c r="K25" s="478">
        <f t="shared" si="11"/>
        <v>0</v>
      </c>
      <c r="L25" s="478">
        <f t="shared" si="12"/>
        <v>0</v>
      </c>
      <c r="M25" s="478">
        <f t="shared" si="13"/>
        <v>0</v>
      </c>
      <c r="N25" s="478">
        <f t="shared" si="14"/>
        <v>0</v>
      </c>
      <c r="O25" s="478">
        <f t="shared" si="15"/>
        <v>0</v>
      </c>
      <c r="P25" s="479">
        <f t="shared" si="16"/>
        <v>0</v>
      </c>
      <c r="Q25" s="477">
        <f t="shared" ca="1" si="17"/>
        <v>3218.5178383359403</v>
      </c>
    </row>
    <row r="26" spans="1:17">
      <c r="A26" s="477" t="s">
        <v>650</v>
      </c>
      <c r="B26" s="478">
        <f t="shared" ca="1" si="2"/>
        <v>6389.4347340708309</v>
      </c>
      <c r="C26" s="478">
        <f t="shared" ca="1" si="3"/>
        <v>0</v>
      </c>
      <c r="D26" s="478">
        <f t="shared" si="4"/>
        <v>2477.2959690669509</v>
      </c>
      <c r="E26" s="478">
        <f t="shared" si="5"/>
        <v>430.18394865267101</v>
      </c>
      <c r="F26" s="478">
        <f t="shared" si="6"/>
        <v>2343.8874520023537</v>
      </c>
      <c r="G26" s="478">
        <f t="shared" si="7"/>
        <v>0</v>
      </c>
      <c r="H26" s="478">
        <f t="shared" si="8"/>
        <v>0</v>
      </c>
      <c r="I26" s="478">
        <f t="shared" si="9"/>
        <v>0</v>
      </c>
      <c r="J26" s="478">
        <f t="shared" si="10"/>
        <v>43.046034696325336</v>
      </c>
      <c r="K26" s="478">
        <f t="shared" si="11"/>
        <v>0</v>
      </c>
      <c r="L26" s="478">
        <f t="shared" si="12"/>
        <v>0</v>
      </c>
      <c r="M26" s="478">
        <f t="shared" si="13"/>
        <v>0</v>
      </c>
      <c r="N26" s="478">
        <f t="shared" si="14"/>
        <v>0</v>
      </c>
      <c r="O26" s="478">
        <f t="shared" si="15"/>
        <v>0</v>
      </c>
      <c r="P26" s="479">
        <f t="shared" si="16"/>
        <v>0</v>
      </c>
      <c r="Q26" s="477">
        <f t="shared" ca="1" si="17"/>
        <v>11683.848138489133</v>
      </c>
    </row>
    <row r="27" spans="1:17" s="483" customFormat="1">
      <c r="A27" s="481" t="s">
        <v>571</v>
      </c>
      <c r="B27" s="781">
        <f t="shared" ca="1" si="2"/>
        <v>7.5064703613698285</v>
      </c>
      <c r="C27" s="482">
        <f t="shared" ca="1" si="3"/>
        <v>0</v>
      </c>
      <c r="D27" s="482">
        <f t="shared" si="4"/>
        <v>19.547904471183557</v>
      </c>
      <c r="E27" s="482">
        <f t="shared" si="5"/>
        <v>153.77251031459588</v>
      </c>
      <c r="F27" s="482">
        <f t="shared" si="6"/>
        <v>0</v>
      </c>
      <c r="G27" s="482">
        <f t="shared" si="7"/>
        <v>51159.772925201076</v>
      </c>
      <c r="H27" s="482">
        <f t="shared" si="8"/>
        <v>9248.8252422109163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60589.425052559141</v>
      </c>
    </row>
    <row r="28" spans="1:17">
      <c r="A28" s="477" t="s">
        <v>561</v>
      </c>
      <c r="B28" s="478">
        <f t="shared" ca="1" si="2"/>
        <v>0</v>
      </c>
      <c r="C28" s="478">
        <f t="shared" ca="1" si="3"/>
        <v>0</v>
      </c>
      <c r="D28" s="478">
        <f t="shared" si="4"/>
        <v>0</v>
      </c>
      <c r="E28" s="478">
        <f t="shared" si="5"/>
        <v>0</v>
      </c>
      <c r="F28" s="478">
        <f t="shared" si="6"/>
        <v>0</v>
      </c>
      <c r="G28" s="478">
        <f t="shared" si="7"/>
        <v>825.32241908196409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825.32241908196409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317.28972161244764</v>
      </c>
      <c r="C32" s="478">
        <f t="shared" ca="1" si="3"/>
        <v>0</v>
      </c>
      <c r="D32" s="478">
        <f t="shared" si="4"/>
        <v>906.61529428874189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1223.9050159011895</v>
      </c>
    </row>
    <row r="33" spans="1:17" s="487" customFormat="1">
      <c r="A33" s="1051" t="s">
        <v>565</v>
      </c>
      <c r="B33" s="991">
        <f ca="1">SUM(B22:B32)</f>
        <v>34195.206267876354</v>
      </c>
      <c r="C33" s="991">
        <f t="shared" ref="C33:Q33" ca="1" si="18">SUM(C22:C32)</f>
        <v>0</v>
      </c>
      <c r="D33" s="991">
        <f t="shared" ca="1" si="18"/>
        <v>30246.398506993984</v>
      </c>
      <c r="E33" s="991">
        <f t="shared" si="18"/>
        <v>1195.2912943236302</v>
      </c>
      <c r="F33" s="991">
        <f t="shared" ca="1" si="18"/>
        <v>10633.30314767353</v>
      </c>
      <c r="G33" s="991">
        <f t="shared" si="18"/>
        <v>51985.095344283043</v>
      </c>
      <c r="H33" s="991">
        <f t="shared" si="18"/>
        <v>9248.8252422109163</v>
      </c>
      <c r="I33" s="991">
        <f t="shared" si="18"/>
        <v>0</v>
      </c>
      <c r="J33" s="991">
        <f t="shared" si="18"/>
        <v>159.71390873675253</v>
      </c>
      <c r="K33" s="991">
        <f t="shared" si="18"/>
        <v>0</v>
      </c>
      <c r="L33" s="991">
        <f t="shared" ca="1" si="18"/>
        <v>0</v>
      </c>
      <c r="M33" s="991">
        <f t="shared" si="18"/>
        <v>0</v>
      </c>
      <c r="N33" s="991">
        <f t="shared" ca="1" si="18"/>
        <v>0</v>
      </c>
      <c r="O33" s="991">
        <f t="shared" si="18"/>
        <v>0</v>
      </c>
      <c r="P33" s="991">
        <f t="shared" si="18"/>
        <v>0</v>
      </c>
      <c r="Q33" s="991">
        <f t="shared" ca="1" si="18"/>
        <v>137663.83371209822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4607.3850474792898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4607.3850474792898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0.21460956204327883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0.21460956204327883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2019-08-12T08:09:46Z</dcterms:modified>
</cp:coreProperties>
</file>