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R44"/>
  <c r="E25"/>
  <c r="E55" s="1"/>
  <c r="C25"/>
  <c r="B14" i="48" s="1"/>
  <c r="Q26" i="14"/>
  <c r="L26"/>
  <c r="J26"/>
  <c r="I26"/>
  <c r="H26"/>
  <c r="K22"/>
  <c r="G22"/>
  <c r="R12"/>
  <c r="N78" l="1"/>
  <c r="N9" i="59"/>
  <c r="H90" i="14"/>
  <c r="H18" i="59"/>
  <c r="H20"/>
  <c r="P22" i="14"/>
  <c r="E20" i="59"/>
  <c r="L10" i="18"/>
  <c r="D20"/>
  <c r="L78" i="14"/>
  <c r="D14" i="48"/>
  <c r="K10" i="18"/>
  <c r="K78" i="14"/>
  <c r="B17" i="18"/>
  <c r="B20" s="1"/>
  <c r="H9"/>
  <c r="M77" i="14" s="1"/>
  <c r="L90"/>
  <c r="L18" i="59"/>
  <c r="O10"/>
  <c r="N10"/>
  <c r="C98" i="18"/>
  <c r="G101" s="1"/>
  <c r="I8" s="1"/>
  <c r="Q22" i="14"/>
  <c r="G10" i="59"/>
  <c r="L10"/>
  <c r="D22" i="14"/>
  <c r="L22"/>
  <c r="E10" i="59"/>
  <c r="L20"/>
  <c r="B8" i="18"/>
  <c r="B10" s="1"/>
  <c r="F13" i="15"/>
  <c r="G77" i="14"/>
  <c r="G9" i="59" s="1"/>
  <c r="I77" i="14"/>
  <c r="I9" i="59" s="1"/>
  <c r="B13" i="15"/>
  <c r="N13"/>
  <c r="L13"/>
  <c r="F77" i="14"/>
  <c r="F9" i="59" s="1"/>
  <c r="E101" i="18"/>
  <c r="E8" s="1"/>
  <c r="F101"/>
  <c r="H101"/>
  <c r="D101"/>
  <c r="C101"/>
  <c r="B101"/>
  <c r="C8" s="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M9" i="59" l="1"/>
  <c r="Q77" i="14"/>
  <c r="P9" i="59" s="1"/>
  <c r="H78" i="14"/>
  <c r="H9" i="59"/>
  <c r="H10" s="1"/>
  <c r="Q89" i="14"/>
  <c r="P19" i="59" s="1"/>
  <c r="O9" i="18"/>
  <c r="I101"/>
  <c r="H8" s="1"/>
  <c r="M76" i="14" s="1"/>
  <c r="Q14" i="48"/>
  <c r="O90" i="14"/>
  <c r="O18" i="59"/>
  <c r="O20" s="1"/>
  <c r="N90" i="14"/>
  <c r="N18" i="59"/>
  <c r="N20" s="1"/>
  <c r="B89" i="14"/>
  <c r="B19" i="59" s="1"/>
  <c r="J17" i="18"/>
  <c r="C77" i="14"/>
  <c r="C9" i="59" s="1"/>
  <c r="J87" i="14"/>
  <c r="J20" i="18"/>
  <c r="H20"/>
  <c r="M87" i="14"/>
  <c r="F76"/>
  <c r="E10" i="18"/>
  <c r="C20"/>
  <c r="D87" i="14"/>
  <c r="D17" i="59" s="1"/>
  <c r="D20" s="1"/>
  <c r="B88" i="14"/>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H10" i="18"/>
  <c r="F78" i="14"/>
  <c r="F8" i="59"/>
  <c r="F10" s="1"/>
  <c r="I10" i="14"/>
  <c r="I16" s="1"/>
  <c r="H5" i="48"/>
  <c r="F90" i="14"/>
  <c r="F17" i="59"/>
  <c r="F20" s="1"/>
  <c r="H10" i="14"/>
  <c r="H16" s="1"/>
  <c r="G5" i="48"/>
  <c r="Q76" i="14"/>
  <c r="D78"/>
  <c r="I78"/>
  <c r="B76"/>
  <c r="J10" i="18"/>
  <c r="J76" i="14"/>
  <c r="I87"/>
  <c r="I17" i="59" s="1"/>
  <c r="I20" s="1"/>
  <c r="I20" i="18"/>
  <c r="Q87" i="14"/>
  <c r="D90"/>
  <c r="C87"/>
  <c r="A31" i="23"/>
  <c r="A32"/>
  <c r="A33"/>
  <c r="Q78" i="14" l="1"/>
  <c r="B9" i="6" s="1"/>
  <c r="P8" i="59"/>
  <c r="P10" s="1"/>
  <c r="C90" i="14"/>
  <c r="C17" i="59"/>
  <c r="C20" s="1"/>
  <c r="B78" i="14"/>
  <c r="B8" i="59"/>
  <c r="B10" s="1"/>
  <c r="Q90" i="14"/>
  <c r="B17" i="6" s="1"/>
  <c r="P17" i="59"/>
  <c r="P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27"/>
  <c r="J32"/>
  <c r="J30"/>
  <c r="J29"/>
  <c r="J28"/>
  <c r="J31"/>
  <c r="P11" i="14"/>
  <c r="O4" i="48"/>
  <c r="D4"/>
  <c r="D22" s="1"/>
  <c r="E11" i="14"/>
  <c r="H32" i="48"/>
  <c r="H29"/>
  <c r="H28"/>
  <c r="H26"/>
  <c r="H24"/>
  <c r="H25"/>
  <c r="H22"/>
  <c r="H30"/>
  <c r="H23"/>
  <c r="D11" i="14"/>
  <c r="C4" i="48"/>
  <c r="G30"/>
  <c r="G25"/>
  <c r="G32"/>
  <c r="G22"/>
  <c r="G26"/>
  <c r="G24"/>
  <c r="G29"/>
  <c r="G23"/>
  <c r="N46" i="14"/>
  <c r="K28" i="48"/>
  <c r="K32"/>
  <c r="K31"/>
  <c r="K24"/>
  <c r="K25"/>
  <c r="K29"/>
  <c r="K26"/>
  <c r="K22"/>
  <c r="K27"/>
  <c r="K30"/>
  <c r="B7"/>
  <c r="C24" i="14"/>
  <c r="C26" s="1"/>
  <c r="Q11"/>
  <c r="P4" i="48"/>
  <c r="I31"/>
  <c r="I32"/>
  <c r="I28"/>
  <c r="I22"/>
  <c r="I26"/>
  <c r="I25"/>
  <c r="I29"/>
  <c r="I24"/>
  <c r="I30"/>
  <c r="I27"/>
  <c r="C11" i="14"/>
  <c r="B4" i="48"/>
  <c r="F24"/>
  <c r="F32"/>
  <c r="F29"/>
  <c r="F31"/>
  <c r="F30"/>
  <c r="F27"/>
  <c r="F28"/>
  <c r="N31"/>
  <c r="N29"/>
  <c r="N24"/>
  <c r="N32"/>
  <c r="N30"/>
  <c r="N28"/>
  <c r="N27"/>
  <c r="C19" i="14"/>
  <c r="B10" i="48"/>
  <c r="E32"/>
  <c r="E28"/>
  <c r="E31"/>
  <c r="E24"/>
  <c r="E29"/>
  <c r="E30"/>
  <c r="M26"/>
  <c r="M32"/>
  <c r="M25"/>
  <c r="M22"/>
  <c r="M24"/>
  <c r="M30"/>
  <c r="M29"/>
  <c r="M23"/>
  <c r="L10" i="14"/>
  <c r="L16" s="1"/>
  <c r="L27" s="1"/>
  <c r="K5" i="48"/>
  <c r="D30"/>
  <c r="D28"/>
  <c r="D31"/>
  <c r="D24"/>
  <c r="D29"/>
  <c r="D32"/>
  <c r="L27"/>
  <c r="L32"/>
  <c r="L28"/>
  <c r="L31"/>
  <c r="L22"/>
  <c r="L29"/>
  <c r="L24"/>
  <c r="L30"/>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G13"/>
  <c r="H18" i="14"/>
  <c r="R18" s="1"/>
  <c r="H13" i="48"/>
  <c r="H31" s="1"/>
  <c r="I18" i="14"/>
  <c r="P22" i="16"/>
  <c r="Q43" i="14" s="1"/>
  <c r="Q13"/>
  <c r="P8" i="48"/>
  <c r="P26" s="1"/>
  <c r="J10" i="14"/>
  <c r="J16" s="1"/>
  <c r="J27" s="1"/>
  <c r="J63" s="1"/>
  <c r="I5" i="48"/>
  <c r="K23"/>
  <c r="K15"/>
  <c r="F20" i="14"/>
  <c r="F22" s="1"/>
  <c r="E9" i="48"/>
  <c r="E27" s="1"/>
  <c r="K33"/>
  <c r="Q16" i="14"/>
  <c r="Q27" s="1"/>
  <c r="E20"/>
  <c r="E22" s="1"/>
  <c r="D9" i="48"/>
  <c r="D27" s="1"/>
  <c r="P10" i="14"/>
  <c r="O5" i="48"/>
  <c r="O23" s="1"/>
  <c r="J7"/>
  <c r="J25" s="1"/>
  <c r="K24" i="14"/>
  <c r="K26" s="1"/>
  <c r="C20"/>
  <c r="B9" i="48"/>
  <c r="G11" i="14"/>
  <c r="F4" i="48"/>
  <c r="F22" s="1"/>
  <c r="P22"/>
  <c r="P15"/>
  <c r="L63" i="14"/>
  <c r="D10"/>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19" i="14"/>
  <c r="R19" s="1"/>
  <c r="G10" i="48"/>
  <c r="E12" i="13"/>
  <c r="F41" i="14" s="1"/>
  <c r="F11"/>
  <c r="E4" i="48"/>
  <c r="I23"/>
  <c r="I33" s="1"/>
  <c r="I15"/>
  <c r="Q13"/>
  <c r="G31"/>
  <c r="E7"/>
  <c r="E25" s="1"/>
  <c r="F24" i="14"/>
  <c r="F26" s="1"/>
  <c r="M9" i="48"/>
  <c r="N20" i="14"/>
  <c r="N19"/>
  <c r="M10" i="48"/>
  <c r="M28" s="1"/>
  <c r="O22" i="16"/>
  <c r="P43" i="14" s="1"/>
  <c r="P46" s="1"/>
  <c r="P61" s="1"/>
  <c r="P13"/>
  <c r="P16" s="1"/>
  <c r="P27" s="1"/>
  <c r="O8" i="48"/>
  <c r="O26" s="1"/>
  <c r="O33" s="1"/>
  <c r="C22" i="14"/>
  <c r="Q63"/>
  <c r="G14" i="22"/>
  <c r="P33" i="48"/>
  <c r="N22" i="14"/>
  <c r="N27" s="1"/>
  <c r="K11"/>
  <c r="J4" i="48"/>
  <c r="O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F10"/>
  <c r="E5" i="48"/>
  <c r="E23" s="1"/>
  <c r="G28"/>
  <c r="Q10"/>
  <c r="J5"/>
  <c r="J23" s="1"/>
  <c r="K10" i="14"/>
  <c r="H9" i="48"/>
  <c r="I20" i="14"/>
  <c r="I22" s="1"/>
  <c r="I27" s="1"/>
  <c r="J22" i="48"/>
  <c r="G9"/>
  <c r="H20" i="14"/>
  <c r="M27" i="48"/>
  <c r="M33" s="1"/>
  <c r="M15"/>
  <c r="E22"/>
  <c r="Q4"/>
  <c r="R11" i="14"/>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46" s="1"/>
  <c r="K61" s="1"/>
  <c r="K63" s="1"/>
  <c r="J8" i="48"/>
  <c r="K13" i="14"/>
  <c r="K16" s="1"/>
  <c r="K27" s="1"/>
  <c r="G27" i="48"/>
  <c r="G33" s="1"/>
  <c r="G15"/>
  <c r="Q9"/>
  <c r="H27"/>
  <c r="H33" s="1"/>
  <c r="H15"/>
  <c r="F13" i="14"/>
  <c r="E8" i="48"/>
  <c r="H22" i="14"/>
  <c r="H27" s="1"/>
  <c r="H63" s="1"/>
  <c r="R20"/>
  <c r="R22" s="1"/>
  <c r="I63"/>
  <c r="F16"/>
  <c r="F27" s="1"/>
  <c r="E22" i="16"/>
  <c r="F43" i="14" s="1"/>
  <c r="F46" s="1"/>
  <c r="F61" s="1"/>
  <c r="F63" s="1"/>
  <c r="O13"/>
  <c r="N8" i="48"/>
  <c r="N26" s="1"/>
  <c r="F8"/>
  <c r="G13" i="14"/>
  <c r="J26" i="48" l="1"/>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<sst xmlns="http://schemas.openxmlformats.org/spreadsheetml/2006/main" count="2455" uniqueCount="924">
  <si>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</si>
  <si>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</si>
  <si>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</si>
  <si>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</si>
  <si>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</si>
  <si>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</si>
  <si>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</si>
  <si>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</si>
  <si>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</si>
  <si>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</si>
  <si>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</si>
  <si>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</si>
  <si>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</si>
  <si>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</si>
  <si>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</si>
  <si>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</si>
  <si>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</si>
  <si>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</si>
  <si>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</si>
  <si>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</si>
  <si>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</si>
  <si>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</si>
  <si>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</si>
  <si>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</si>
  <si>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</si>
  <si>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</si>
  <si>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</si>
  <si>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</si>
  <si>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</si>
  <si>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</si>
  <si>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</si>
  <si>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</si>
  <si>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</si>
  <si>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</si>
  <si>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</si>
  <si>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</si>
  <si>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</si>
  <si>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</si>
  <si>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</si>
  <si>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</si>
  <si>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</si>
  <si>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</si>
  <si>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</si>
  <si>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</si>
  <si>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</si>
  <si>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</si>
  <si>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</si>
  <si>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</si>
  <si>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</si>
  <si>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</si>
  <si>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</si>
  <si>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</si>
  <si>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</si>
  <si>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</si>
  <si>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</si>
  <si>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</si>
  <si>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</si>
  <si>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</si>
  <si>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</si>
  <si>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</si>
  <si>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</si>
  <si>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</si>
  <si>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</si>
  <si>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</si>
  <si>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</si>
  <si>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</si>
  <si>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</si>
  <si>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</si>
  <si>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</si>
  <si>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</si>
  <si>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</si>
  <si>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</si>
  <si>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</si>
  <si>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</si>
  <si>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</si>
  <si>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</si>
  <si>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</si>
  <si>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</si>
  <si>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</si>
  <si>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</si>
  <si>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</si>
  <si>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</si>
  <si>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</si>
  <si>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</si>
  <si>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</si>
  <si>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</si>
  <si>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</si>
  <si>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</si>
  <si>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</si>
  <si>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</si>
  <si>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</si>
  <si>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</si>
  <si>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</si>
  <si>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</si>
  <si>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</si>
  <si>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</si>
  <si>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</si>
  <si>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</si>
  <si>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</si>
  <si>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</si>
  <si>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</si>
  <si>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</si>
  <si>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</si>
  <si>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</si>
  <si>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</si>
  <si>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</si>
  <si>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</si>
  <si>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</si>
  <si>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</si>
  <si>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</si>
  <si>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</si>
  <si>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</si>
  <si>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</si>
  <si>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</si>
  <si>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</si>
  <si>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</si>
  <si>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</si>
  <si>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</si>
  <si>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</si>
  <si>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</si>
  <si>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</si>
  <si>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</si>
  <si>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</si>
  <si>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</si>
  <si>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</si>
  <si>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</si>
  <si>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</si>
  <si>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</si>
  <si>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</si>
  <si>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</si>
  <si>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</si>
  <si>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</si>
  <si>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</si>
  <si>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</si>
  <si>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</si>
  <si>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</si>
  <si>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</si>
  <si>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</si>
  <si>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</si>
  <si>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</si>
  <si>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</si>
  <si>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</si>
  <si>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</si>
  <si>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</si>
  <si>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</si>
  <si>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</si>
  <si>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</si>
  <si>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</si>
  <si>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</si>
  <si>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</si>
  <si>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</si>
  <si>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</si>
  <si>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</si>
  <si>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</si>
  <si>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</si>
  <si>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</si>
  <si>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</si>
  <si>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</si>
  <si>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</si>
  <si>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</si>
  <si>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</si>
  <si>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</si>
  <si>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</si>
  <si>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</si>
  <si>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</si>
  <si>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</si>
  <si>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</si>
  <si>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</si>
  <si>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</si>
  <si>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</si>
  <si>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</si>
  <si>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</si>
  <si>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</si>
  <si>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</si>
  <si>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</si>
  <si>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</si>
  <si>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</si>
  <si>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</si>
  <si>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</si>
  <si>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</si>
  <si>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</si>
  <si>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</si>
  <si>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</si>
  <si>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</si>
  <si>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</si>
  <si>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</si>
  <si>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</si>
  <si>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</si>
  <si>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</si>
  <si>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</si>
  <si>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</si>
  <si>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</si>
  <si>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</si>
  <si>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</si>
  <si>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</si>
  <si>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</si>
  <si>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</si>
  <si>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</si>
  <si>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</si>
  <si>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</si>
  <si>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</si>
  <si>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</si>
  <si>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</si>
  <si>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</si>
  <si>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</si>
  <si>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</si>
  <si>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</si>
  <si>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</si>
  <si>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</si>
  <si>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</si>
  <si>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</si>
  <si>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</si>
  <si>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</si>
  <si>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</si>
  <si>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</si>
  <si>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</si>
  <si>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</si>
  <si>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</si>
  <si>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</si>
  <si>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</si>
  <si>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</si>
  <si>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</si>
  <si>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</si>
  <si>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</si>
  <si>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</si>
  <si>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</si>
  <si>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</si>
  <si>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</si>
  <si>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</si>
  <si>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</si>
  <si>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</si>
  <si>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</si>
  <si>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</si>
  <si>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</si>
  <si>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</si>
  <si>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</si>
  <si>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</si>
  <si>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</si>
  <si>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</si>
  <si>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</si>
  <si>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</si>
  <si>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</si>
  <si>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</si>
  <si>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</si>
  <si>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</si>
  <si>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</si>
  <si>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</si>
  <si>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</si>
  <si>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</si>
  <si>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</si>
  <si>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</si>
  <si>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</si>
  <si>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</si>
  <si>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</si>
  <si>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</si>
  <si>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</si>
  <si>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</si>
  <si>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</si>
  <si>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</si>
  <si>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</si>
  <si>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</si>
  <si>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</si>
  <si>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</si>
  <si>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</si>
  <si>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</si>
  <si>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</si>
  <si>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</si>
  <si>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</si>
  <si>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</si>
  <si>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</si>
  <si>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</si>
  <si>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</si>
  <si>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</si>
  <si>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</si>
  <si>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</si>
  <si>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</si>
  <si>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</si>
  <si>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</si>
  <si>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</si>
  <si>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</si>
  <si>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</si>
  <si>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</si>
  <si>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</si>
  <si>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</si>
  <si>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</si>
  <si>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</si>
  <si>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</si>
  <si>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</si>
  <si>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</si>
  <si>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</si>
  <si>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</si>
  <si>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</si>
  <si>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</si>
  <si>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</si>
  <si>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</si>
  <si>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</si>
  <si>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</si>
  <si>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</si>
  <si>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</si>
  <si>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</si>
  <si>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</si>
  <si>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</si>
  <si>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</si>
  <si>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</si>
  <si>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</si>
  <si>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</si>
  <si>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</si>
  <si>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</si>
  <si>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</si>
  <si>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</si>
  <si>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</si>
  <si>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</si>
  <si>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</si>
  <si>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</si>
  <si>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</si>
  <si>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</si>
  <si>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</si>
  <si>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</si>
  <si>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</si>
  <si>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</si>
  <si>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</si>
  <si>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</si>
  <si>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</si>
  <si>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</si>
  <si>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</si>
  <si>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</si>
  <si>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</si>
  <si>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</si>
  <si>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</si>
  <si>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</si>
  <si>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</si>
  <si>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</si>
  <si>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</si>
  <si>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</si>
  <si>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</si>
  <si>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</si>
  <si>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</si>
  <si>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</si>
  <si>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</si>
  <si>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</si>
  <si>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</si>
  <si>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</si>
  <si>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</si>
  <si>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</si>
  <si>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</si>
  <si>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</si>
  <si>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</si>
  <si>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</si>
  <si>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</si>
  <si>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</si>
  <si>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</si>
  <si>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</si>
  <si>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</si>
  <si>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</si>
  <si>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</si>
  <si>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</si>
  <si>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</si>
  <si>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</si>
  <si>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</si>
  <si>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</si>
  <si>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</si>
  <si>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</si>
  <si>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</si>
  <si>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</si>
  <si>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</si>
  <si>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</si>
  <si>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</si>
  <si>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</si>
  <si>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</si>
  <si>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</si>
  <si>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</si>
  <si>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</si>
  <si>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</si>
  <si>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</si>
  <si>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</si>
  <si>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</si>
  <si>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</si>
  <si>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</si>
  <si>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</si>
  <si>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</si>
  <si>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</si>
  <si>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</si>
  <si>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</si>
  <si>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</si>
  <si>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</si>
  <si>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</si>
  <si>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</si>
  <si>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</si>
  <si>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</si>
  <si>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</si>
  <si>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</si>
  <si>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</si>
  <si>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</si>
  <si>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</si>
  <si>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</si>
  <si>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</si>
  <si>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</si>
  <si>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</si>
  <si>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</si>
  <si>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</si>
  <si>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</si>
  <si>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</si>
  <si>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</si>
  <si>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</si>
  <si>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</si>
  <si>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</si>
  <si>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</si>
  <si>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</si>
  <si>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</si>
  <si>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</si>
  <si>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</si>
  <si>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</si>
  <si>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</si>
  <si>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</si>
  <si>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</si>
  <si>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</si>
  <si>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</si>
  <si>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</si>
  <si>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</si>
  <si>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</si>
  <si>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</si>
  <si>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</si>
  <si>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</si>
  <si>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</si>
  <si>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</si>
  <si>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</si>
  <si>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</si>
  <si>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</si>
  <si>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</si>
  <si>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</si>
  <si>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</si>
  <si>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</si>
  <si>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</si>
  <si>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</si>
  <si>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</si>
  <si>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</si>
  <si>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</si>
  <si>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</si>
  <si>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</si>
  <si>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</si>
  <si>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</si>
  <si>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</si>
  <si>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</si>
  <si>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</si>
  <si>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</si>
  <si>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</si>
  <si>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</si>
  <si>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</si>
  <si>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</si>
  <si>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</si>
  <si>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</si>
  <si>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</si>
  <si>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</si>
  <si>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</si>
  <si>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</si>
  <si>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</si>
  <si>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</si>
  <si>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</si>
  <si>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</si>
  <si>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</si>
  <si>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</si>
  <si>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</si>
  <si>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</si>
  <si>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</si>
  <si>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</si>
  <si>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</si>
  <si>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</si>
  <si>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</si>
  <si>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</si>
  <si>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</si>
  <si>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</si>
  <si>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</si>
  <si>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</si>
  <si>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</si>
  <si>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</si>
  <si>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</si>
  <si>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</si>
  <si>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</si>
  <si>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</si>
  <si>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</si>
  <si>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</si>
  <si>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</si>
  <si>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</si>
  <si>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</si>
  <si>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</si>
  <si>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</si>
  <si>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</si>
  <si>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</si>
  <si>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</si>
  <si>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</si>
  <si>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</si>
  <si>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</si>
  <si>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</si>
  <si>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</si>
  <si>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</si>
  <si>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</si>
  <si>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</si>
  <si>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</si>
  <si>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</si>
  <si>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</si>
  <si>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</si>
  <si>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</si>
  <si>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</si>
  <si>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</si>
  <si>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</si>
  <si>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</si>
  <si>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</si>
  <si>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</si>
  <si>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</si>
  <si>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</si>
  <si>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</si>
  <si>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</si>
  <si>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</si>
  <si>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</si>
  <si>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</si>
  <si>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</si>
  <si>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</si>
  <si>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</si>
  <si>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</si>
  <si>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</si>
  <si>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</si>
  <si>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</si>
  <si>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</si>
  <si>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</si>
  <si>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</si>
  <si>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</si>
  <si>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</si>
  <si>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</si>
  <si>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</si>
  <si>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</si>
  <si>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</si>
  <si>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</si>
  <si>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</si>
  <si>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</si>
  <si>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</si>
  <si>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</si>
  <si>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</si>
  <si>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</si>
  <si>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</si>
  <si>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</si>
  <si>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</si>
  <si>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</si>
  <si>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</si>
  <si>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</si>
  <si>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</si>
  <si>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</si>
  <si>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</si>
  <si>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</si>
  <si>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</si>
  <si>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</si>
  <si>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</si>
  <si>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</si>
  <si>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</si>
  <si>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</si>
  <si>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</si>
  <si>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</si>
  <si>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</si>
  <si>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</si>
  <si>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</si>
  <si>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</si>
  <si>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</si>
  <si>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</si>
  <si>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</si>
  <si>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</si>
  <si>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</si>
  <si>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</si>
  <si>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</si>
  <si>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</si>
  <si>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</si>
  <si>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</si>
  <si>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</si>
  <si>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</si>
  <si>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</si>
  <si>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</si>
  <si>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</si>
  <si>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</si>
  <si>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</si>
  <si>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</si>
  <si>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</si>
  <si>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</si>
  <si>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</si>
  <si>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</si>
  <si>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</si>
  <si>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</si>
  <si>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</si>
  <si>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</si>
  <si>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</si>
  <si>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</si>
  <si>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</si>
  <si>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</si>
  <si>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</si>
  <si>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</si>
  <si>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</si>
  <si>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</si>
  <si>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</si>
  <si>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</si>
  <si>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</si>
  <si>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</si>
  <si>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</si>
  <si>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</si>
  <si>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</si>
  <si>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</si>
  <si>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</si>
  <si>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</si>
  <si>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</si>
  <si>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</si>
  <si>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</si>
  <si>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</si>
  <si>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</si>
  <si>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</si>
  <si>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</si>
  <si>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</si>
  <si>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</si>
  <si>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</si>
  <si>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</si>
  <si>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</si>
  <si>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</si>
  <si>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</si>
  <si>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</si>
  <si>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</si>
  <si>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</si>
  <si>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</si>
  <si>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</si>
  <si>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</si>
  <si>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</si>
  <si>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</si>
  <si>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</si>
  <si>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</si>
  <si>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</si>
  <si>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</si>
  <si>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</si>
  <si>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</si>
  <si>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</si>
  <si>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</si>
  <si>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</si>
  <si>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</si>
  <si>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</si>
  <si>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</si>
  <si>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</si>
  <si>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</si>
  <si>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</si>
  <si>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</si>
  <si>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</si>
  <si>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</si>
  <si>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</si>
  <si>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</si>
  <si>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</si>
  <si>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</si>
  <si>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</si>
  <si>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</si>
  <si>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</si>
  <si>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</si>
  <si>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</si>
  <si>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</si>
  <si>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</si>
  <si>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</si>
  <si>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</si>
  <si>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</si>
  <si>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</si>
  <si>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</si>
  <si>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</si>
  <si>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</si>
  <si>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</si>
  <si>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</si>
  <si>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</si>
  <si>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</si>
  <si>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</si>
  <si>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</si>
  <si>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</si>
  <si>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</si>
  <si>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</si>
  <si>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</si>
  <si>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</si>
  <si>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</si>
  <si>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</si>
  <si>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</si>
  <si>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</si>
  <si>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</si>
  <si>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</si>
  <si>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</si>
  <si>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</si>
  <si>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</si>
  <si>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</si>
  <si>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</si>
  <si>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</si>
  <si>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</si>
  <si>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</si>
  <si>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</si>
  <si>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</si>
  <si>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</si>
  <si>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</si>
  <si>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</si>
  <si>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</si>
  <si>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</si>
  <si>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</si>
  <si>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</si>
  <si>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</si>
  <si>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</si>
  <si>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</si>
  <si>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</si>
  <si>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</si>
  <si>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</si>
  <si>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</si>
  <si>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</si>
  <si>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</si>
  <si>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</si>
  <si>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</si>
  <si>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</si>
  <si>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</si>
  <si>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</si>
  <si>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</si>
  <si>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</si>
  <si>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</si>
  <si>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</si>
  <si>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</si>
  <si>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</si>
  <si>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</si>
  <si>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</si>
  <si>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</si>
  <si>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</si>
  <si>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</si>
  <si>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</si>
  <si>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</si>
  <si>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</si>
  <si>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</si>
  <si>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</si>
  <si>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</si>
  <si>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</si>
  <si>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</si>
  <si>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</si>
  <si>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</si>
  <si>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</si>
  <si>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</si>
  <si>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</si>
  <si>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</si>
  <si>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</si>
  <si>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</si>
  <si>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</si>
  <si>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</si>
  <si>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</si>
  <si>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</si>
  <si>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</si>
  <si>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</si>
  <si>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</si>
  <si>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</si>
  <si>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</si>
  <si>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</si>
  <si>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</si>
  <si>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</si>
  <si>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</si>
  <si>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</si>
  <si>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</si>
  <si>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</si>
  <si>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</si>
  <si>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</si>
  <si>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</si>
  <si>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</si>
  <si>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</si>
  <si>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</si>
  <si>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</si>
  <si>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</si>
  <si>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</si>
  <si>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</si>
  <si>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</si>
  <si>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</si>
  <si>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</si>
  <si>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</si>
  <si>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</si>
  <si>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</si>
  <si>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</si>
  <si>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</si>
  <si>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</si>
  <si>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</si>
  <si>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</si>
  <si>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</si>
  <si>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</si>
  <si>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</si>
  <si>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</si>
  <si>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</si>
  <si>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</si>
  <si>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</si>
  <si>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</si>
  <si>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</si>
  <si>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</si>
  <si>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</si>
  <si>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</si>
  <si>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</si>
  <si>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</si>
  <si>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</si>
  <si>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</si>
  <si>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</si>
  <si>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</si>
  <si>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</si>
  <si>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</si>
  <si>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</si>
  <si>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</si>
  <si>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</si>
  <si>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</si>
  <si>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</si>
  <si>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</si>
  <si>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</si>
  <si>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</si>
  <si>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</si>
  <si>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</si>
  <si>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</si>
  <si>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</si>
  <si>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</si>
  <si>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</si>
  <si>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</si>
  <si>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</si>
  <si>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</si>
  <si>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</si>
  <si>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</si>
  <si>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</si>
  <si>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</si>
  <si>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</si>
  <si>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</si>
  <si>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</si>
  <si>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</si>
  <si>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</si>
  <si>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</si>
  <si>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</si>
  <si>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</si>
  <si>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</si>
  <si>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</si>
  <si>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</si>
  <si>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</si>
  <si>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</si>
  <si>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</si>
  <si>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</si>
  <si>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</si>
  <si>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</si>
  <si>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</si>
  <si>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</si>
  <si>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</si>
  <si>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</si>
  <si>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</si>
  <si>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</si>
  <si>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</si>
  <si>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</si>
  <si>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</si>
  <si>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</si>
  <si>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</si>
  <si>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</si>
  <si>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</si>
  <si>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</si>
  <si>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</si>
  <si>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</si>
  <si>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</si>
  <si>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</si>
  <si>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</si>
  <si>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</si>
  <si>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</si>
  <si>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</si>
  <si>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</si>
  <si>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</si>
  <si>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</si>
  <si>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</si>
  <si>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</si>
  <si>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</si>
  <si>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</si>
  <si>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</si>
  <si>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</si>
  <si>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</si>
  <si>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</si>
  <si>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</si>
  <si>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</si>
  <si>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</si>
  <si>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</si>
  <si>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</si>
  <si>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</si>
  <si>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</si>
  <si>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</si>
  <si>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</si>
  <si>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</si>
  <si>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</si>
  <si>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</si>
  <si>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</si>
  <si>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</si>
  <si>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</si>
  <si>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</si>
  <si>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</si>
  <si>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</si>
  <si>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</si>
  <si>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</si>
  <si>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</si>
  <si>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</si>
  <si>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</si>
  <si>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</si>
  <si>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</si>
  <si>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</si>
  <si>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</si>
  <si>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</si>
  <si>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</si>
  <si>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</si>
  <si>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</si>
  <si>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</si>
  <si>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</si>
  <si>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</si>
  <si>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44034</t>
  </si>
  <si>
    <t>LOCHRISTI</t>
  </si>
  <si>
    <t>Paarden&amp;pony's 200 - 600 kg</t>
  </si>
  <si>
    <t>Paarden&amp;pony's &lt; 200 kg</t>
  </si>
  <si>
    <t>referentietaak LNE (2017); Jaarverslag De Lijn (2014)</t>
  </si>
  <si>
    <t>op basis van VEA (maart 2018) en Inventaris Hernieuwbare Energiebronnen (juni 2018)</t>
  </si>
  <si>
    <t>VEA (maart 2016)</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</si>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</sst>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149782.54231093789</c:v>
                </c:pt>
                <c:pt idx="1">
                  <c:v>63210.362554847612</c:v>
                </c:pt>
                <c:pt idx="2">
                  <c:v>1740.095</c:v>
                </c:pt>
                <c:pt idx="3">
                  <c:v>79127.623142018725</c:v>
                </c:pt>
                <c:pt idx="4">
                  <c:v>41856.75312130079</c:v>
                </c:pt>
                <c:pt idx="5">
                  <c:v>278436.33863436925</c:v>
                </c:pt>
                <c:pt idx="6">
                  <c:v>2309.5073929647392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0416"/>
        <c:axId val="143021952"/>
      </c:barChart>
      <c:catAx>
        <c:axId val="143020416"/>
        <c:scaling>
          <c:orientation val="minMax"/>
        </c:scaling>
        <c:axPos val="b"/>
        <c:numFmt formatCode="General" sourceLinked="0"/>
        <c:tickLblPos val="nextTo"/>
        <c:crossAx val="143021952"/>
        <c:crosses val="autoZero"/>
        <c:auto val="1"/>
        <c:lblAlgn val="ctr"/>
        <c:lblOffset val="100"/>
      </c:catAx>
      <c:valAx>
        <c:axId val="143021952"/>
        <c:scaling>
          <c:orientation val="minMax"/>
        </c:scaling>
        <c:axPos val="l"/>
        <c:majorGridlines/>
        <c:numFmt formatCode="#,##0" sourceLinked="1"/>
        <c:tickLblPos val="nextTo"/>
        <c:crossAx val="143020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149782.54231093789</c:v>
                </c:pt>
                <c:pt idx="1">
                  <c:v>63210.362554847612</c:v>
                </c:pt>
                <c:pt idx="2">
                  <c:v>1740.095</c:v>
                </c:pt>
                <c:pt idx="3">
                  <c:v>79127.623142018725</c:v>
                </c:pt>
                <c:pt idx="4">
                  <c:v>41856.75312130079</c:v>
                </c:pt>
                <c:pt idx="5">
                  <c:v>278436.33863436925</c:v>
                </c:pt>
                <c:pt idx="6">
                  <c:v>2309.5073929647392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28005.064676139154</c:v>
                </c:pt>
                <c:pt idx="2">
                  <c:v>12340.851445837412</c:v>
                </c:pt>
                <c:pt idx="3">
                  <c:v>333.22712393945329</c:v>
                </c:pt>
                <c:pt idx="4">
                  <c:v>18326.407585825673</c:v>
                </c:pt>
                <c:pt idx="5">
                  <c:v>8299.868198501299</c:v>
                </c:pt>
                <c:pt idx="6">
                  <c:v>69887.944966368654</c:v>
                </c:pt>
                <c:pt idx="7">
                  <c:v>583.37055196031451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8240"/>
      </c:barChart>
      <c:catAx>
        <c:axId val="147168256"/>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28005.064676139154</c:v>
                </c:pt>
                <c:pt idx="2">
                  <c:v>12340.851445837412</c:v>
                </c:pt>
                <c:pt idx="3">
                  <c:v>333.22712393945329</c:v>
                </c:pt>
                <c:pt idx="4">
                  <c:v>18326.407585825673</c:v>
                </c:pt>
                <c:pt idx="5">
                  <c:v>8299.868198501299</c:v>
                </c:pt>
                <c:pt idx="6">
                  <c:v>69887.944966368654</c:v>
                </c:pt>
                <c:pt idx="7">
                  <c:v>583.37055196031451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44034</v>
      </c>
      <c r="B6" s="416"/>
      <c r="C6" s="417"/>
    </row>
    <row r="7" spans="1:7" s="414" customFormat="1" ht="15.75" customHeight="1">
      <c r="A7" s="418" t="str">
        <f>txtMunicipality</f>
        <v>LOCHRISTI</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0.1914993859182707</v>
      </c>
      <c r="C17" s="525">
        <f ca="1">'EF ele_warmte'!B22</f>
        <v>0.23618038167738944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0.1914993859182707</v>
      </c>
      <c r="C29" s="526">
        <f ca="1">'EF ele_warmte'!B22</f>
        <v>0.23618038167738944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8540</v>
      </c>
      <c r="C9" s="342">
        <v>9390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3528</v>
      </c>
    </row>
    <row r="15" spans="1:6">
      <c r="A15" s="348" t="s">
        <v>184</v>
      </c>
      <c r="B15" s="334">
        <v>58</v>
      </c>
    </row>
    <row r="16" spans="1:6">
      <c r="A16" s="348" t="s">
        <v>6</v>
      </c>
      <c r="B16" s="334">
        <v>2019</v>
      </c>
    </row>
    <row r="17" spans="1:6">
      <c r="A17" s="348" t="s">
        <v>7</v>
      </c>
      <c r="B17" s="334">
        <v>1553</v>
      </c>
    </row>
    <row r="18" spans="1:6">
      <c r="A18" s="348" t="s">
        <v>8</v>
      </c>
      <c r="B18" s="334">
        <v>2604</v>
      </c>
    </row>
    <row r="19" spans="1:6">
      <c r="A19" s="348" t="s">
        <v>9</v>
      </c>
      <c r="B19" s="334">
        <v>2744</v>
      </c>
    </row>
    <row r="20" spans="1:6">
      <c r="A20" s="348" t="s">
        <v>10</v>
      </c>
      <c r="B20" s="334">
        <v>1795</v>
      </c>
    </row>
    <row r="21" spans="1:6">
      <c r="A21" s="348" t="s">
        <v>11</v>
      </c>
      <c r="B21" s="334">
        <v>14080</v>
      </c>
    </row>
    <row r="22" spans="1:6">
      <c r="A22" s="348" t="s">
        <v>12</v>
      </c>
      <c r="B22" s="334">
        <v>10637</v>
      </c>
    </row>
    <row r="23" spans="1:6">
      <c r="A23" s="348" t="s">
        <v>13</v>
      </c>
      <c r="B23" s="334">
        <v>283</v>
      </c>
    </row>
    <row r="24" spans="1:6">
      <c r="A24" s="348" t="s">
        <v>14</v>
      </c>
      <c r="B24" s="334">
        <v>19</v>
      </c>
    </row>
    <row r="25" spans="1:6">
      <c r="A25" s="348" t="s">
        <v>15</v>
      </c>
      <c r="B25" s="334">
        <v>3701</v>
      </c>
    </row>
    <row r="26" spans="1:6">
      <c r="A26" s="348" t="s">
        <v>16</v>
      </c>
      <c r="B26" s="334">
        <v>292</v>
      </c>
    </row>
    <row r="27" spans="1:6">
      <c r="A27" s="348" t="s">
        <v>17</v>
      </c>
      <c r="B27" s="334">
        <v>1030</v>
      </c>
    </row>
    <row r="28" spans="1:6" s="356" customFormat="1">
      <c r="A28" s="355" t="s">
        <v>18</v>
      </c>
      <c r="B28" s="355">
        <v>50590</v>
      </c>
    </row>
    <row r="29" spans="1:6">
      <c r="A29" s="355" t="s">
        <v>901</v>
      </c>
      <c r="B29" s="355">
        <v>185</v>
      </c>
      <c r="C29" s="356"/>
      <c r="D29" s="356"/>
      <c r="E29" s="356"/>
      <c r="F29" s="356"/>
    </row>
    <row r="30" spans="1:6">
      <c r="A30" s="341" t="s">
        <v>902</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181203.987297994</v>
      </c>
      <c r="E38" s="334">
        <v>7</v>
      </c>
      <c r="F38" s="334">
        <v>142842.29999999999</v>
      </c>
    </row>
    <row r="39" spans="1:6">
      <c r="A39" s="348" t="s">
        <v>30</v>
      </c>
      <c r="B39" s="348" t="s">
        <v>31</v>
      </c>
      <c r="C39" s="334">
        <v>4869</v>
      </c>
      <c r="D39" s="334">
        <v>72173802.008201197</v>
      </c>
      <c r="E39" s="334">
        <v>8134</v>
      </c>
      <c r="F39" s="334">
        <v>37953614</v>
      </c>
    </row>
    <row r="40" spans="1:6">
      <c r="A40" s="348" t="s">
        <v>30</v>
      </c>
      <c r="B40" s="348" t="s">
        <v>29</v>
      </c>
      <c r="C40" s="334">
        <v>0</v>
      </c>
      <c r="D40" s="334">
        <v>0</v>
      </c>
      <c r="E40" s="334">
        <v>0</v>
      </c>
      <c r="F40" s="334">
        <v>0</v>
      </c>
    </row>
    <row r="41" spans="1:6">
      <c r="A41" s="348" t="s">
        <v>32</v>
      </c>
      <c r="B41" s="348" t="s">
        <v>33</v>
      </c>
      <c r="C41" s="334">
        <v>82</v>
      </c>
      <c r="D41" s="334">
        <v>1922777.911077</v>
      </c>
      <c r="E41" s="334">
        <v>181</v>
      </c>
      <c r="F41" s="334">
        <v>3461643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195730.17571236199</v>
      </c>
      <c r="E44" s="334">
        <v>26</v>
      </c>
      <c r="F44" s="334">
        <v>577091.30000000005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149129.645399506</v>
      </c>
      <c r="E47" s="334">
        <v>5</v>
      </c>
      <c r="F47" s="334">
        <v>104778</v>
      </c>
    </row>
    <row r="48" spans="1:6">
      <c r="A48" s="348" t="s">
        <v>32</v>
      </c>
      <c r="B48" s="348" t="s">
        <v>29</v>
      </c>
      <c r="C48" s="334">
        <v>25</v>
      </c>
      <c r="D48" s="334">
        <v>26775552.977503199</v>
      </c>
      <c r="E48" s="334">
        <v>34</v>
      </c>
      <c r="F48" s="334">
        <v>2900312</v>
      </c>
    </row>
    <row r="49" spans="1:6">
      <c r="A49" s="348" t="s">
        <v>32</v>
      </c>
      <c r="B49" s="348" t="s">
        <v>40</v>
      </c>
      <c r="C49" s="334">
        <v>0</v>
      </c>
      <c r="D49" s="334">
        <v>0</v>
      </c>
      <c r="E49" s="334">
        <v>0</v>
      </c>
      <c r="F49" s="334">
        <v>0</v>
      </c>
    </row>
    <row r="50" spans="1:6">
      <c r="A50" s="348" t="s">
        <v>32</v>
      </c>
      <c r="B50" s="348" t="s">
        <v>41</v>
      </c>
      <c r="C50" s="334">
        <v>7</v>
      </c>
      <c r="D50" s="334">
        <v>393250.07803349599</v>
      </c>
      <c r="E50" s="334">
        <v>12</v>
      </c>
      <c r="F50" s="334">
        <v>532826.69999999995</v>
      </c>
    </row>
    <row r="51" spans="1:6">
      <c r="A51" s="348" t="s">
        <v>42</v>
      </c>
      <c r="B51" s="348" t="s">
        <v>43</v>
      </c>
      <c r="C51" s="334">
        <v>98</v>
      </c>
      <c r="D51" s="334">
        <v>52203075.6241154</v>
      </c>
      <c r="E51" s="334">
        <v>409</v>
      </c>
      <c r="F51" s="334">
        <v>11144252</v>
      </c>
    </row>
    <row r="52" spans="1:6">
      <c r="A52" s="348" t="s">
        <v>42</v>
      </c>
      <c r="B52" s="348" t="s">
        <v>29</v>
      </c>
      <c r="C52" s="334">
        <v>7</v>
      </c>
      <c r="D52" s="334">
        <v>182430.85957812899</v>
      </c>
      <c r="E52" s="334">
        <v>8</v>
      </c>
      <c r="F52" s="334">
        <v>116495.9</v>
      </c>
    </row>
    <row r="53" spans="1:6">
      <c r="A53" s="348" t="s">
        <v>44</v>
      </c>
      <c r="B53" s="348" t="s">
        <v>45</v>
      </c>
      <c r="C53" s="334">
        <v>103</v>
      </c>
      <c r="D53" s="334">
        <v>1514322.9854770801</v>
      </c>
      <c r="E53" s="334">
        <v>248</v>
      </c>
      <c r="F53" s="334">
        <v>1184415</v>
      </c>
    </row>
    <row r="54" spans="1:6">
      <c r="A54" s="348" t="s">
        <v>46</v>
      </c>
      <c r="B54" s="348" t="s">
        <v>47</v>
      </c>
      <c r="C54" s="334">
        <v>0</v>
      </c>
      <c r="D54" s="334">
        <v>0</v>
      </c>
      <c r="E54" s="334">
        <v>4</v>
      </c>
      <c r="F54" s="334">
        <v>1740095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2472506.5691920398</v>
      </c>
      <c r="E57" s="334">
        <v>151</v>
      </c>
      <c r="F57" s="334">
        <v>2230770</v>
      </c>
    </row>
    <row r="58" spans="1:6">
      <c r="A58" s="348" t="s">
        <v>49</v>
      </c>
      <c r="B58" s="348" t="s">
        <v>51</v>
      </c>
      <c r="C58" s="334">
        <v>25</v>
      </c>
      <c r="D58" s="334">
        <v>713205.458046093</v>
      </c>
      <c r="E58" s="334">
        <v>47</v>
      </c>
      <c r="F58" s="334">
        <v>1455666</v>
      </c>
    </row>
    <row r="59" spans="1:6">
      <c r="A59" s="348" t="s">
        <v>49</v>
      </c>
      <c r="B59" s="348" t="s">
        <v>52</v>
      </c>
      <c r="C59" s="334">
        <v>132</v>
      </c>
      <c r="D59" s="334">
        <v>7102401.3357532797</v>
      </c>
      <c r="E59" s="334">
        <v>290</v>
      </c>
      <c r="F59" s="334">
        <v>12922404</v>
      </c>
    </row>
    <row r="60" spans="1:6">
      <c r="A60" s="348" t="s">
        <v>49</v>
      </c>
      <c r="B60" s="348" t="s">
        <v>53</v>
      </c>
      <c r="C60" s="334">
        <v>67</v>
      </c>
      <c r="D60" s="334">
        <v>3470331.7884777598</v>
      </c>
      <c r="E60" s="334">
        <v>93</v>
      </c>
      <c r="F60" s="334">
        <v>2721258</v>
      </c>
    </row>
    <row r="61" spans="1:6">
      <c r="A61" s="348" t="s">
        <v>49</v>
      </c>
      <c r="B61" s="348" t="s">
        <v>54</v>
      </c>
      <c r="C61" s="334">
        <v>163</v>
      </c>
      <c r="D61" s="334">
        <v>6363297.8005434005</v>
      </c>
      <c r="E61" s="334">
        <v>304</v>
      </c>
      <c r="F61" s="334">
        <v>8380391</v>
      </c>
    </row>
    <row r="62" spans="1:6">
      <c r="A62" s="348" t="s">
        <v>49</v>
      </c>
      <c r="B62" s="348" t="s">
        <v>55</v>
      </c>
      <c r="C62" s="334">
        <v>9</v>
      </c>
      <c r="D62" s="334">
        <v>339217.33366867801</v>
      </c>
      <c r="E62" s="334">
        <v>11</v>
      </c>
      <c r="F62" s="334">
        <v>157879.6</v>
      </c>
    </row>
    <row r="63" spans="1:6">
      <c r="A63" s="348" t="s">
        <v>49</v>
      </c>
      <c r="B63" s="348" t="s">
        <v>29</v>
      </c>
      <c r="C63" s="334">
        <v>98</v>
      </c>
      <c r="D63" s="334">
        <v>9053501.0809517801</v>
      </c>
      <c r="E63" s="334">
        <v>88</v>
      </c>
      <c r="F63" s="334">
        <v>2235266</v>
      </c>
    </row>
    <row r="64" spans="1:6">
      <c r="A64" s="348" t="s">
        <v>56</v>
      </c>
      <c r="B64" s="348" t="s">
        <v>57</v>
      </c>
      <c r="C64" s="334">
        <v>0</v>
      </c>
      <c r="D64" s="334">
        <v>0</v>
      </c>
      <c r="E64" s="334">
        <v>0</v>
      </c>
      <c r="F64" s="334">
        <v>0</v>
      </c>
    </row>
    <row r="65" spans="1:6">
      <c r="A65" s="348" t="s">
        <v>56</v>
      </c>
      <c r="B65" s="348" t="s">
        <v>29</v>
      </c>
      <c r="C65" s="334">
        <v>3</v>
      </c>
      <c r="D65" s="334">
        <v>84578.656675980004</v>
      </c>
      <c r="E65" s="334">
        <v>4</v>
      </c>
      <c r="F65" s="334">
        <v>6887.5349999999999</v>
      </c>
    </row>
    <row r="66" spans="1:6">
      <c r="A66" s="348" t="s">
        <v>56</v>
      </c>
      <c r="B66" s="348" t="s">
        <v>58</v>
      </c>
      <c r="C66" s="334">
        <v>0</v>
      </c>
      <c r="D66" s="334">
        <v>0</v>
      </c>
      <c r="E66" s="334">
        <v>10</v>
      </c>
      <c r="F66" s="334">
        <v>403437.7</v>
      </c>
    </row>
    <row r="67" spans="1:6">
      <c r="A67" s="355" t="s">
        <v>56</v>
      </c>
      <c r="B67" s="355" t="s">
        <v>59</v>
      </c>
      <c r="C67" s="334">
        <v>0</v>
      </c>
      <c r="D67" s="334">
        <v>0</v>
      </c>
      <c r="E67" s="334">
        <v>0</v>
      </c>
      <c r="F67" s="334">
        <v>0</v>
      </c>
    </row>
    <row r="68" spans="1:6">
      <c r="A68" s="341" t="s">
        <v>56</v>
      </c>
      <c r="B68" s="341" t="s">
        <v>60</v>
      </c>
      <c r="C68" s="334">
        <v>7</v>
      </c>
      <c r="D68" s="334">
        <v>271707.83526929701</v>
      </c>
      <c r="E68" s="334">
        <v>20</v>
      </c>
      <c r="F68" s="334">
        <v>263229.5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63061780</v>
      </c>
      <c r="E73" s="476">
        <v>61549278.108402386</v>
      </c>
    </row>
    <row r="74" spans="1:6">
      <c r="A74" s="348" t="s">
        <v>64</v>
      </c>
      <c r="B74" s="348" t="s">
        <v>714</v>
      </c>
      <c r="C74" s="1311" t="s">
        <v>716</v>
      </c>
      <c r="D74" s="476">
        <v>7498181.2430779031</v>
      </c>
      <c r="E74" s="476">
        <v>7335910.1746740835</v>
      </c>
    </row>
    <row r="75" spans="1:6">
      <c r="A75" s="348" t="s">
        <v>65</v>
      </c>
      <c r="B75" s="348" t="s">
        <v>713</v>
      </c>
      <c r="C75" s="1311" t="s">
        <v>717</v>
      </c>
      <c r="D75" s="476">
        <v>29684997</v>
      </c>
      <c r="E75" s="476">
        <v>29232857.155358408</v>
      </c>
    </row>
    <row r="76" spans="1:6">
      <c r="A76" s="348" t="s">
        <v>65</v>
      </c>
      <c r="B76" s="348" t="s">
        <v>714</v>
      </c>
      <c r="C76" s="1311" t="s">
        <v>718</v>
      </c>
      <c r="D76" s="476">
        <v>1365463.2430779035</v>
      </c>
      <c r="E76" s="476">
        <v>1314107.016414911</v>
      </c>
    </row>
    <row r="77" spans="1:6">
      <c r="A77" s="348" t="s">
        <v>66</v>
      </c>
      <c r="B77" s="348" t="s">
        <v>713</v>
      </c>
      <c r="C77" s="1311" t="s">
        <v>719</v>
      </c>
      <c r="D77" s="476">
        <v>144547666</v>
      </c>
      <c r="E77" s="476">
        <v>156578407.94098526</v>
      </c>
    </row>
    <row r="78" spans="1:6">
      <c r="A78" s="341" t="s">
        <v>66</v>
      </c>
      <c r="B78" s="341" t="s">
        <v>714</v>
      </c>
      <c r="C78" s="341" t="s">
        <v>720</v>
      </c>
      <c r="D78" s="1307">
        <v>35199463</v>
      </c>
      <c r="E78" s="1307">
        <v>37213875.125712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617155.51384419319</v>
      </c>
      <c r="C83" s="476">
        <v>626175.71583268361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7182.9565746698572</v>
      </c>
    </row>
    <row r="91" spans="1:6">
      <c r="A91" s="348" t="s">
        <v>68</v>
      </c>
      <c r="B91" s="334">
        <v>5458.3465832495422</v>
      </c>
    </row>
    <row r="92" spans="1:6">
      <c r="A92" s="341" t="s">
        <v>69</v>
      </c>
      <c r="B92" s="342">
        <v>585.17832679624223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1839</v>
      </c>
    </row>
    <row r="98" spans="1:6">
      <c r="A98" s="348" t="s">
        <v>72</v>
      </c>
      <c r="B98" s="334">
        <v>1</v>
      </c>
    </row>
    <row r="99" spans="1:6">
      <c r="A99" s="348" t="s">
        <v>73</v>
      </c>
      <c r="B99" s="334">
        <v>88</v>
      </c>
    </row>
    <row r="100" spans="1:6">
      <c r="A100" s="348" t="s">
        <v>74</v>
      </c>
      <c r="B100" s="334">
        <v>900</v>
      </c>
    </row>
    <row r="101" spans="1:6">
      <c r="A101" s="348" t="s">
        <v>75</v>
      </c>
      <c r="B101" s="334">
        <v>104</v>
      </c>
    </row>
    <row r="102" spans="1:6">
      <c r="A102" s="348" t="s">
        <v>76</v>
      </c>
      <c r="B102" s="334">
        <v>110</v>
      </c>
    </row>
    <row r="103" spans="1:6">
      <c r="A103" s="348" t="s">
        <v>77</v>
      </c>
      <c r="B103" s="334">
        <v>301</v>
      </c>
    </row>
    <row r="104" spans="1:6">
      <c r="A104" s="348" t="s">
        <v>78</v>
      </c>
      <c r="B104" s="334">
        <v>3609</v>
      </c>
    </row>
    <row r="105" spans="1:6">
      <c r="A105" s="341" t="s">
        <v>79</v>
      </c>
      <c r="B105" s="341">
        <v>12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39</v>
      </c>
      <c r="C123" s="334">
        <v>53</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1</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95445.026122199066</v>
      </c>
      <c r="C3" s="43" t="s">
        <v>170</v>
      </c>
      <c r="D3" s="43"/>
      <c r="E3" s="154"/>
      <c r="F3" s="43"/>
      <c r="G3" s="43"/>
      <c r="H3" s="43"/>
      <c r="I3" s="43"/>
      <c r="J3" s="43"/>
      <c r="K3" s="96"/>
    </row>
    <row r="4" spans="1:11">
      <c r="A4" s="384" t="s">
        <v>171</v>
      </c>
      <c r="B4" s="49">
        <f>IF(ISERROR('SEAP template'!B78+'SEAP template'!C78),0,'SEAP template'!B78+'SEAP template'!C78)</f>
        <v>20299.131484715639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1670.4211764705885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0.1914993859182707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2386.3159663865549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10103.785714285714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0.23618038167738944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1740.095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1740.095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0.1914993859182707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333.22712393945329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37953.614000000001</v>
      </c>
      <c r="C5" s="17">
        <f>IF(ISERROR('Eigen informatie GS &amp; warmtenet'!B57),0,'Eigen informatie GS &amp; warmtenet'!B57)</f>
        <v>0</v>
      </c>
      <c r="D5" s="30">
        <f>(SUM(HH_hh_gas_kWh,HH_rest_gas_kWh)/1000)*0.902</f>
        <v>65100.769411397479</v>
      </c>
      <c r="E5" s="17">
        <f>B46*B57</f>
        <v>3278.9018479254055</v>
      </c>
      <c r="F5" s="17">
        <f>B51*B62</f>
        <v>21711.740608079908</v>
      </c>
      <c r="G5" s="18"/>
      <c r="H5" s="17"/>
      <c r="I5" s="17"/>
      <c r="J5" s="17">
        <f>B50*B61+C50*C61</f>
        <v>0</v>
      </c>
      <c r="K5" s="17"/>
      <c r="L5" s="17"/>
      <c r="M5" s="17"/>
      <c r="N5" s="17">
        <f>B48*B59+C48*C59</f>
        <v>14695.259860285549</v>
      </c>
      <c r="O5" s="17">
        <f>B69*B70*B71</f>
        <v>401.7766666666667</v>
      </c>
      <c r="P5" s="17">
        <f>B77*B78*B79/1000-B77*B78*B79/1000/B80</f>
        <v>1182.1333333333332</v>
      </c>
    </row>
    <row r="6" spans="1:16">
      <c r="A6" s="16" t="s">
        <v>631</v>
      </c>
      <c r="B6" s="789">
        <f>kWh_PV_kleiner_dan_10kW</f>
        <v>5458.3465832495422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43411.960583249544</v>
      </c>
      <c r="C8" s="21">
        <f>C5</f>
        <v>0</v>
      </c>
      <c r="D8" s="21">
        <f>D5</f>
        <v>65100.769411397479</v>
      </c>
      <c r="E8" s="21">
        <f>E5</f>
        <v>3278.9018479254055</v>
      </c>
      <c r="F8" s="21">
        <f>F5</f>
        <v>21711.740608079908</v>
      </c>
      <c r="G8" s="21"/>
      <c r="H8" s="21"/>
      <c r="I8" s="21"/>
      <c r="J8" s="21">
        <f>J5</f>
        <v>0</v>
      </c>
      <c r="K8" s="21"/>
      <c r="L8" s="21">
        <f>L5</f>
        <v>0</v>
      </c>
      <c r="M8" s="21">
        <f>M5</f>
        <v>0</v>
      </c>
      <c r="N8" s="21">
        <f>N5</f>
        <v>14695.259860285549</v>
      </c>
      <c r="O8" s="21">
        <f>O5</f>
        <v>401.7766666666667</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0.1914993859182707</v>
      </c>
      <c r="C10" s="25">
        <f ca="1">'EF ele_warmte'!B22</f>
        <v>0.23618038167738944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8313.3637932004603</v>
      </c>
      <c r="C12" s="23">
        <f ca="1">C10*C8</f>
        <v>0</v>
      </c>
      <c r="D12" s="23">
        <f>D8*D10</f>
        <v>13150.355421102291</v>
      </c>
      <c r="E12" s="23">
        <f>E10*E8</f>
        <v>744.31071947906707</v>
      </c>
      <c r="F12" s="23">
        <f>F10*F8</f>
        <v>5797.0347423573357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1839</v>
      </c>
      <c r="C18" s="166" t="s">
        <v>111</v>
      </c>
      <c r="D18" s="228"/>
      <c r="E18" s="15"/>
    </row>
    <row r="19" spans="1:7">
      <c r="A19" s="171" t="s">
        <v>72</v>
      </c>
      <c r="B19" s="37">
        <f>aantalw2001_ander</f>
        <v>1</v>
      </c>
      <c r="C19" s="166" t="s">
        <v>111</v>
      </c>
      <c r="D19" s="229"/>
      <c r="E19" s="15"/>
    </row>
    <row r="20" spans="1:7">
      <c r="A20" s="171" t="s">
        <v>73</v>
      </c>
      <c r="B20" s="37">
        <f>aantalw2001_propaan</f>
        <v>88</v>
      </c>
      <c r="C20" s="167">
        <f>IF(ISERROR(B20/SUM($B$20,$B$21,$B$22)*100),0,B20/SUM($B$20,$B$21,$B$22)*100)</f>
        <v>8.0586080586080584</v>
      </c>
      <c r="D20" s="229"/>
      <c r="E20" s="15"/>
    </row>
    <row r="21" spans="1:7">
      <c r="A21" s="171" t="s">
        <v>74</v>
      </c>
      <c r="B21" s="37">
        <f>aantalw2001_elektriciteit</f>
        <v>900</v>
      </c>
      <c r="C21" s="167">
        <f>IF(ISERROR(B21/SUM($B$20,$B$21,$B$22)*100),0,B21/SUM($B$20,$B$21,$B$22)*100)</f>
        <v>82.417582417582409</v>
      </c>
      <c r="D21" s="229"/>
      <c r="E21" s="15"/>
    </row>
    <row r="22" spans="1:7">
      <c r="A22" s="171" t="s">
        <v>75</v>
      </c>
      <c r="B22" s="37">
        <f>aantalw2001_hout</f>
        <v>104</v>
      </c>
      <c r="C22" s="167">
        <f>IF(ISERROR(B22/SUM($B$20,$B$21,$B$22)*100),0,B22/SUM($B$20,$B$21,$B$22)*100)</f>
        <v>9.5238095238095237</v>
      </c>
      <c r="D22" s="229"/>
      <c r="E22" s="15"/>
    </row>
    <row r="23" spans="1:7">
      <c r="A23" s="171" t="s">
        <v>76</v>
      </c>
      <c r="B23" s="37">
        <f>aantalw2001_niet_gespec</f>
        <v>110</v>
      </c>
      <c r="C23" s="166" t="s">
        <v>111</v>
      </c>
      <c r="D23" s="228"/>
      <c r="E23" s="15"/>
    </row>
    <row r="24" spans="1:7">
      <c r="A24" s="171" t="s">
        <v>77</v>
      </c>
      <c r="B24" s="37">
        <f>aantalw2001_steenkool</f>
        <v>301</v>
      </c>
      <c r="C24" s="166" t="s">
        <v>111</v>
      </c>
      <c r="D24" s="229"/>
      <c r="E24" s="15"/>
    </row>
    <row r="25" spans="1:7">
      <c r="A25" s="171" t="s">
        <v>78</v>
      </c>
      <c r="B25" s="37">
        <f>aantalw2001_stookolie</f>
        <v>3609</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740</v>
      </c>
      <c r="B28" s="37">
        <f>aantalHuishoudens2011</f>
        <v>8540</v>
      </c>
      <c r="C28" s="36"/>
      <c r="D28" s="228"/>
    </row>
    <row r="29" spans="1:7" s="15" customFormat="1">
      <c r="A29" s="230" t="s">
        <v>741</v>
      </c>
      <c r="B29" s="37">
        <f>SUM(HH_hh_gas_aantal,HH_rest_gas_aantal)</f>
        <v>4869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4869</v>
      </c>
      <c r="C32" s="167">
        <f>IF(ISERROR(B32/SUM($B$32,$B$34,$B$35,$B$36,$B$38,$B$39)*100),0,B32/SUM($B$32,$B$34,$B$35,$B$36,$B$38,$B$39)*100)</f>
        <v>57.430997876857745</v>
      </c>
      <c r="D32" s="233"/>
      <c r="G32" s="15"/>
    </row>
    <row r="33" spans="1:7">
      <c r="A33" s="171" t="s">
        <v>72</v>
      </c>
      <c r="B33" s="34" t="s">
        <v>111</v>
      </c>
      <c r="C33" s="167"/>
      <c r="D33" s="233"/>
      <c r="G33" s="15"/>
    </row>
    <row r="34" spans="1:7">
      <c r="A34" s="171" t="s">
        <v>73</v>
      </c>
      <c r="B34" s="33">
        <f>IF((($B$28-$B$32-$B$39-$B$77-$B$38)*C20/100)&lt;0,0,($B$28-$B$32-$B$39-$B$77-$B$38)*C20/100)</f>
        <v>219.75824175824175</v>
      </c>
      <c r="C34" s="167">
        <f>IF(ISERROR(B34/SUM($B$32,$B$34,$B$35,$B$36,$B$38,$B$39)*100),0,B34/SUM($B$32,$B$34,$B$35,$B$36,$B$38,$B$39)*100)</f>
        <v>2.5921000443293436</v>
      </c>
      <c r="D34" s="233"/>
      <c r="G34" s="15"/>
    </row>
    <row r="35" spans="1:7">
      <c r="A35" s="171" t="s">
        <v>74</v>
      </c>
      <c r="B35" s="33">
        <f>IF((($B$28-$B$32-$B$39-$B$77-$B$38)*C21/100)&lt;0,0,($B$28-$B$32-$B$39-$B$77-$B$38)*C21/100)</f>
        <v>2247.5274725274726</v>
      </c>
      <c r="C35" s="167">
        <f>IF(ISERROR(B35/SUM($B$32,$B$34,$B$35,$B$36,$B$38,$B$39)*100),0,B35/SUM($B$32,$B$34,$B$35,$B$36,$B$38,$B$39)*100)</f>
        <v>26.510114089731925</v>
      </c>
      <c r="D35" s="233"/>
      <c r="G35" s="15"/>
    </row>
    <row r="36" spans="1:7">
      <c r="A36" s="171" t="s">
        <v>75</v>
      </c>
      <c r="B36" s="33">
        <f>IF((($B$28-$B$32-$B$39-$B$77-$B$38)*C22/100)&lt;0,0,($B$28-$B$32-$B$39-$B$77-$B$38)*C22/100)</f>
        <v>259.71428571428572</v>
      </c>
      <c r="C36" s="167">
        <f>IF(ISERROR(B36/SUM($B$32,$B$34,$B$35,$B$36,$B$38,$B$39)*100),0,B36/SUM($B$32,$B$34,$B$35,$B$36,$B$38,$B$39)*100)</f>
        <v>3.0633909614801338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882</v>
      </c>
      <c r="C39" s="167">
        <f>IF(ISERROR(B39/SUM($B$32,$B$34,$B$35,$B$36,$B$38,$B$39)*100),0,B39/SUM($B$32,$B$34,$B$35,$B$36,$B$38,$B$39)*100)</f>
        <v>10.40339702760085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4869</v>
      </c>
      <c r="C44" s="34" t="s">
        <v>111</v>
      </c>
      <c r="D44" s="174"/>
    </row>
    <row r="45" spans="1:7">
      <c r="A45" s="171" t="s">
        <v>72</v>
      </c>
      <c r="B45" s="33" t="str">
        <f t="shared" si="0"/>
        <v>-</v>
      </c>
      <c r="C45" s="34" t="s">
        <v>111</v>
      </c>
      <c r="D45" s="174"/>
    </row>
    <row r="46" spans="1:7">
      <c r="A46" s="171" t="s">
        <v>73</v>
      </c>
      <c r="B46" s="33">
        <f t="shared" si="0"/>
        <v>219.75824175824175</v>
      </c>
      <c r="C46" s="34" t="s">
        <v>111</v>
      </c>
      <c r="D46" s="174"/>
    </row>
    <row r="47" spans="1:7">
      <c r="A47" s="171" t="s">
        <v>74</v>
      </c>
      <c r="B47" s="33">
        <f t="shared" si="0"/>
        <v>2247.5274725274726</v>
      </c>
      <c r="C47" s="34" t="s">
        <v>111</v>
      </c>
      <c r="D47" s="174"/>
    </row>
    <row r="48" spans="1:7">
      <c r="A48" s="171" t="s">
        <v>75</v>
      </c>
      <c r="B48" s="33">
        <f t="shared" si="0"/>
        <v>259.71428571428572</v>
      </c>
      <c r="C48" s="33">
        <f>B48*10</f>
        <v>2597.1428571428573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30103.634600000001</v>
      </c>
      <c r="C5" s="17">
        <f>IF(ISERROR('Eigen informatie GS &amp; warmtenet'!B58),0,'Eigen informatie GS &amp; warmtenet'!B58)</f>
        <v>0</v>
      </c>
      <c r="D5" s="30">
        <f>SUM(D6:D12)</f>
        <v>26622.044152702994</v>
      </c>
      <c r="E5" s="17">
        <f>SUM(E6:E12)</f>
        <v>306.42968759654809</v>
      </c>
      <c r="F5" s="17">
        <f>SUM(F6:F12)</f>
        <v>4252.1507232400472</v>
      </c>
      <c r="G5" s="18"/>
      <c r="H5" s="17"/>
      <c r="I5" s="17"/>
      <c r="J5" s="17">
        <f>SUM(J6:J12)</f>
        <v>0</v>
      </c>
      <c r="K5" s="17"/>
      <c r="L5" s="17"/>
      <c r="M5" s="17"/>
      <c r="N5" s="17">
        <f>SUM(N6:N12)</f>
        <v>1963.3305341651719</v>
      </c>
      <c r="O5" s="17">
        <f>B38*B39*B40</f>
        <v>1.5633333333333335</v>
      </c>
      <c r="P5" s="17">
        <f>B46*B47*B48/1000-B46*B47*B48/1000/B49</f>
        <v>19.066666666666666</v>
      </c>
      <c r="R5" s="32"/>
    </row>
    <row r="6" spans="1:18">
      <c r="A6" s="32" t="s">
        <v>54</v>
      </c>
      <c r="B6" s="37">
        <f>B26</f>
        <v>8380.3909999999996</v>
      </c>
      <c r="C6" s="33"/>
      <c r="D6" s="37">
        <f>IF(ISERROR(TER_kantoor_gas_kWh/1000),0,TER_kantoor_gas_kWh/1000)*0.902</f>
        <v>5739.6946160901471</v>
      </c>
      <c r="E6" s="33">
        <f>$C$26*'E Balans VL '!I12/100/3.6*1000000</f>
        <v>24.279222304704714</v>
      </c>
      <c r="F6" s="33">
        <f>$C$26*('E Balans VL '!L12+'E Balans VL '!N12)/100/3.6*1000000</f>
        <v>948.47562687113748</v>
      </c>
      <c r="G6" s="34"/>
      <c r="H6" s="33"/>
      <c r="I6" s="33"/>
      <c r="J6" s="33">
        <f>$C$26*('E Balans VL '!D12+'E Balans VL '!E12)/100/3.6*1000000</f>
        <v>0</v>
      </c>
      <c r="K6" s="33"/>
      <c r="L6" s="33"/>
      <c r="M6" s="33"/>
      <c r="N6" s="33">
        <f>$C$26*'E Balans VL '!Y12/100/3.6*1000000</f>
        <v>83.881538962207387</v>
      </c>
      <c r="O6" s="33"/>
      <c r="P6" s="33"/>
      <c r="R6" s="32"/>
    </row>
    <row r="7" spans="1:18">
      <c r="A7" s="32" t="s">
        <v>53</v>
      </c>
      <c r="B7" s="37">
        <f t="shared" ref="B7:B12" si="0">B27</f>
        <v>2721.2579999999998</v>
      </c>
      <c r="C7" s="33"/>
      <c r="D7" s="37">
        <f>IF(ISERROR(TER_horeca_gas_kWh/1000),0,TER_horeca_gas_kWh/1000)*0.902</f>
        <v>3130.2392732069393</v>
      </c>
      <c r="E7" s="33">
        <f>$C$27*'E Balans VL '!I9/100/3.6*1000000</f>
        <v>114.23080779541331</v>
      </c>
      <c r="F7" s="33">
        <f>$C$27*('E Balans VL '!L9+'E Balans VL '!N9)/100/3.6*1000000</f>
        <v>584.71808595113669</v>
      </c>
      <c r="G7" s="34"/>
      <c r="H7" s="33"/>
      <c r="I7" s="33"/>
      <c r="J7" s="33">
        <f>$C$27*('E Balans VL '!D9+'E Balans VL '!E9)/100/3.6*1000000</f>
        <v>0</v>
      </c>
      <c r="K7" s="33"/>
      <c r="L7" s="33"/>
      <c r="M7" s="33"/>
      <c r="N7" s="33">
        <f>$C$27*'E Balans VL '!Y9/100/3.6*1000000</f>
        <v>0.70124438833545299</v>
      </c>
      <c r="O7" s="33"/>
      <c r="P7" s="33"/>
      <c r="R7" s="32"/>
    </row>
    <row r="8" spans="1:18">
      <c r="A8" s="6" t="s">
        <v>52</v>
      </c>
      <c r="B8" s="37">
        <f t="shared" si="0"/>
        <v>12922.404</v>
      </c>
      <c r="C8" s="33"/>
      <c r="D8" s="37">
        <f>IF(ISERROR(TER_handel_gas_kWh/1000),0,TER_handel_gas_kWh/1000)*0.902</f>
        <v>6406.3660048494585</v>
      </c>
      <c r="E8" s="33">
        <f>$C$28*'E Balans VL '!I13/100/3.6*1000000</f>
        <v>138.79737397112089</v>
      </c>
      <c r="F8" s="33">
        <f>$C$28*('E Balans VL '!L13+'E Balans VL '!N13)/100/3.6*1000000</f>
        <v>1672.9119088124066</v>
      </c>
      <c r="G8" s="34"/>
      <c r="H8" s="33"/>
      <c r="I8" s="33"/>
      <c r="J8" s="33">
        <f>$C$28*('E Balans VL '!D13+'E Balans VL '!E13)/100/3.6*1000000</f>
        <v>0</v>
      </c>
      <c r="K8" s="33"/>
      <c r="L8" s="33"/>
      <c r="M8" s="33"/>
      <c r="N8" s="33">
        <f>$C$28*'E Balans VL '!Y13/100/3.6*1000000</f>
        <v>104.8272468419373</v>
      </c>
      <c r="O8" s="33"/>
      <c r="P8" s="33"/>
      <c r="R8" s="32"/>
    </row>
    <row r="9" spans="1:18">
      <c r="A9" s="32" t="s">
        <v>51</v>
      </c>
      <c r="B9" s="37">
        <f t="shared" si="0"/>
        <v>1455.6659999999999</v>
      </c>
      <c r="C9" s="33"/>
      <c r="D9" s="37">
        <f>IF(ISERROR(TER_gezond_gas_kWh/1000),0,TER_gezond_gas_kWh/1000)*0.902</f>
        <v>643.31132315757588</v>
      </c>
      <c r="E9" s="33">
        <f>$C$29*'E Balans VL '!I10/100/3.6*1000000</f>
        <v>1.158804285954528</v>
      </c>
      <c r="F9" s="33">
        <f>$C$29*('E Balans VL '!L10+'E Balans VL '!N10)/100/3.6*1000000</f>
        <v>176.95723856844523</v>
      </c>
      <c r="G9" s="34"/>
      <c r="H9" s="33"/>
      <c r="I9" s="33"/>
      <c r="J9" s="33">
        <f>$C$29*('E Balans VL '!D10+'E Balans VL '!E10)/100/3.6*1000000</f>
        <v>0</v>
      </c>
      <c r="K9" s="33"/>
      <c r="L9" s="33"/>
      <c r="M9" s="33"/>
      <c r="N9" s="33">
        <f>$C$29*'E Balans VL '!Y10/100/3.6*1000000</f>
        <v>11.758484294632156</v>
      </c>
      <c r="O9" s="33"/>
      <c r="P9" s="33"/>
      <c r="R9" s="32"/>
    </row>
    <row r="10" spans="1:18">
      <c r="A10" s="32" t="s">
        <v>50</v>
      </c>
      <c r="B10" s="37">
        <f t="shared" si="0"/>
        <v>2230.77</v>
      </c>
      <c r="C10" s="33"/>
      <c r="D10" s="37">
        <f>IF(ISERROR(TER_ander_gas_kWh/1000),0,TER_ander_gas_kWh/1000)*0.902</f>
        <v>2230.2009254112199</v>
      </c>
      <c r="E10" s="33">
        <f>$C$30*'E Balans VL '!I14/100/3.6*1000000</f>
        <v>7.6449659796337359</v>
      </c>
      <c r="F10" s="33">
        <f>$C$30*('E Balans VL '!L14+'E Balans VL '!N14)/100/3.6*1000000</f>
        <v>498.26337018519553</v>
      </c>
      <c r="G10" s="34"/>
      <c r="H10" s="33"/>
      <c r="I10" s="33"/>
      <c r="J10" s="33">
        <f>$C$30*('E Balans VL '!D14+'E Balans VL '!E14)/100/3.6*1000000</f>
        <v>0</v>
      </c>
      <c r="K10" s="33"/>
      <c r="L10" s="33"/>
      <c r="M10" s="33"/>
      <c r="N10" s="33">
        <f>$C$30*'E Balans VL '!Y14/100/3.6*1000000</f>
        <v>1571.3665744582979</v>
      </c>
      <c r="O10" s="33"/>
      <c r="P10" s="33"/>
      <c r="R10" s="32"/>
    </row>
    <row r="11" spans="1:18">
      <c r="A11" s="32" t="s">
        <v>55</v>
      </c>
      <c r="B11" s="37">
        <f t="shared" si="0"/>
        <v>157.87960000000001</v>
      </c>
      <c r="C11" s="33"/>
      <c r="D11" s="37">
        <f>IF(ISERROR(TER_onderwijs_gas_kWh/1000),0,TER_onderwijs_gas_kWh/1000)*0.902</f>
        <v>305.97403496914757</v>
      </c>
      <c r="E11" s="33">
        <f>$C$31*'E Balans VL '!I11/100/3.6*1000000</f>
        <v>0.10913730517098978</v>
      </c>
      <c r="F11" s="33">
        <f>$C$31*('E Balans VL '!L11+'E Balans VL '!N11)/100/3.6*1000000</f>
        <v>41.328293188793772</v>
      </c>
      <c r="G11" s="34"/>
      <c r="H11" s="33"/>
      <c r="I11" s="33"/>
      <c r="J11" s="33">
        <f>$C$31*('E Balans VL '!D11+'E Balans VL '!E11)/100/3.6*1000000</f>
        <v>0</v>
      </c>
      <c r="K11" s="33"/>
      <c r="L11" s="33"/>
      <c r="M11" s="33"/>
      <c r="N11" s="33">
        <f>$C$31*'E Balans VL '!Y11/100/3.6*1000000</f>
        <v>0.1571556946646597</v>
      </c>
      <c r="O11" s="33"/>
      <c r="P11" s="33"/>
      <c r="R11" s="32"/>
    </row>
    <row r="12" spans="1:18">
      <c r="A12" s="32" t="s">
        <v>260</v>
      </c>
      <c r="B12" s="37">
        <f t="shared" si="0"/>
        <v>2235.2660000000001</v>
      </c>
      <c r="C12" s="33"/>
      <c r="D12" s="37">
        <f>IF(ISERROR(TER_rest_gas_kWh/1000),0,TER_rest_gas_kWh/1000)*0.902</f>
        <v>8166.2579750185068</v>
      </c>
      <c r="E12" s="33">
        <f>$C$32*'E Balans VL '!I8/100/3.6*1000000</f>
        <v>20.209375954549891</v>
      </c>
      <c r="F12" s="33">
        <f>$C$32*('E Balans VL '!L8+'E Balans VL '!N8)/100/3.6*1000000</f>
        <v>329.49619966293187</v>
      </c>
      <c r="G12" s="34"/>
      <c r="H12" s="33"/>
      <c r="I12" s="33"/>
      <c r="J12" s="33">
        <f>$C$32*('E Balans VL '!D8+'E Balans VL '!E8)/100/3.6*1000000</f>
        <v>0</v>
      </c>
      <c r="K12" s="33"/>
      <c r="L12" s="33"/>
      <c r="M12" s="33"/>
      <c r="N12" s="33">
        <f>$C$32*'E Balans VL '!Y8/100/3.6*1000000</f>
        <v>190.63828952509692</v>
      </c>
      <c r="O12" s="33"/>
      <c r="P12" s="33"/>
      <c r="R12" s="32"/>
    </row>
    <row r="13" spans="1:18">
      <c r="A13" s="16" t="s">
        <v>494</v>
      </c>
      <c r="B13" s="247">
        <f ca="1">'lokale energieproductie'!N91+'lokale energieproductie'!N60</f>
        <v>135</v>
      </c>
      <c r="C13" s="247">
        <f ca="1">'lokale energieproductie'!O91+'lokale energieproductie'!O60</f>
        <v>192.85714285714286</v>
      </c>
      <c r="D13" s="310">
        <f ca="1">('lokale energieproductie'!P60+'lokale energieproductie'!P91)*(-1)</f>
        <v>-385.71428571428572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30238.634600000001</v>
      </c>
      <c r="C16" s="21">
        <f t="shared" ca="1" si="1"/>
        <v>192.85714285714286</v>
      </c>
      <c r="D16" s="21">
        <f t="shared" ca="1" si="1"/>
        <v>26236.329866988708</v>
      </c>
      <c r="E16" s="21">
        <f t="shared" si="1"/>
        <v>306.42968759654809</v>
      </c>
      <c r="F16" s="21">
        <f t="shared" ca="1" si="1"/>
        <v>4252.1507232400472</v>
      </c>
      <c r="G16" s="21">
        <f t="shared" si="1"/>
        <v>0</v>
      </c>
      <c r="H16" s="21">
        <f t="shared" si="1"/>
        <v>0</v>
      </c>
      <c r="I16" s="21">
        <f t="shared" si="1"/>
        <v>0</v>
      </c>
      <c r="J16" s="21">
        <f t="shared" si="1"/>
        <v>0</v>
      </c>
      <c r="K16" s="21">
        <f t="shared" si="1"/>
        <v>0</v>
      </c>
      <c r="L16" s="21">
        <f t="shared" ca="1" si="1"/>
        <v>0</v>
      </c>
      <c r="M16" s="21">
        <f t="shared" si="1"/>
        <v>0</v>
      </c>
      <c r="N16" s="21">
        <f t="shared" ca="1" si="1"/>
        <v>1963.3305341651719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0.1914993859182707</v>
      </c>
      <c r="C18" s="25">
        <f ca="1">'EF ele_warmte'!B22</f>
        <v>0.23618038167738944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5790.6799569069735</v>
      </c>
      <c r="C20" s="23">
        <f t="shared" ref="C20:P20" ca="1" si="2">C16*C18</f>
        <v>45.549073609210822</v>
      </c>
      <c r="D20" s="23">
        <f t="shared" ca="1" si="2"/>
        <v>5299.7386331317193</v>
      </c>
      <c r="E20" s="23">
        <f t="shared" si="2"/>
        <v>69.559539084416414</v>
      </c>
      <c r="F20" s="23">
        <f t="shared" ca="1" si="2"/>
        <v>1135.3242431050926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8380.3909999999996</v>
      </c>
      <c r="C26" s="39">
        <f>IF(ISERROR(B26*3.6/1000000/'E Balans VL '!Z12*100),0,B26*3.6/1000000/'E Balans VL '!Z12*100)</f>
        <v>0.18408497701719592</v>
      </c>
      <c r="D26" s="237" t="s">
        <v>692</v>
      </c>
      <c r="F26" s="6"/>
    </row>
    <row r="27" spans="1:18">
      <c r="A27" s="231" t="s">
        <v>53</v>
      </c>
      <c r="B27" s="33">
        <f>IF(ISERROR(TER_horeca_ele_kWh/1000),0,TER_horeca_ele_kWh/1000)</f>
        <v>2721.2579999999998</v>
      </c>
      <c r="C27" s="39">
        <f>IF(ISERROR(B27*3.6/1000000/'E Balans VL '!Z9*100),0,B27*3.6/1000000/'E Balans VL '!Z9*100)</f>
        <v>0.21868020612012926</v>
      </c>
      <c r="D27" s="237" t="s">
        <v>692</v>
      </c>
      <c r="F27" s="6"/>
    </row>
    <row r="28" spans="1:18">
      <c r="A28" s="171" t="s">
        <v>52</v>
      </c>
      <c r="B28" s="33">
        <f>IF(ISERROR(TER_handel_ele_kWh/1000),0,TER_handel_ele_kWh/1000)</f>
        <v>12922.404</v>
      </c>
      <c r="C28" s="39">
        <f>IF(ISERROR(B28*3.6/1000000/'E Balans VL '!Z13*100),0,B28*3.6/1000000/'E Balans VL '!Z13*100)</f>
        <v>0.38210645849901315</v>
      </c>
      <c r="D28" s="237" t="s">
        <v>692</v>
      </c>
      <c r="F28" s="6"/>
    </row>
    <row r="29" spans="1:18">
      <c r="A29" s="231" t="s">
        <v>51</v>
      </c>
      <c r="B29" s="33">
        <f>IF(ISERROR(TER_gezond_ele_kWh/1000),0,TER_gezond_ele_kWh/1000)</f>
        <v>1455.6659999999999</v>
      </c>
      <c r="C29" s="39">
        <f>IF(ISERROR(B29*3.6/1000000/'E Balans VL '!Z10*100),0,B29*3.6/1000000/'E Balans VL '!Z10*100)</f>
        <v>0.16401597621674022</v>
      </c>
      <c r="D29" s="237" t="s">
        <v>692</v>
      </c>
      <c r="F29" s="6"/>
    </row>
    <row r="30" spans="1:18">
      <c r="A30" s="231" t="s">
        <v>50</v>
      </c>
      <c r="B30" s="33">
        <f>IF(ISERROR(TER_ander_ele_kWh/1000),0,TER_ander_ele_kWh/1000)</f>
        <v>2230.77</v>
      </c>
      <c r="C30" s="39">
        <f>IF(ISERROR(B30*3.6/1000000/'E Balans VL '!Z14*100),0,B30*3.6/1000000/'E Balans VL '!Z14*100)</f>
        <v>0.16870932177093331</v>
      </c>
      <c r="D30" s="237" t="s">
        <v>692</v>
      </c>
      <c r="F30" s="6"/>
    </row>
    <row r="31" spans="1:18">
      <c r="A31" s="231" t="s">
        <v>55</v>
      </c>
      <c r="B31" s="33">
        <f>IF(ISERROR(TER_onderwijs_ele_kWh/1000),0,TER_onderwijs_ele_kWh/1000)</f>
        <v>157.87960000000001</v>
      </c>
      <c r="C31" s="39">
        <f>IF(ISERROR(B31*3.6/1000000/'E Balans VL '!Z11*100),0,B31*3.6/1000000/'E Balans VL '!Z11*100)</f>
        <v>3.2772139942426767E-2</v>
      </c>
      <c r="D31" s="237" t="s">
        <v>692</v>
      </c>
    </row>
    <row r="32" spans="1:18">
      <c r="A32" s="231" t="s">
        <v>260</v>
      </c>
      <c r="B32" s="33">
        <f>IF(ISERROR(TER_rest_ele_kWh/1000),0,TER_rest_ele_kWh/1000)</f>
        <v>2235.2660000000001</v>
      </c>
      <c r="C32" s="39">
        <f>IF(ISERROR(B32*3.6/1000000/'E Balans VL '!Z8*100),0,B32*3.6/1000000/'E Balans VL '!Z8*100)</f>
        <v>1.8830801087542939E-2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7576.6509999999998</v>
      </c>
      <c r="C5" s="17">
        <f>IF(ISERROR('Eigen informatie GS &amp; warmtenet'!B59),0,'Eigen informatie GS &amp; warmtenet'!B59)</f>
        <v>0</v>
      </c>
      <c r="D5" s="30">
        <f>SUM(D6:D15)</f>
        <v>26551.669590528458</v>
      </c>
      <c r="E5" s="17">
        <f>SUM(E6:E15)</f>
        <v>1119.4491903848643</v>
      </c>
      <c r="F5" s="17">
        <f>SUM(F6:F15)</f>
        <v>4578.9148400699878</v>
      </c>
      <c r="G5" s="18"/>
      <c r="H5" s="17"/>
      <c r="I5" s="17"/>
      <c r="J5" s="17">
        <f>SUM(J6:J15)</f>
        <v>24.92005333742048</v>
      </c>
      <c r="K5" s="17"/>
      <c r="L5" s="17"/>
      <c r="M5" s="17"/>
      <c r="N5" s="17">
        <f>SUM(N6:N15)</f>
        <v>2005.1484469800703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577.09130000000005</v>
      </c>
      <c r="C8" s="33"/>
      <c r="D8" s="37">
        <f>IF( ISERROR(IND_metaal_Gas_kWH/1000),0,IND_metaal_Gas_kWH/1000)*0.902</f>
        <v>176.5486184925505</v>
      </c>
      <c r="E8" s="33">
        <f>C30*'E Balans VL '!I18/100/3.6*1000000</f>
        <v>14.442575462720887</v>
      </c>
      <c r="F8" s="33">
        <f>C30*'E Balans VL '!L18/100/3.6*1000000+C30*'E Balans VL '!N18/100/3.6*1000000</f>
        <v>180.86328401975533</v>
      </c>
      <c r="G8" s="34"/>
      <c r="H8" s="33"/>
      <c r="I8" s="33"/>
      <c r="J8" s="40">
        <f>C30*'E Balans VL '!D18/100/3.6*1000000+C30*'E Balans VL '!E18/100/3.6*1000000</f>
        <v>0</v>
      </c>
      <c r="K8" s="33"/>
      <c r="L8" s="33"/>
      <c r="M8" s="33"/>
      <c r="N8" s="33">
        <f>C30*'E Balans VL '!Y18/100/3.6*1000000</f>
        <v>14.498031138522425</v>
      </c>
      <c r="O8" s="33"/>
      <c r="P8" s="33"/>
      <c r="R8" s="32"/>
    </row>
    <row r="9" spans="1:18">
      <c r="A9" s="6" t="s">
        <v>33</v>
      </c>
      <c r="B9" s="37">
        <f t="shared" si="0"/>
        <v>3461.643</v>
      </c>
      <c r="C9" s="33"/>
      <c r="D9" s="37">
        <f>IF( ISERROR(IND_andere_gas_kWh/1000),0,IND_andere_gas_kWh/1000)*0.902</f>
        <v>1734.3456757914541</v>
      </c>
      <c r="E9" s="33">
        <f>C31*'E Balans VL '!I19/100/3.6*1000000</f>
        <v>951.80984551990787</v>
      </c>
      <c r="F9" s="33">
        <f>C31*'E Balans VL '!L19/100/3.6*1000000+C31*'E Balans VL '!N19/100/3.6*1000000</f>
        <v>2728.3770531308746</v>
      </c>
      <c r="G9" s="34"/>
      <c r="H9" s="33"/>
      <c r="I9" s="33"/>
      <c r="J9" s="40">
        <f>C31*'E Balans VL '!D19/100/3.6*1000000+C31*'E Balans VL '!E19/100/3.6*1000000</f>
        <v>0</v>
      </c>
      <c r="K9" s="33"/>
      <c r="L9" s="33"/>
      <c r="M9" s="33"/>
      <c r="N9" s="33">
        <f>C31*'E Balans VL '!Y19/100/3.6*1000000</f>
        <v>1120.6252111850733</v>
      </c>
      <c r="O9" s="33"/>
      <c r="P9" s="33"/>
      <c r="R9" s="32"/>
    </row>
    <row r="10" spans="1:18">
      <c r="A10" s="6" t="s">
        <v>41</v>
      </c>
      <c r="B10" s="37">
        <f t="shared" si="0"/>
        <v>532.82669999999996</v>
      </c>
      <c r="C10" s="33"/>
      <c r="D10" s="37">
        <f>IF( ISERROR(IND_voed_gas_kWh/1000),0,IND_voed_gas_kWh/1000)*0.902</f>
        <v>354.7115703862134</v>
      </c>
      <c r="E10" s="33">
        <f>C32*'E Balans VL '!I20/100/3.6*1000000</f>
        <v>5.4318746705960459</v>
      </c>
      <c r="F10" s="33">
        <f>C32*'E Balans VL '!L20/100/3.6*1000000+C32*'E Balans VL '!N20/100/3.6*1000000</f>
        <v>1006.5063037906818</v>
      </c>
      <c r="G10" s="34"/>
      <c r="H10" s="33"/>
      <c r="I10" s="33"/>
      <c r="J10" s="40">
        <f>C32*'E Balans VL '!D20/100/3.6*1000000+C32*'E Balans VL '!E20/100/3.6*1000000</f>
        <v>12.75228634785554</v>
      </c>
      <c r="K10" s="33"/>
      <c r="L10" s="33"/>
      <c r="M10" s="33"/>
      <c r="N10" s="33">
        <f>C32*'E Balans VL '!Y20/100/3.6*1000000</f>
        <v>280.86104500992781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104.77800000000001</v>
      </c>
      <c r="C13" s="33"/>
      <c r="D13" s="37">
        <f>IF( ISERROR(IND_papier_gas_kWh/1000),0,IND_papier_gas_kWh/1000)*0.902</f>
        <v>134.51494015035442</v>
      </c>
      <c r="E13" s="33">
        <f>C35*'E Balans VL '!I23/100/3.6*1000000</f>
        <v>0.21700231034470091</v>
      </c>
      <c r="F13" s="33">
        <f>C35*'E Balans VL '!L23/100/3.6*1000000+C35*'E Balans VL '!N23/100/3.6*1000000</f>
        <v>2.0779723661785363</v>
      </c>
      <c r="G13" s="34"/>
      <c r="H13" s="33"/>
      <c r="I13" s="33"/>
      <c r="J13" s="40">
        <f>C35*'E Balans VL '!D23/100/3.6*1000000+C35*'E Balans VL '!E23/100/3.6*1000000</f>
        <v>0</v>
      </c>
      <c r="K13" s="33"/>
      <c r="L13" s="33"/>
      <c r="M13" s="33"/>
      <c r="N13" s="33">
        <f>C35*'E Balans VL '!Y23/100/3.6*1000000</f>
        <v>44.242287195057493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2900.3119999999999</v>
      </c>
      <c r="C15" s="33"/>
      <c r="D15" s="37">
        <f>IF( ISERROR(IND_rest_gas_kWh/1000),0,IND_rest_gas_kWh/1000)*0.902</f>
        <v>24151.548785707884</v>
      </c>
      <c r="E15" s="33">
        <f>C37*'E Balans VL '!I15/100/3.6*1000000</f>
        <v>147.54789242129479</v>
      </c>
      <c r="F15" s="33">
        <f>C37*'E Balans VL '!L15/100/3.6*1000000+C37*'E Balans VL '!N15/100/3.6*1000000</f>
        <v>661.0902267624972</v>
      </c>
      <c r="G15" s="34"/>
      <c r="H15" s="33"/>
      <c r="I15" s="33"/>
      <c r="J15" s="40">
        <f>C37*'E Balans VL '!D15/100/3.6*1000000+C37*'E Balans VL '!E15/100/3.6*1000000</f>
        <v>12.167766989564941</v>
      </c>
      <c r="K15" s="33"/>
      <c r="L15" s="33"/>
      <c r="M15" s="33"/>
      <c r="N15" s="33">
        <f>C37*'E Balans VL '!Y15/100/3.6*1000000</f>
        <v>544.92187245148898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7576.6509999999998</v>
      </c>
      <c r="C18" s="21">
        <f>C5+C16</f>
        <v>0</v>
      </c>
      <c r="D18" s="21">
        <f>MAX((D5+D16),0)</f>
        <v>26551.669590528458</v>
      </c>
      <c r="E18" s="21">
        <f>MAX((E5+E16),0)</f>
        <v>1119.4491903848643</v>
      </c>
      <c r="F18" s="21">
        <f>MAX((F5+F16),0)</f>
        <v>4578.9148400699878</v>
      </c>
      <c r="G18" s="21"/>
      <c r="H18" s="21"/>
      <c r="I18" s="21"/>
      <c r="J18" s="21">
        <f>MAX((J5+J16),0)</f>
        <v>24.92005333742048</v>
      </c>
      <c r="K18" s="21"/>
      <c r="L18" s="21">
        <f>MAX((L5+L16),0)</f>
        <v>0</v>
      </c>
      <c r="M18" s="21"/>
      <c r="N18" s="21">
        <f>MAX((N5+N16),0)</f>
        <v>2005.1484469800703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0.1914993859182707</v>
      </c>
      <c r="C20" s="25">
        <f ca="1">'EF ele_warmte'!B22</f>
        <v>0.23618038167738944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1450.9240138170517</v>
      </c>
      <c r="C22" s="23">
        <f ca="1">C18*C20</f>
        <v>0</v>
      </c>
      <c r="D22" s="23">
        <f>D18*D20</f>
        <v>5363.4372572867487</v>
      </c>
      <c r="E22" s="23">
        <f>E18*E20</f>
        <v>254.11496621736421</v>
      </c>
      <c r="F22" s="23">
        <f>F18*F20</f>
        <v>1222.5702622986869</v>
      </c>
      <c r="G22" s="23"/>
      <c r="H22" s="23"/>
      <c r="I22" s="23"/>
      <c r="J22" s="23">
        <f>J18*J20</f>
        <v>8.8216988814468493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577.09130000000005</v>
      </c>
      <c r="C30" s="39">
        <f>IF(ISERROR(B30*3.6/1000000/'E Balans VL '!Z18*100),0,B30*3.6/1000000/'E Balans VL '!Z18*100)</f>
        <v>8.0773550219968168E-2</v>
      </c>
      <c r="D30" s="237" t="s">
        <v>692</v>
      </c>
    </row>
    <row r="31" spans="1:18">
      <c r="A31" s="6" t="s">
        <v>33</v>
      </c>
      <c r="B31" s="37">
        <f>IF( ISERROR(IND_ander_ele_kWh/1000),0,IND_ander_ele_kWh/1000)</f>
        <v>3461.643</v>
      </c>
      <c r="C31" s="39">
        <f>IF(ISERROR(B31*3.6/1000000/'E Balans VL '!Z19*100),0,B31*3.6/1000000/'E Balans VL '!Z19*100)</f>
        <v>0.15151555255172239</v>
      </c>
      <c r="D31" s="237" t="s">
        <v>692</v>
      </c>
    </row>
    <row r="32" spans="1:18">
      <c r="A32" s="171" t="s">
        <v>41</v>
      </c>
      <c r="B32" s="37">
        <f>IF( ISERROR(IND_voed_ele_kWh/1000),0,IND_voed_ele_kWh/1000)</f>
        <v>532.82669999999996</v>
      </c>
      <c r="C32" s="39">
        <f>IF(ISERROR(B32*3.6/1000000/'E Balans VL '!Z20*100),0,B32*3.6/1000000/'E Balans VL '!Z20*100)</f>
        <v>0.13191019661807293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104.77800000000001</v>
      </c>
      <c r="C35" s="39">
        <f>IF(ISERROR(B35*3.6/1000000/'E Balans VL '!Z22*100),0,B35*3.6/1000000/'E Balans VL '!Z22*100)</f>
        <v>2.9731721687342103E-3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2900.3119999999999</v>
      </c>
      <c r="C37" s="39">
        <f>IF(ISERROR(B37*3.6/1000000/'E Balans VL '!Z15*100),0,B37*3.6/1000000/'E Balans VL '!Z15*100)</f>
        <v>2.1505316925573181E-2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11260.7479</v>
      </c>
      <c r="C5" s="17">
        <f>'Eigen informatie GS &amp; warmtenet'!B60</f>
        <v>0</v>
      </c>
      <c r="D5" s="30">
        <f>IF(ISERROR(SUM(LB_lb_gas_kWh,LB_rest_gas_kWh)/1000),0,SUM(LB_lb_gas_kWh,LB_rest_gas_kWh)/1000)*0.902</f>
        <v>47251.726848291568</v>
      </c>
      <c r="E5" s="17">
        <f>B17*'E Balans VL '!I25/3.6*1000000/100</f>
        <v>104.30176348456425</v>
      </c>
      <c r="F5" s="17">
        <f>B17*('E Balans VL '!L25/3.6*1000000+'E Balans VL '!N25/3.6*1000000)/100</f>
        <v>28570.662592573528</v>
      </c>
      <c r="G5" s="18"/>
      <c r="H5" s="17"/>
      <c r="I5" s="17"/>
      <c r="J5" s="17">
        <f>('E Balans VL '!D25+'E Balans VL '!E25)/3.6*1000000*landbouw!B17/100</f>
        <v>1726.3983233833446</v>
      </c>
      <c r="K5" s="17"/>
      <c r="L5" s="17">
        <f>L6*(-1)</f>
        <v>0</v>
      </c>
      <c r="M5" s="17"/>
      <c r="N5" s="17">
        <f>N6*(-1)</f>
        <v>124.71428571428569</v>
      </c>
      <c r="O5" s="17"/>
      <c r="P5" s="17"/>
      <c r="R5" s="32"/>
    </row>
    <row r="6" spans="1:18">
      <c r="A6" s="16" t="s">
        <v>494</v>
      </c>
      <c r="B6" s="17" t="s">
        <v>211</v>
      </c>
      <c r="C6" s="17">
        <f>'lokale energieproductie'!O92+'lokale energieproductie'!O61</f>
        <v>9910.9285714285706</v>
      </c>
      <c r="D6" s="310">
        <f>('lokale energieproductie'!P61+'lokale energieproductie'!P92)*(-1)</f>
        <v>-19697.142857142859</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11260.7479</v>
      </c>
      <c r="C8" s="21">
        <f>C5+C6</f>
        <v>9910.9285714285706</v>
      </c>
      <c r="D8" s="21">
        <f>MAX((D5+D6),0)</f>
        <v>27554.583991148709</v>
      </c>
      <c r="E8" s="21">
        <f>MAX((E5+E6),0)</f>
        <v>104.30176348456425</v>
      </c>
      <c r="F8" s="21">
        <f>MAX((F5+F6),0)</f>
        <v>28570.662592573528</v>
      </c>
      <c r="G8" s="21"/>
      <c r="H8" s="21"/>
      <c r="I8" s="21"/>
      <c r="J8" s="21">
        <f>MAX((J5+J6),0)</f>
        <v>1726.3983233833446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0.1914993859182707</v>
      </c>
      <c r="C10" s="31">
        <f ca="1">'EF ele_warmte'!B22</f>
        <v>0.23618038167738944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2156.4263078304566</v>
      </c>
      <c r="C12" s="23">
        <f ca="1">C8*C10</f>
        <v>2340.7668927773439</v>
      </c>
      <c r="D12" s="23">
        <f>D8*D10</f>
        <v>5566.0259662120397</v>
      </c>
      <c r="E12" s="23">
        <f>E8*E10</f>
        <v>23.676500310996087</v>
      </c>
      <c r="F12" s="23">
        <f>F8*F10</f>
        <v>7628.3669122171323</v>
      </c>
      <c r="G12" s="23"/>
      <c r="H12" s="23"/>
      <c r="I12" s="23"/>
      <c r="J12" s="23">
        <f>J8*J10</f>
        <v>611.14500647770399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1.6010395822534984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786.76455228567045</v>
      </c>
      <c r="C26" s="247">
        <f>B26*'GWP N2O_CH4'!B5</f>
        <v>16522.055597999079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237.65865705465356</v>
      </c>
      <c r="C27" s="247">
        <f>B27*'GWP N2O_CH4'!B5</f>
        <v>4990.8317981477248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10.844435793345458</v>
      </c>
      <c r="C28" s="247">
        <f>B28*'GWP N2O_CH4'!B4</f>
        <v>3361.7750959370919</v>
      </c>
      <c r="D28" s="50"/>
    </row>
    <row r="29" spans="1:4">
      <c r="A29" s="41" t="s">
        <v>277</v>
      </c>
      <c r="B29" s="247">
        <f>B34*'ha_N2O bodem landbouw'!B4</f>
        <v>23.354609056695327</v>
      </c>
      <c r="C29" s="247">
        <f>B29*'GWP N2O_CH4'!B4</f>
        <v>7239.9288075755512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5.2380273660205248E-3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1.1707934021827621E-4</v>
      </c>
      <c r="C5" s="464" t="s">
        <v>211</v>
      </c>
      <c r="D5" s="449">
        <f>SUM(D6:D11)</f>
        <v>3.0486170503981615E-4</v>
      </c>
      <c r="E5" s="449">
        <f>SUM(E6:E11)</f>
        <v>2.2328936005352566E-3</v>
      </c>
      <c r="F5" s="462" t="s">
        <v>211</v>
      </c>
      <c r="G5" s="449">
        <f>SUM(G6:G11)</f>
        <v>0.82968391489575799</v>
      </c>
      <c r="H5" s="449">
        <f>SUM(H6:H11)</f>
        <v>0.11839408461150489</v>
      </c>
      <c r="I5" s="464" t="s">
        <v>211</v>
      </c>
      <c r="J5" s="464" t="s">
        <v>211</v>
      </c>
      <c r="K5" s="464" t="s">
        <v>211</v>
      </c>
      <c r="L5" s="464" t="s">
        <v>211</v>
      </c>
      <c r="M5" s="449">
        <f>SUM(M6:M11)</f>
        <v>5.1637984930673023E-2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3.1114220383955999E-5</v>
      </c>
      <c r="C6" s="450"/>
      <c r="D6" s="893">
        <f>vkm_2011_GW_PW*SUMIFS(TableVerdeelsleutelVkm[CNG],TableVerdeelsleutelVkm[Voertuigtype],"Lichte voertuigen")*SUMIFS(TableECFTransport[EnergieConsumptieFactor (PJ per km)],TableECFTransport[Index],CONCATENATE($A6,"_CNG_CNG"))</f>
        <v>7.197061728185282E-5</v>
      </c>
      <c r="E6" s="893">
        <f>vkm_2011_GW_PW*SUMIFS(TableVerdeelsleutelVkm[LPG],TableVerdeelsleutelVkm[Voertuigtype],"Lichte voertuigen")*SUMIFS(TableECFTransport[EnergieConsumptieFactor (PJ per km)],TableECFTransport[Index],CONCATENATE($A6,"_LPG_LPG"))</f>
        <v>4.6862919790104514E-4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9.7354248818647557E-2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2.744215085631518E-2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6.4762862071053437E-3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6.9949366622898107E-2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2.3921413045357954E-5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4.0469673501379666E-3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1.4646360105202751E-5</v>
      </c>
      <c r="C8" s="450"/>
      <c r="D8" s="452">
        <f>vkm_2011_NGW_PW*SUMIFS(TableVerdeelsleutelVkm[CNG],TableVerdeelsleutelVkm[Voertuigtype],"Lichte voertuigen")*SUMIFS(TableECFTransport[EnergieConsumptieFactor (PJ per km)],TableECFTransport[Index],CONCATENATE($A8,"_CNG_CNG"))</f>
        <v>5.9921419382949766E-5</v>
      </c>
      <c r="E8" s="452">
        <f>vkm_2011_NGW_PW*SUMIFS(TableVerdeelsleutelVkm[LPG],TableVerdeelsleutelVkm[Voertuigtype],"Lichte voertuigen")*SUMIFS(TableECFTransport[EnergieConsumptieFactor (PJ per km)],TableECFTransport[Index],CONCATENATE($A8,"_LPG_LPG"))</f>
        <v>3.6008825328311432E-4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6.9928609794702376E-2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2.2092241847864749E-2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4.7251474869732836E-3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1.6250587111201073E-2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5.2585006912188189E-6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9.4017937499863411E-4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7.131875972911745E-5</v>
      </c>
      <c r="C10" s="450"/>
      <c r="D10" s="452">
        <f>vkm_2011_SW_PW*SUMIFS(TableVerdeelsleutelVkm[CNG],TableVerdeelsleutelVkm[Voertuigtype],"Lichte voertuigen")*SUMIFS(TableECFTransport[EnergieConsumptieFactor (PJ per km)],TableECFTransport[Index],CONCATENATE($A10,"_CNG_CNG"))</f>
        <v>1.729696683750136E-4</v>
      </c>
      <c r="E10" s="452">
        <f>vkm_2011_SW_PW*SUMIFS(TableVerdeelsleutelVkm[LPG],TableVerdeelsleutelVkm[Voertuigtype],"Lichte voertuigen")*SUMIFS(TableECFTransport[EnergieConsumptieFactor (PJ per km)],TableECFTransport[Index],CONCATENATE($A10,"_LPG_LPG"))</f>
        <v>1.4041761493510973E-3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0.26262125731515207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6.8714938296301112E-2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1.7306776415038576E-2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0.31357984523315685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1.1557369728726498E-4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1.8142628096419217E-2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32.522038949521168</v>
      </c>
      <c r="C14" s="21"/>
      <c r="D14" s="21">
        <f t="shared" ref="D14:M14" si="0">((D5)*10^9/3600)+D12</f>
        <v>84.68380695550448</v>
      </c>
      <c r="E14" s="21">
        <f t="shared" si="0"/>
        <v>620.24822237090461</v>
      </c>
      <c r="F14" s="21"/>
      <c r="G14" s="21">
        <f t="shared" si="0"/>
        <v>230467.75413771055</v>
      </c>
      <c r="H14" s="21">
        <f t="shared" si="0"/>
        <v>32887.245725418026</v>
      </c>
      <c r="I14" s="21"/>
      <c r="J14" s="21"/>
      <c r="K14" s="21"/>
      <c r="L14" s="21"/>
      <c r="M14" s="21">
        <f t="shared" si="0"/>
        <v>14343.88470296473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0.1914993859182707</v>
      </c>
      <c r="C16" s="56">
        <f ca="1">'EF ele_warmte'!B22</f>
        <v>0.23618038167738944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6.2279504876433851</v>
      </c>
      <c r="C18" s="23"/>
      <c r="D18" s="23">
        <f t="shared" ref="D18:M18" si="1">D14*D16</f>
        <v>17.106129005011905</v>
      </c>
      <c r="E18" s="23">
        <f t="shared" si="1"/>
        <v>140.79634647819535</v>
      </c>
      <c r="F18" s="23"/>
      <c r="G18" s="23">
        <f t="shared" si="1"/>
        <v>61534.890354768722</v>
      </c>
      <c r="H18" s="23">
        <f t="shared" si="1"/>
        <v>8188.9241856290882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7.8656703635098593E-3</v>
      </c>
      <c r="H50" s="321">
        <f t="shared" si="2"/>
        <v>0</v>
      </c>
      <c r="I50" s="321">
        <f t="shared" si="2"/>
        <v>0</v>
      </c>
      <c r="J50" s="321">
        <f t="shared" si="2"/>
        <v>0</v>
      </c>
      <c r="K50" s="321">
        <f t="shared" si="2"/>
        <v>0</v>
      </c>
      <c r="L50" s="321">
        <f t="shared" si="2"/>
        <v>0</v>
      </c>
      <c r="M50" s="321">
        <f t="shared" si="2"/>
        <v>4.4855625116320278E-4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7.8656703635098593E-3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4.4855625116320278E-4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2184.9084343082941</v>
      </c>
      <c r="H54" s="21">
        <f t="shared" si="3"/>
        <v>0</v>
      </c>
      <c r="I54" s="21">
        <f t="shared" si="3"/>
        <v>0</v>
      </c>
      <c r="J54" s="21">
        <f t="shared" si="3"/>
        <v>0</v>
      </c>
      <c r="K54" s="21">
        <f t="shared" si="3"/>
        <v>0</v>
      </c>
      <c r="L54" s="21">
        <f t="shared" si="3"/>
        <v>0</v>
      </c>
      <c r="M54" s="21">
        <f t="shared" si="3"/>
        <v>124.59895865644522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0.1914993859182707</v>
      </c>
      <c r="C56" s="56">
        <f ca="1">'EF ele_warmte'!B22</f>
        <v>0.23618038167738944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583.37055196031451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31978.729600000002</v>
      </c>
      <c r="D10" s="1025">
        <f ca="1">tertiair!C16</f>
        <v>192.85714285714286</v>
      </c>
      <c r="E10" s="1025">
        <f ca="1">tertiair!D16</f>
        <v>26236.329866988708</v>
      </c>
      <c r="F10" s="1025">
        <f>tertiair!E16</f>
        <v>306.42968759654809</v>
      </c>
      <c r="G10" s="1025">
        <f ca="1">tertiair!F16</f>
        <v>4252.1507232400472</v>
      </c>
      <c r="H10" s="1025">
        <f>tertiair!G16</f>
        <v>0</v>
      </c>
      <c r="I10" s="1025">
        <f>tertiair!H16</f>
        <v>0</v>
      </c>
      <c r="J10" s="1025">
        <f>tertiair!I16</f>
        <v>0</v>
      </c>
      <c r="K10" s="1025">
        <f>tertiair!J16</f>
        <v>0</v>
      </c>
      <c r="L10" s="1025">
        <f>tertiair!K16</f>
        <v>0</v>
      </c>
      <c r="M10" s="1025">
        <f ca="1">tertiair!L16</f>
        <v>0</v>
      </c>
      <c r="N10" s="1025">
        <f>tertiair!M16</f>
        <v>0</v>
      </c>
      <c r="O10" s="1025">
        <f ca="1">tertiair!N16</f>
        <v>1963.3305341651719</v>
      </c>
      <c r="P10" s="1025">
        <f>tertiair!O16</f>
        <v>1.5633333333333335</v>
      </c>
      <c r="Q10" s="1026">
        <f>tertiair!P16</f>
        <v>19.066666666666666</v>
      </c>
      <c r="R10" s="701">
        <f ca="1">SUM(C10:Q10)</f>
        <v>64950.457554847613</v>
      </c>
      <c r="S10" s="67"/>
    </row>
    <row r="11" spans="1:19" s="474" customFormat="1">
      <c r="A11" s="810" t="s">
        <v>225</v>
      </c>
      <c r="B11" s="815"/>
      <c r="C11" s="1025">
        <f>huishoudens!B8</f>
        <v>43411.960583249544</v>
      </c>
      <c r="D11" s="1025">
        <f>huishoudens!C8</f>
        <v>0</v>
      </c>
      <c r="E11" s="1025">
        <f>huishoudens!D8</f>
        <v>65100.769411397479</v>
      </c>
      <c r="F11" s="1025">
        <f>huishoudens!E8</f>
        <v>3278.9018479254055</v>
      </c>
      <c r="G11" s="1025">
        <f>huishoudens!F8</f>
        <v>21711.740608079908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14695.259860285549</v>
      </c>
      <c r="P11" s="1025">
        <f>huishoudens!O8</f>
        <v>401.7766666666667</v>
      </c>
      <c r="Q11" s="1026">
        <f>huishoudens!P8</f>
        <v>1182.1333333333332</v>
      </c>
      <c r="R11" s="701">
        <f>SUM(C11:Q11)</f>
        <v>149782.54231093789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7576.6509999999998</v>
      </c>
      <c r="D13" s="1025">
        <f>industrie!C18</f>
        <v>0</v>
      </c>
      <c r="E13" s="1025">
        <f>industrie!D18</f>
        <v>26551.669590528458</v>
      </c>
      <c r="F13" s="1025">
        <f>industrie!E18</f>
        <v>1119.4491903848643</v>
      </c>
      <c r="G13" s="1025">
        <f>industrie!F18</f>
        <v>4578.9148400699878</v>
      </c>
      <c r="H13" s="1025">
        <f>industrie!G18</f>
        <v>0</v>
      </c>
      <c r="I13" s="1025">
        <f>industrie!H18</f>
        <v>0</v>
      </c>
      <c r="J13" s="1025">
        <f>industrie!I18</f>
        <v>0</v>
      </c>
      <c r="K13" s="1025">
        <f>industrie!J18</f>
        <v>24.92005333742048</v>
      </c>
      <c r="L13" s="1025">
        <f>industrie!K18</f>
        <v>0</v>
      </c>
      <c r="M13" s="1025">
        <f>industrie!L18</f>
        <v>0</v>
      </c>
      <c r="N13" s="1025">
        <f>industrie!M18</f>
        <v>0</v>
      </c>
      <c r="O13" s="1025">
        <f>industrie!N18</f>
        <v>2005.1484469800703</v>
      </c>
      <c r="P13" s="1025">
        <f>industrie!O18</f>
        <v>0</v>
      </c>
      <c r="Q13" s="1026">
        <f>industrie!P18</f>
        <v>0</v>
      </c>
      <c r="R13" s="701">
        <f>SUM(C13:Q13)</f>
        <v>41856.75312130079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82967.341183249548</v>
      </c>
      <c r="D16" s="733">
        <f t="shared" ref="D16:R16" ca="1" si="0">SUM(D9:D15)</f>
        <v>192.85714285714286</v>
      </c>
      <c r="E16" s="733">
        <f t="shared" ca="1" si="0"/>
        <v>117888.76886891465</v>
      </c>
      <c r="F16" s="733">
        <f t="shared" si="0"/>
        <v>4704.7807259068177</v>
      </c>
      <c r="G16" s="733">
        <f t="shared" ca="1" si="0"/>
        <v>30542.806171389944</v>
      </c>
      <c r="H16" s="733">
        <f t="shared" si="0"/>
        <v>0</v>
      </c>
      <c r="I16" s="733">
        <f t="shared" si="0"/>
        <v>0</v>
      </c>
      <c r="J16" s="733">
        <f t="shared" si="0"/>
        <v>0</v>
      </c>
      <c r="K16" s="733">
        <f t="shared" si="0"/>
        <v>24.92005333742048</v>
      </c>
      <c r="L16" s="733">
        <f t="shared" si="0"/>
        <v>0</v>
      </c>
      <c r="M16" s="733">
        <f t="shared" ca="1" si="0"/>
        <v>0</v>
      </c>
      <c r="N16" s="733">
        <f t="shared" si="0"/>
        <v>0</v>
      </c>
      <c r="O16" s="733">
        <f t="shared" ca="1" si="0"/>
        <v>18663.73884143079</v>
      </c>
      <c r="P16" s="733">
        <f t="shared" si="0"/>
        <v>403.34000000000003</v>
      </c>
      <c r="Q16" s="733">
        <f t="shared" si="0"/>
        <v>1201.1999999999998</v>
      </c>
      <c r="R16" s="733">
        <f t="shared" ca="1" si="0"/>
        <v>256589.75298708631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2184.9084343082941</v>
      </c>
      <c r="I19" s="1025">
        <f>transport!H54</f>
        <v>0</v>
      </c>
      <c r="J19" s="1025">
        <f>transport!I54</f>
        <v>0</v>
      </c>
      <c r="K19" s="1025">
        <f>transport!J54</f>
        <v>0</v>
      </c>
      <c r="L19" s="1025">
        <f>transport!K54</f>
        <v>0</v>
      </c>
      <c r="M19" s="1025">
        <f>transport!L54</f>
        <v>0</v>
      </c>
      <c r="N19" s="1025">
        <f>transport!M54</f>
        <v>124.59895865644522</v>
      </c>
      <c r="O19" s="1025">
        <f>transport!N54</f>
        <v>0</v>
      </c>
      <c r="P19" s="1025">
        <f>transport!O54</f>
        <v>0</v>
      </c>
      <c r="Q19" s="1026">
        <f>transport!P54</f>
        <v>0</v>
      </c>
      <c r="R19" s="701">
        <f>SUM(C19:Q19)</f>
        <v>2309.5073929647392</v>
      </c>
      <c r="S19" s="67"/>
    </row>
    <row r="20" spans="1:19" s="474" customFormat="1">
      <c r="A20" s="810" t="s">
        <v>307</v>
      </c>
      <c r="B20" s="815"/>
      <c r="C20" s="1025">
        <f>transport!B14</f>
        <v>32.522038949521168</v>
      </c>
      <c r="D20" s="1025">
        <f>transport!C14</f>
        <v>0</v>
      </c>
      <c r="E20" s="1025">
        <f>transport!D14</f>
        <v>84.68380695550448</v>
      </c>
      <c r="F20" s="1025">
        <f>transport!E14</f>
        <v>620.24822237090461</v>
      </c>
      <c r="G20" s="1025">
        <f>transport!F14</f>
        <v>0</v>
      </c>
      <c r="H20" s="1025">
        <f>transport!G14</f>
        <v>230467.75413771055</v>
      </c>
      <c r="I20" s="1025">
        <f>transport!H14</f>
        <v>32887.245725418026</v>
      </c>
      <c r="J20" s="1025">
        <f>transport!I14</f>
        <v>0</v>
      </c>
      <c r="K20" s="1025">
        <f>transport!J14</f>
        <v>0</v>
      </c>
      <c r="L20" s="1025">
        <f>transport!K14</f>
        <v>0</v>
      </c>
      <c r="M20" s="1025">
        <f>transport!L14</f>
        <v>0</v>
      </c>
      <c r="N20" s="1025">
        <f>transport!M14</f>
        <v>14343.88470296473</v>
      </c>
      <c r="O20" s="1025">
        <f>transport!N14</f>
        <v>0</v>
      </c>
      <c r="P20" s="1025">
        <f>transport!O14</f>
        <v>0</v>
      </c>
      <c r="Q20" s="1026">
        <f>transport!P14</f>
        <v>0</v>
      </c>
      <c r="R20" s="701">
        <f>SUM(C20:Q20)</f>
        <v>278436.33863436925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32.522038949521168</v>
      </c>
      <c r="D22" s="813">
        <f t="shared" ref="D22:R22" si="1">SUM(D18:D21)</f>
        <v>0</v>
      </c>
      <c r="E22" s="813">
        <f t="shared" si="1"/>
        <v>84.68380695550448</v>
      </c>
      <c r="F22" s="813">
        <f t="shared" si="1"/>
        <v>620.24822237090461</v>
      </c>
      <c r="G22" s="813">
        <f t="shared" si="1"/>
        <v>0</v>
      </c>
      <c r="H22" s="813">
        <f t="shared" si="1"/>
        <v>232652.66257201886</v>
      </c>
      <c r="I22" s="813">
        <f t="shared" si="1"/>
        <v>32887.245725418026</v>
      </c>
      <c r="J22" s="813">
        <f t="shared" si="1"/>
        <v>0</v>
      </c>
      <c r="K22" s="813">
        <f t="shared" si="1"/>
        <v>0</v>
      </c>
      <c r="L22" s="813">
        <f t="shared" si="1"/>
        <v>0</v>
      </c>
      <c r="M22" s="813">
        <f t="shared" si="1"/>
        <v>0</v>
      </c>
      <c r="N22" s="813">
        <f t="shared" si="1"/>
        <v>14468.483661621174</v>
      </c>
      <c r="O22" s="813">
        <f t="shared" si="1"/>
        <v>0</v>
      </c>
      <c r="P22" s="813">
        <f t="shared" si="1"/>
        <v>0</v>
      </c>
      <c r="Q22" s="813">
        <f t="shared" si="1"/>
        <v>0</v>
      </c>
      <c r="R22" s="813">
        <f t="shared" si="1"/>
        <v>280745.84602733399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11260.7479</v>
      </c>
      <c r="D24" s="1025">
        <f>+landbouw!C8</f>
        <v>9910.9285714285706</v>
      </c>
      <c r="E24" s="1025">
        <f>+landbouw!D8</f>
        <v>27554.583991148709</v>
      </c>
      <c r="F24" s="1025">
        <f>+landbouw!E8</f>
        <v>104.30176348456425</v>
      </c>
      <c r="G24" s="1025">
        <f>+landbouw!F8</f>
        <v>28570.662592573528</v>
      </c>
      <c r="H24" s="1025">
        <f>+landbouw!G8</f>
        <v>0</v>
      </c>
      <c r="I24" s="1025">
        <f>+landbouw!H8</f>
        <v>0</v>
      </c>
      <c r="J24" s="1025">
        <f>+landbouw!I8</f>
        <v>0</v>
      </c>
      <c r="K24" s="1025">
        <f>+landbouw!J8</f>
        <v>1726.3983233833446</v>
      </c>
      <c r="L24" s="1025">
        <f>+landbouw!K8</f>
        <v>0</v>
      </c>
      <c r="M24" s="1025">
        <f>+landbouw!L8</f>
        <v>0</v>
      </c>
      <c r="N24" s="1025">
        <f>+landbouw!M8</f>
        <v>0</v>
      </c>
      <c r="O24" s="1025">
        <f>+landbouw!N8</f>
        <v>0</v>
      </c>
      <c r="P24" s="1025">
        <f>+landbouw!O8</f>
        <v>0</v>
      </c>
      <c r="Q24" s="1026">
        <f>+landbouw!P8</f>
        <v>0</v>
      </c>
      <c r="R24" s="701">
        <f>SUM(C24:Q24)</f>
        <v>79127.623142018725</v>
      </c>
      <c r="S24" s="67"/>
    </row>
    <row r="25" spans="1:19" s="474" customFormat="1" ht="15" thickBot="1">
      <c r="A25" s="832" t="s">
        <v>864</v>
      </c>
      <c r="B25" s="1028"/>
      <c r="C25" s="1029">
        <f>IF(Onbekend_ele_kWh="---",0,Onbekend_ele_kWh)/1000+IF(REST_rest_ele_kWh="---",0,REST_rest_ele_kWh)/1000</f>
        <v>1184.415</v>
      </c>
      <c r="D25" s="1029"/>
      <c r="E25" s="1029">
        <f>IF(onbekend_gas_kWh="---",0,onbekend_gas_kWh)/1000+IF(REST_rest_gas_kWh="---",0,REST_rest_gas_kWh)/1000</f>
        <v>1514.32298547708</v>
      </c>
      <c r="F25" s="1029"/>
      <c r="G25" s="1029"/>
      <c r="H25" s="1029"/>
      <c r="I25" s="1029"/>
      <c r="J25" s="1029"/>
      <c r="K25" s="1029"/>
      <c r="L25" s="1029"/>
      <c r="M25" s="1029"/>
      <c r="N25" s="1029"/>
      <c r="O25" s="1029"/>
      <c r="P25" s="1029"/>
      <c r="Q25" s="1030"/>
      <c r="R25" s="701">
        <f>SUM(C25:Q25)</f>
        <v>2698.7379854770797</v>
      </c>
      <c r="S25" s="67"/>
    </row>
    <row r="26" spans="1:19" s="474" customFormat="1" ht="15.75" thickBot="1">
      <c r="A26" s="706" t="s">
        <v>865</v>
      </c>
      <c r="B26" s="818"/>
      <c r="C26" s="813">
        <f>SUM(C24:C25)</f>
        <v>12445.162899999999</v>
      </c>
      <c r="D26" s="813">
        <f t="shared" ref="D26:R26" si="2">SUM(D24:D25)</f>
        <v>9910.9285714285706</v>
      </c>
      <c r="E26" s="813">
        <f t="shared" si="2"/>
        <v>29068.906976625789</v>
      </c>
      <c r="F26" s="813">
        <f t="shared" si="2"/>
        <v>104.30176348456425</v>
      </c>
      <c r="G26" s="813">
        <f t="shared" si="2"/>
        <v>28570.662592573528</v>
      </c>
      <c r="H26" s="813">
        <f t="shared" si="2"/>
        <v>0</v>
      </c>
      <c r="I26" s="813">
        <f t="shared" si="2"/>
        <v>0</v>
      </c>
      <c r="J26" s="813">
        <f t="shared" si="2"/>
        <v>0</v>
      </c>
      <c r="K26" s="813">
        <f t="shared" si="2"/>
        <v>1726.3983233833446</v>
      </c>
      <c r="L26" s="813">
        <f t="shared" si="2"/>
        <v>0</v>
      </c>
      <c r="M26" s="813">
        <f t="shared" si="2"/>
        <v>0</v>
      </c>
      <c r="N26" s="813">
        <f t="shared" si="2"/>
        <v>0</v>
      </c>
      <c r="O26" s="813">
        <f t="shared" si="2"/>
        <v>0</v>
      </c>
      <c r="P26" s="813">
        <f t="shared" si="2"/>
        <v>0</v>
      </c>
      <c r="Q26" s="813">
        <f t="shared" si="2"/>
        <v>0</v>
      </c>
      <c r="R26" s="813">
        <f t="shared" si="2"/>
        <v>81826.361127495809</v>
      </c>
      <c r="S26" s="67"/>
    </row>
    <row r="27" spans="1:19" s="474" customFormat="1" ht="17.25" thickTop="1" thickBot="1">
      <c r="A27" s="707" t="s">
        <v>116</v>
      </c>
      <c r="B27" s="806"/>
      <c r="C27" s="708">
        <f ca="1">C22+C16+C26</f>
        <v>95445.026122199066</v>
      </c>
      <c r="D27" s="708">
        <f t="shared" ref="D27:R27" ca="1" si="3">D22+D16+D26</f>
        <v>10103.785714285714</v>
      </c>
      <c r="E27" s="708">
        <f t="shared" ca="1" si="3"/>
        <v>147042.35965249594</v>
      </c>
      <c r="F27" s="708">
        <f t="shared" si="3"/>
        <v>5429.3307117622871</v>
      </c>
      <c r="G27" s="708">
        <f t="shared" ca="1" si="3"/>
        <v>59113.468763963472</v>
      </c>
      <c r="H27" s="708">
        <f t="shared" si="3"/>
        <v>232652.66257201886</v>
      </c>
      <c r="I27" s="708">
        <f t="shared" si="3"/>
        <v>32887.245725418026</v>
      </c>
      <c r="J27" s="708">
        <f t="shared" si="3"/>
        <v>0</v>
      </c>
      <c r="K27" s="708">
        <f t="shared" si="3"/>
        <v>1751.3183767207652</v>
      </c>
      <c r="L27" s="708">
        <f t="shared" si="3"/>
        <v>0</v>
      </c>
      <c r="M27" s="708">
        <f t="shared" ca="1" si="3"/>
        <v>0</v>
      </c>
      <c r="N27" s="708">
        <f t="shared" si="3"/>
        <v>14468.483661621174</v>
      </c>
      <c r="O27" s="708">
        <f t="shared" ca="1" si="3"/>
        <v>18663.73884143079</v>
      </c>
      <c r="P27" s="708">
        <f t="shared" si="3"/>
        <v>403.34000000000003</v>
      </c>
      <c r="Q27" s="708">
        <f t="shared" si="3"/>
        <v>1201.1999999999998</v>
      </c>
      <c r="R27" s="708">
        <f t="shared" ca="1" si="3"/>
        <v>619161.96014191606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6123.9070808464267</v>
      </c>
      <c r="D40" s="1025">
        <f ca="1">tertiair!C20</f>
        <v>45.549073609210822</v>
      </c>
      <c r="E40" s="1025">
        <f ca="1">tertiair!D20</f>
        <v>5299.7386331317193</v>
      </c>
      <c r="F40" s="1025">
        <f>tertiair!E20</f>
        <v>69.559539084416414</v>
      </c>
      <c r="G40" s="1025">
        <f ca="1">tertiair!F20</f>
        <v>1135.3242431050926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12674.078569776864</v>
      </c>
    </row>
    <row r="41" spans="1:18">
      <c r="A41" s="823" t="s">
        <v>225</v>
      </c>
      <c r="B41" s="830"/>
      <c r="C41" s="1025">
        <f ca="1">huishoudens!B12</f>
        <v>8313.3637932004603</v>
      </c>
      <c r="D41" s="1025">
        <f ca="1">huishoudens!C12</f>
        <v>0</v>
      </c>
      <c r="E41" s="1025">
        <f>huishoudens!D12</f>
        <v>13150.355421102291</v>
      </c>
      <c r="F41" s="1025">
        <f>huishoudens!E12</f>
        <v>744.31071947906707</v>
      </c>
      <c r="G41" s="1025">
        <f>huishoudens!F12</f>
        <v>5797.0347423573357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28005.064676139154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1450.9240138170517</v>
      </c>
      <c r="D43" s="1025">
        <f ca="1">industrie!C22</f>
        <v>0</v>
      </c>
      <c r="E43" s="1025">
        <f>industrie!D22</f>
        <v>5363.4372572867487</v>
      </c>
      <c r="F43" s="1025">
        <f>industrie!E22</f>
        <v>254.11496621736421</v>
      </c>
      <c r="G43" s="1025">
        <f>industrie!F22</f>
        <v>1222.5702622986869</v>
      </c>
      <c r="H43" s="1025">
        <f>industrie!G22</f>
        <v>0</v>
      </c>
      <c r="I43" s="1025">
        <f>industrie!H22</f>
        <v>0</v>
      </c>
      <c r="J43" s="1025">
        <f>industrie!I22</f>
        <v>0</v>
      </c>
      <c r="K43" s="1025">
        <f>industrie!J22</f>
        <v>8.8216988814468493</v>
      </c>
      <c r="L43" s="1025">
        <f>industrie!K22</f>
        <v>0</v>
      </c>
      <c r="M43" s="1025">
        <f>industrie!L22</f>
        <v>0</v>
      </c>
      <c r="N43" s="1025">
        <f>industrie!M22</f>
        <v>0</v>
      </c>
      <c r="O43" s="1025">
        <f>industrie!N22</f>
        <v>0</v>
      </c>
      <c r="P43" s="1025">
        <f>industrie!O22</f>
        <v>0</v>
      </c>
      <c r="Q43" s="775">
        <f>industrie!P22</f>
        <v>0</v>
      </c>
      <c r="R43" s="850">
        <f t="shared" ca="1" si="4"/>
        <v>8299.868198501299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15888.19488786394</v>
      </c>
      <c r="D46" s="733">
        <f t="shared" ref="D46:Q46" ca="1" si="5">SUM(D39:D45)</f>
        <v>45.549073609210822</v>
      </c>
      <c r="E46" s="733">
        <f t="shared" ca="1" si="5"/>
        <v>23813.531311520761</v>
      </c>
      <c r="F46" s="733">
        <f t="shared" si="5"/>
        <v>1067.9852247808476</v>
      </c>
      <c r="G46" s="733">
        <f t="shared" ca="1" si="5"/>
        <v>8154.9292477611143</v>
      </c>
      <c r="H46" s="733">
        <f t="shared" si="5"/>
        <v>0</v>
      </c>
      <c r="I46" s="733">
        <f t="shared" si="5"/>
        <v>0</v>
      </c>
      <c r="J46" s="733">
        <f t="shared" si="5"/>
        <v>0</v>
      </c>
      <c r="K46" s="733">
        <f t="shared" si="5"/>
        <v>8.8216988814468493</v>
      </c>
      <c r="L46" s="733">
        <f t="shared" si="5"/>
        <v>0</v>
      </c>
      <c r="M46" s="733">
        <f t="shared" ca="1" si="5"/>
        <v>0</v>
      </c>
      <c r="N46" s="733">
        <f t="shared" si="5"/>
        <v>0</v>
      </c>
      <c r="O46" s="733">
        <f t="shared" ca="1" si="5"/>
        <v>0</v>
      </c>
      <c r="P46" s="733">
        <f t="shared" si="5"/>
        <v>0</v>
      </c>
      <c r="Q46" s="733">
        <f t="shared" si="5"/>
        <v>0</v>
      </c>
      <c r="R46" s="733">
        <f ca="1">SUM(R39:R45)</f>
        <v>48979.011444417323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583.37055196031451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583.37055196031451</v>
      </c>
    </row>
    <row r="50" spans="1:18">
      <c r="A50" s="826" t="s">
        <v>307</v>
      </c>
      <c r="B50" s="836"/>
      <c r="C50" s="704">
        <f ca="1">transport!B18</f>
        <v>6.2279504876433851</v>
      </c>
      <c r="D50" s="704">
        <f>transport!C18</f>
        <v>0</v>
      </c>
      <c r="E50" s="704">
        <f>transport!D18</f>
        <v>17.106129005011905</v>
      </c>
      <c r="F50" s="704">
        <f>transport!E18</f>
        <v>140.79634647819535</v>
      </c>
      <c r="G50" s="704">
        <f>transport!F18</f>
        <v>0</v>
      </c>
      <c r="H50" s="704">
        <f>transport!G18</f>
        <v>61534.890354768722</v>
      </c>
      <c r="I50" s="704">
        <f>transport!H18</f>
        <v>8188.9241856290882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69887.944966368654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6.2279504876433851</v>
      </c>
      <c r="D52" s="733">
        <f t="shared" ref="D52:Q52" ca="1" si="6">SUM(D48:D51)</f>
        <v>0</v>
      </c>
      <c r="E52" s="733">
        <f t="shared" si="6"/>
        <v>17.106129005011905</v>
      </c>
      <c r="F52" s="733">
        <f t="shared" si="6"/>
        <v>140.79634647819535</v>
      </c>
      <c r="G52" s="733">
        <f t="shared" si="6"/>
        <v>0</v>
      </c>
      <c r="H52" s="733">
        <f t="shared" si="6"/>
        <v>62118.26090672904</v>
      </c>
      <c r="I52" s="733">
        <f t="shared" si="6"/>
        <v>8188.9241856290882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70471.315518328964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2156.4263078304566</v>
      </c>
      <c r="D54" s="704">
        <f ca="1">+landbouw!C12</f>
        <v>2340.7668927773439</v>
      </c>
      <c r="E54" s="704">
        <f>+landbouw!D12</f>
        <v>5566.0259662120397</v>
      </c>
      <c r="F54" s="704">
        <f>+landbouw!E12</f>
        <v>23.676500310996087</v>
      </c>
      <c r="G54" s="704">
        <f>+landbouw!F12</f>
        <v>7628.3669122171323</v>
      </c>
      <c r="H54" s="704">
        <f>+landbouw!G12</f>
        <v>0</v>
      </c>
      <c r="I54" s="704">
        <f>+landbouw!H12</f>
        <v>0</v>
      </c>
      <c r="J54" s="704">
        <f>+landbouw!I12</f>
        <v>0</v>
      </c>
      <c r="K54" s="704">
        <f>+landbouw!J12</f>
        <v>611.14500647770399</v>
      </c>
      <c r="L54" s="704">
        <f>+landbouw!K12</f>
        <v>0</v>
      </c>
      <c r="M54" s="704">
        <f>+landbouw!L12</f>
        <v>0</v>
      </c>
      <c r="N54" s="704">
        <f>+landbouw!M12</f>
        <v>0</v>
      </c>
      <c r="O54" s="704">
        <f>+landbouw!N12</f>
        <v>0</v>
      </c>
      <c r="P54" s="704">
        <f>+landbouw!O12</f>
        <v>0</v>
      </c>
      <c r="Q54" s="705">
        <f>+landbouw!P12</f>
        <v>0</v>
      </c>
      <c r="R54" s="732">
        <f ca="1">SUM(C54:Q54)</f>
        <v>18326.407585825673</v>
      </c>
    </row>
    <row r="55" spans="1:18" ht="15" thickBot="1">
      <c r="A55" s="826" t="s">
        <v>864</v>
      </c>
      <c r="B55" s="836"/>
      <c r="C55" s="704">
        <f ca="1">C25*'EF ele_warmte'!B12</f>
        <v>226.8147451723886</v>
      </c>
      <c r="D55" s="704"/>
      <c r="E55" s="704">
        <f>E25*EF_CO2_aardgas</f>
        <v>305.89324306637019</v>
      </c>
      <c r="F55" s="704"/>
      <c r="G55" s="704"/>
      <c r="H55" s="704"/>
      <c r="I55" s="704"/>
      <c r="J55" s="704"/>
      <c r="K55" s="704"/>
      <c r="L55" s="704"/>
      <c r="M55" s="704"/>
      <c r="N55" s="704"/>
      <c r="O55" s="704"/>
      <c r="P55" s="704"/>
      <c r="Q55" s="705"/>
      <c r="R55" s="732">
        <f ca="1">SUM(C55:Q55)</f>
        <v>532.70798823875884</v>
      </c>
    </row>
    <row r="56" spans="1:18" ht="15.75" thickBot="1">
      <c r="A56" s="824" t="s">
        <v>865</v>
      </c>
      <c r="B56" s="837"/>
      <c r="C56" s="733">
        <f ca="1">SUM(C54:C55)</f>
        <v>2383.2410530028451</v>
      </c>
      <c r="D56" s="733">
        <f t="shared" ref="D56:Q56" ca="1" si="7">SUM(D54:D55)</f>
        <v>2340.7668927773439</v>
      </c>
      <c r="E56" s="733">
        <f t="shared" si="7"/>
        <v>5871.9192092784097</v>
      </c>
      <c r="F56" s="733">
        <f t="shared" si="7"/>
        <v>23.676500310996087</v>
      </c>
      <c r="G56" s="733">
        <f t="shared" si="7"/>
        <v>7628.3669122171323</v>
      </c>
      <c r="H56" s="733">
        <f t="shared" si="7"/>
        <v>0</v>
      </c>
      <c r="I56" s="733">
        <f t="shared" si="7"/>
        <v>0</v>
      </c>
      <c r="J56" s="733">
        <f t="shared" si="7"/>
        <v>0</v>
      </c>
      <c r="K56" s="733">
        <f t="shared" si="7"/>
        <v>611.14500647770399</v>
      </c>
      <c r="L56" s="733">
        <f t="shared" si="7"/>
        <v>0</v>
      </c>
      <c r="M56" s="733">
        <f t="shared" si="7"/>
        <v>0</v>
      </c>
      <c r="N56" s="733">
        <f t="shared" si="7"/>
        <v>0</v>
      </c>
      <c r="O56" s="733">
        <f t="shared" si="7"/>
        <v>0</v>
      </c>
      <c r="P56" s="733">
        <f t="shared" si="7"/>
        <v>0</v>
      </c>
      <c r="Q56" s="734">
        <f t="shared" si="7"/>
        <v>0</v>
      </c>
      <c r="R56" s="735">
        <f ca="1">SUM(R54:R55)</f>
        <v>18859.115574064432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18277.66389135443</v>
      </c>
      <c r="D61" s="741">
        <f t="shared" ref="D61:Q61" ca="1" si="8">D46+D52+D56</f>
        <v>2386.3159663865545</v>
      </c>
      <c r="E61" s="741">
        <f t="shared" ca="1" si="8"/>
        <v>29702.556649804184</v>
      </c>
      <c r="F61" s="741">
        <f t="shared" si="8"/>
        <v>1232.458071570039</v>
      </c>
      <c r="G61" s="741">
        <f t="shared" ca="1" si="8"/>
        <v>15783.296159978247</v>
      </c>
      <c r="H61" s="741">
        <f t="shared" si="8"/>
        <v>62118.26090672904</v>
      </c>
      <c r="I61" s="741">
        <f t="shared" si="8"/>
        <v>8188.9241856290882</v>
      </c>
      <c r="J61" s="741">
        <f t="shared" si="8"/>
        <v>0</v>
      </c>
      <c r="K61" s="741">
        <f t="shared" si="8"/>
        <v>619.96670535915086</v>
      </c>
      <c r="L61" s="741">
        <f t="shared" si="8"/>
        <v>0</v>
      </c>
      <c r="M61" s="741">
        <f t="shared" ca="1" si="8"/>
        <v>0</v>
      </c>
      <c r="N61" s="741">
        <f t="shared" si="8"/>
        <v>0</v>
      </c>
      <c r="O61" s="741">
        <f t="shared" ca="1" si="8"/>
        <v>0</v>
      </c>
      <c r="P61" s="741">
        <f t="shared" si="8"/>
        <v>0</v>
      </c>
      <c r="Q61" s="741">
        <f t="shared" si="8"/>
        <v>0</v>
      </c>
      <c r="R61" s="741">
        <f ca="1">R46+R52+R56</f>
        <v>138309.4425368107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0.19149938591827073</v>
      </c>
      <c r="D63" s="782">
        <f t="shared" ca="1" si="9"/>
        <v>0.23618038167738942</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7182.9565746698572</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6043.5249100457841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7029</v>
      </c>
      <c r="D76" s="1046">
        <f>'lokale energieproductie'!C8</f>
        <v>8269.4117647058829</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1670.4211764705885</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13270.131484715641</v>
      </c>
      <c r="C78" s="756">
        <f>SUM(C72:C77)</f>
        <v>7029</v>
      </c>
      <c r="D78" s="757">
        <f t="shared" ref="D78:H78" si="10">SUM(D76:D77)</f>
        <v>8269.4117647058829</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1670.4211764705885</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10041.428571428572</v>
      </c>
      <c r="D87" s="778">
        <f>'lokale energieproductie'!C17</f>
        <v>11813.445378151262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2386.3159663865549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10041.428571428572</v>
      </c>
      <c r="D90" s="756">
        <f t="shared" ref="D90:H90" si="12">SUM(D87:D89)</f>
        <v>11813.445378151262</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2386.3159663865549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7182.9565746698572</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6043.5249100457841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7072.65</v>
      </c>
      <c r="C8" s="571">
        <f>B101</f>
        <v>8269.4117647058829</v>
      </c>
      <c r="D8" s="1056"/>
      <c r="E8" s="1056">
        <f>E101</f>
        <v>0</v>
      </c>
      <c r="F8" s="1057"/>
      <c r="G8" s="572"/>
      <c r="H8" s="1056">
        <f>I101</f>
        <v>0</v>
      </c>
      <c r="I8" s="1056">
        <f>G101+F101</f>
        <v>0</v>
      </c>
      <c r="J8" s="1056">
        <f>H101+D101+C101</f>
        <v>51.35294117647058</v>
      </c>
      <c r="K8" s="1056"/>
      <c r="L8" s="1056"/>
      <c r="M8" s="1056"/>
      <c r="N8" s="573"/>
      <c r="O8" s="574">
        <f>C8*$C$12+D8*$D$12+E8*$E$12+F8*$F$12+G8*$G$12+H8*$H$12+I8*$I$12+J8*$J$12</f>
        <v>1670.4211764705885</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20299.131484715639</v>
      </c>
      <c r="C10" s="584">
        <f t="shared" ref="C10:L10" si="0">SUM(C8:C9)</f>
        <v>8269.4117647058829</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1670.4211764705885</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10103.785714285716</v>
      </c>
      <c r="C17" s="596">
        <f>B102</f>
        <v>11813.445378151262</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2386.3159663865549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10103.785714285716</v>
      </c>
      <c r="C20" s="583">
        <f>SUM(C17:C19)</f>
        <v>11813.445378151262</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2386.3159663865549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44034</v>
      </c>
      <c r="C28" s="797">
        <v>9080</v>
      </c>
      <c r="D28" s="654" t="s">
        <v>907</v>
      </c>
      <c r="E28" s="653" t="s">
        <v>908</v>
      </c>
      <c r="F28" s="653" t="s">
        <v>909</v>
      </c>
      <c r="G28" s="653" t="s">
        <v>910</v>
      </c>
      <c r="H28" s="653" t="s">
        <v>911</v>
      </c>
      <c r="I28" s="653" t="s">
        <v>912</v>
      </c>
      <c r="J28" s="796">
        <v>40473</v>
      </c>
      <c r="K28" s="796">
        <v>40513</v>
      </c>
      <c r="L28" s="653" t="s">
        <v>913</v>
      </c>
      <c r="M28" s="653">
        <v>1006</v>
      </c>
      <c r="N28" s="653">
        <v>4527</v>
      </c>
      <c r="O28" s="653">
        <v>6467.1428571428569</v>
      </c>
      <c r="P28" s="653">
        <v>12934.285714285716</v>
      </c>
      <c r="Q28" s="653">
        <v>0</v>
      </c>
      <c r="R28" s="653">
        <v>0</v>
      </c>
      <c r="S28" s="653">
        <v>0</v>
      </c>
      <c r="T28" s="653">
        <v>0</v>
      </c>
      <c r="U28" s="653">
        <v>0</v>
      </c>
      <c r="V28" s="653">
        <v>0</v>
      </c>
      <c r="W28" s="653">
        <v>0</v>
      </c>
      <c r="X28" s="653">
        <v>10</v>
      </c>
      <c r="Y28" s="653" t="s">
        <v>112</v>
      </c>
      <c r="Z28" s="655" t="s">
        <v>112</v>
      </c>
    </row>
    <row r="29" spans="1:26" s="607" customFormat="1" ht="63.75">
      <c r="A29" s="606"/>
      <c r="B29" s="797">
        <v>44034</v>
      </c>
      <c r="C29" s="797">
        <v>9080</v>
      </c>
      <c r="D29" s="654" t="s">
        <v>914</v>
      </c>
      <c r="E29" s="653" t="s">
        <v>915</v>
      </c>
      <c r="F29" s="653" t="s">
        <v>916</v>
      </c>
      <c r="G29" s="653" t="s">
        <v>910</v>
      </c>
      <c r="H29" s="653" t="s">
        <v>911</v>
      </c>
      <c r="I29" s="653" t="s">
        <v>915</v>
      </c>
      <c r="J29" s="796">
        <v>40598</v>
      </c>
      <c r="K29" s="796">
        <v>40664</v>
      </c>
      <c r="L29" s="653" t="s">
        <v>913</v>
      </c>
      <c r="M29" s="653">
        <v>30</v>
      </c>
      <c r="N29" s="653">
        <v>135</v>
      </c>
      <c r="O29" s="653">
        <v>192.85714285714286</v>
      </c>
      <c r="P29" s="653">
        <v>385.71428571428572</v>
      </c>
      <c r="Q29" s="653">
        <v>0</v>
      </c>
      <c r="R29" s="653">
        <v>0</v>
      </c>
      <c r="S29" s="653">
        <v>0</v>
      </c>
      <c r="T29" s="653">
        <v>0</v>
      </c>
      <c r="U29" s="653">
        <v>0</v>
      </c>
      <c r="V29" s="653">
        <v>0</v>
      </c>
      <c r="W29" s="653">
        <v>0</v>
      </c>
      <c r="X29" s="653">
        <v>1600</v>
      </c>
      <c r="Y29" s="653" t="s">
        <v>50</v>
      </c>
      <c r="Z29" s="655" t="s">
        <v>156</v>
      </c>
    </row>
    <row r="30" spans="1:26" s="607" customFormat="1" ht="25.5">
      <c r="A30" s="606"/>
      <c r="B30" s="797">
        <v>44034</v>
      </c>
      <c r="C30" s="797">
        <v>9080</v>
      </c>
      <c r="D30" s="654" t="s">
        <v>917</v>
      </c>
      <c r="E30" s="653" t="s">
        <v>918</v>
      </c>
      <c r="F30" s="653" t="s">
        <v>919</v>
      </c>
      <c r="G30" s="653" t="s">
        <v>910</v>
      </c>
      <c r="H30" s="653" t="s">
        <v>911</v>
      </c>
      <c r="I30" s="653" t="s">
        <v>918</v>
      </c>
      <c r="J30" s="796">
        <v>41244</v>
      </c>
      <c r="K30" s="796">
        <v>41255</v>
      </c>
      <c r="L30" s="653" t="s">
        <v>913</v>
      </c>
      <c r="M30" s="653">
        <v>526</v>
      </c>
      <c r="N30" s="653">
        <v>2367</v>
      </c>
      <c r="O30" s="653">
        <v>3381.4285714285716</v>
      </c>
      <c r="P30" s="653">
        <v>6762.8571428571431</v>
      </c>
      <c r="Q30" s="653">
        <v>0</v>
      </c>
      <c r="R30" s="653">
        <v>0</v>
      </c>
      <c r="S30" s="653">
        <v>0</v>
      </c>
      <c r="T30" s="653">
        <v>0</v>
      </c>
      <c r="U30" s="653">
        <v>0</v>
      </c>
      <c r="V30" s="653">
        <v>0</v>
      </c>
      <c r="W30" s="653">
        <v>0</v>
      </c>
      <c r="X30" s="653">
        <v>10</v>
      </c>
      <c r="Y30" s="653" t="s">
        <v>112</v>
      </c>
      <c r="Z30" s="655" t="s">
        <v>112</v>
      </c>
    </row>
    <row r="31" spans="1:26" s="607" customFormat="1" ht="25.5">
      <c r="A31" s="606"/>
      <c r="B31" s="797">
        <v>44034</v>
      </c>
      <c r="C31" s="797">
        <v>9080</v>
      </c>
      <c r="D31" s="654" t="s">
        <v>920</v>
      </c>
      <c r="E31" s="653" t="s">
        <v>921</v>
      </c>
      <c r="F31" s="653" t="s">
        <v>922</v>
      </c>
      <c r="G31" s="653" t="s">
        <v>910</v>
      </c>
      <c r="H31" s="653" t="s">
        <v>911</v>
      </c>
      <c r="I31" s="653" t="s">
        <v>923</v>
      </c>
      <c r="J31" s="796">
        <v>41242</v>
      </c>
      <c r="K31" s="796">
        <v>41275</v>
      </c>
      <c r="L31" s="653" t="s">
        <v>913</v>
      </c>
      <c r="M31" s="653">
        <v>9.6999999999999993</v>
      </c>
      <c r="N31" s="653">
        <v>43.649999999999991</v>
      </c>
      <c r="O31" s="653">
        <v>62.357142857142847</v>
      </c>
      <c r="P31" s="653">
        <v>0</v>
      </c>
      <c r="Q31" s="653">
        <v>124.71428571428569</v>
      </c>
      <c r="R31" s="653">
        <v>0</v>
      </c>
      <c r="S31" s="653">
        <v>0</v>
      </c>
      <c r="T31" s="653">
        <v>0</v>
      </c>
      <c r="U31" s="653">
        <v>0</v>
      </c>
      <c r="V31" s="653">
        <v>0</v>
      </c>
      <c r="W31" s="653">
        <v>0</v>
      </c>
      <c r="X31" s="653">
        <v>10</v>
      </c>
      <c r="Y31" s="653" t="s">
        <v>112</v>
      </c>
      <c r="Z31" s="655" t="s">
        <v>112</v>
      </c>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1571.7</v>
      </c>
      <c r="N58" s="611">
        <f>SUM(N28:N57)</f>
        <v>7072.65</v>
      </c>
      <c r="O58" s="611">
        <f t="shared" ref="O58:W58" si="2">SUM(O28:O57)</f>
        <v>10103.785714285716</v>
      </c>
      <c r="P58" s="611">
        <f t="shared" si="2"/>
        <v>20082.857142857145</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30</v>
      </c>
      <c r="N60" s="611">
        <f ca="1">SUMIF($Z$28:AD57,"tertiair",N28:N57)</f>
        <v>135</v>
      </c>
      <c r="O60" s="611">
        <f ca="1">SUMIF($Z$28:AE57,"tertiair",O28:O57)</f>
        <v>192.85714285714286</v>
      </c>
      <c r="P60" s="611">
        <f ca="1">SUMIF($Z$28:AF57,"tertiair",P28:P57)</f>
        <v>385.71428571428572</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1541.7</v>
      </c>
      <c r="N61" s="616">
        <f t="shared" si="4"/>
        <v>6937.65</v>
      </c>
      <c r="O61" s="616">
        <f t="shared" si="4"/>
        <v>9910.9285714285706</v>
      </c>
      <c r="P61" s="616">
        <f t="shared" si="4"/>
        <v>19697.142857142859</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8269.4117647058829</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11813.445378151262</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43411.960583249544</v>
      </c>
      <c r="C4" s="478">
        <f>huishoudens!C8</f>
        <v>0</v>
      </c>
      <c r="D4" s="478">
        <f>huishoudens!D8</f>
        <v>65100.769411397479</v>
      </c>
      <c r="E4" s="478">
        <f>huishoudens!E8</f>
        <v>3278.9018479254055</v>
      </c>
      <c r="F4" s="478">
        <f>huishoudens!F8</f>
        <v>21711.740608079908</v>
      </c>
      <c r="G4" s="478">
        <f>huishoudens!G8</f>
        <v>0</v>
      </c>
      <c r="H4" s="478">
        <f>huishoudens!H8</f>
        <v>0</v>
      </c>
      <c r="I4" s="478">
        <f>huishoudens!I8</f>
        <v>0</v>
      </c>
      <c r="J4" s="478">
        <f>huishoudens!J8</f>
        <v>0</v>
      </c>
      <c r="K4" s="478">
        <f>huishoudens!K8</f>
        <v>0</v>
      </c>
      <c r="L4" s="478">
        <f>huishoudens!L8</f>
        <v>0</v>
      </c>
      <c r="M4" s="478">
        <f>huishoudens!M8</f>
        <v>0</v>
      </c>
      <c r="N4" s="478">
        <f>huishoudens!N8</f>
        <v>14695.259860285549</v>
      </c>
      <c r="O4" s="478">
        <f>huishoudens!O8</f>
        <v>401.7766666666667</v>
      </c>
      <c r="P4" s="479">
        <f>huishoudens!P8</f>
        <v>1182.1333333333332</v>
      </c>
      <c r="Q4" s="480">
        <f>SUM(B4:P4)</f>
        <v>149782.54231093789</v>
      </c>
    </row>
    <row r="5" spans="1:17">
      <c r="A5" s="477" t="s">
        <v>156</v>
      </c>
      <c r="B5" s="478">
        <f ca="1">tertiair!B16</f>
        <v>30238.634600000001</v>
      </c>
      <c r="C5" s="478">
        <f ca="1">tertiair!C16</f>
        <v>192.85714285714286</v>
      </c>
      <c r="D5" s="478">
        <f ca="1">tertiair!D16</f>
        <v>26236.329866988708</v>
      </c>
      <c r="E5" s="478">
        <f>tertiair!E16</f>
        <v>306.42968759654809</v>
      </c>
      <c r="F5" s="478">
        <f ca="1">tertiair!F16</f>
        <v>4252.1507232400472</v>
      </c>
      <c r="G5" s="478">
        <f>tertiair!G16</f>
        <v>0</v>
      </c>
      <c r="H5" s="478">
        <f>tertiair!H16</f>
        <v>0</v>
      </c>
      <c r="I5" s="478">
        <f>tertiair!I16</f>
        <v>0</v>
      </c>
      <c r="J5" s="478">
        <f>tertiair!J16</f>
        <v>0</v>
      </c>
      <c r="K5" s="478">
        <f>tertiair!K16</f>
        <v>0</v>
      </c>
      <c r="L5" s="478">
        <f ca="1">tertiair!L16</f>
        <v>0</v>
      </c>
      <c r="M5" s="478">
        <f>tertiair!M16</f>
        <v>0</v>
      </c>
      <c r="N5" s="478">
        <f ca="1">tertiair!N16</f>
        <v>1963.3305341651719</v>
      </c>
      <c r="O5" s="478">
        <f>tertiair!O16</f>
        <v>1.5633333333333335</v>
      </c>
      <c r="P5" s="479">
        <f>tertiair!P16</f>
        <v>19.066666666666666</v>
      </c>
      <c r="Q5" s="477">
        <f t="shared" ref="Q5:Q14" ca="1" si="0">SUM(B5:P5)</f>
        <v>63210.362554847612</v>
      </c>
    </row>
    <row r="6" spans="1:17">
      <c r="A6" s="477" t="s">
        <v>194</v>
      </c>
      <c r="B6" s="478">
        <f>'openbare verlichting'!B8</f>
        <v>1740.095</v>
      </c>
      <c r="C6" s="478"/>
      <c r="D6" s="478"/>
      <c r="E6" s="478"/>
      <c r="F6" s="478"/>
      <c r="G6" s="478"/>
      <c r="H6" s="478"/>
      <c r="I6" s="478"/>
      <c r="J6" s="478"/>
      <c r="K6" s="478"/>
      <c r="L6" s="478"/>
      <c r="M6" s="478"/>
      <c r="N6" s="478"/>
      <c r="O6" s="478"/>
      <c r="P6" s="479"/>
      <c r="Q6" s="477">
        <f t="shared" si="0"/>
        <v>1740.095</v>
      </c>
    </row>
    <row r="7" spans="1:17">
      <c r="A7" s="477" t="s">
        <v>112</v>
      </c>
      <c r="B7" s="478">
        <f>landbouw!B8</f>
        <v>11260.7479</v>
      </c>
      <c r="C7" s="478">
        <f>landbouw!C8</f>
        <v>9910.9285714285706</v>
      </c>
      <c r="D7" s="478">
        <f>landbouw!D8</f>
        <v>27554.583991148709</v>
      </c>
      <c r="E7" s="478">
        <f>landbouw!E8</f>
        <v>104.30176348456425</v>
      </c>
      <c r="F7" s="478">
        <f>landbouw!F8</f>
        <v>28570.662592573528</v>
      </c>
      <c r="G7" s="478">
        <f>landbouw!G8</f>
        <v>0</v>
      </c>
      <c r="H7" s="478">
        <f>landbouw!H8</f>
        <v>0</v>
      </c>
      <c r="I7" s="478">
        <f>landbouw!I8</f>
        <v>0</v>
      </c>
      <c r="J7" s="478">
        <f>landbouw!J8</f>
        <v>1726.3983233833446</v>
      </c>
      <c r="K7" s="478">
        <f>landbouw!K8</f>
        <v>0</v>
      </c>
      <c r="L7" s="478">
        <f>landbouw!L8</f>
        <v>0</v>
      </c>
      <c r="M7" s="478">
        <f>landbouw!M8</f>
        <v>0</v>
      </c>
      <c r="N7" s="478">
        <f>landbouw!N8</f>
        <v>0</v>
      </c>
      <c r="O7" s="478">
        <f>landbouw!O8</f>
        <v>0</v>
      </c>
      <c r="P7" s="479">
        <f>landbouw!P8</f>
        <v>0</v>
      </c>
      <c r="Q7" s="477">
        <f t="shared" si="0"/>
        <v>79127.623142018725</v>
      </c>
    </row>
    <row r="8" spans="1:17">
      <c r="A8" s="477" t="s">
        <v>650</v>
      </c>
      <c r="B8" s="478">
        <f>industrie!B18</f>
        <v>7576.6509999999998</v>
      </c>
      <c r="C8" s="478">
        <f>industrie!C18</f>
        <v>0</v>
      </c>
      <c r="D8" s="478">
        <f>industrie!D18</f>
        <v>26551.669590528458</v>
      </c>
      <c r="E8" s="478">
        <f>industrie!E18</f>
        <v>1119.4491903848643</v>
      </c>
      <c r="F8" s="478">
        <f>industrie!F18</f>
        <v>4578.9148400699878</v>
      </c>
      <c r="G8" s="478">
        <f>industrie!G18</f>
        <v>0</v>
      </c>
      <c r="H8" s="478">
        <f>industrie!H18</f>
        <v>0</v>
      </c>
      <c r="I8" s="478">
        <f>industrie!I18</f>
        <v>0</v>
      </c>
      <c r="J8" s="478">
        <f>industrie!J18</f>
        <v>24.92005333742048</v>
      </c>
      <c r="K8" s="478">
        <f>industrie!K18</f>
        <v>0</v>
      </c>
      <c r="L8" s="478">
        <f>industrie!L18</f>
        <v>0</v>
      </c>
      <c r="M8" s="478">
        <f>industrie!M18</f>
        <v>0</v>
      </c>
      <c r="N8" s="478">
        <f>industrie!N18</f>
        <v>2005.1484469800703</v>
      </c>
      <c r="O8" s="478">
        <f>industrie!O18</f>
        <v>0</v>
      </c>
      <c r="P8" s="479">
        <f>industrie!P18</f>
        <v>0</v>
      </c>
      <c r="Q8" s="477">
        <f t="shared" si="0"/>
        <v>41856.75312130079</v>
      </c>
    </row>
    <row r="9" spans="1:17" s="483" customFormat="1">
      <c r="A9" s="481" t="s">
        <v>571</v>
      </c>
      <c r="B9" s="482">
        <f>transport!B14</f>
        <v>32.522038949521168</v>
      </c>
      <c r="C9" s="482">
        <f>transport!C14</f>
        <v>0</v>
      </c>
      <c r="D9" s="482">
        <f>transport!D14</f>
        <v>84.68380695550448</v>
      </c>
      <c r="E9" s="482">
        <f>transport!E14</f>
        <v>620.24822237090461</v>
      </c>
      <c r="F9" s="482">
        <f>transport!F14</f>
        <v>0</v>
      </c>
      <c r="G9" s="482">
        <f>transport!G14</f>
        <v>230467.75413771055</v>
      </c>
      <c r="H9" s="482">
        <f>transport!H14</f>
        <v>32887.245725418026</v>
      </c>
      <c r="I9" s="482">
        <f>transport!I14</f>
        <v>0</v>
      </c>
      <c r="J9" s="482">
        <f>transport!J14</f>
        <v>0</v>
      </c>
      <c r="K9" s="482">
        <f>transport!K14</f>
        <v>0</v>
      </c>
      <c r="L9" s="482">
        <f>transport!L14</f>
        <v>0</v>
      </c>
      <c r="M9" s="482">
        <f>transport!M14</f>
        <v>14343.88470296473</v>
      </c>
      <c r="N9" s="482">
        <f>transport!N14</f>
        <v>0</v>
      </c>
      <c r="O9" s="482">
        <f>transport!O14</f>
        <v>0</v>
      </c>
      <c r="P9" s="482">
        <f>transport!P14</f>
        <v>0</v>
      </c>
      <c r="Q9" s="481">
        <f>SUM(B9:P9)</f>
        <v>278436.33863436925</v>
      </c>
    </row>
    <row r="10" spans="1:17">
      <c r="A10" s="477" t="s">
        <v>561</v>
      </c>
      <c r="B10" s="478">
        <f>transport!B54</f>
        <v>0</v>
      </c>
      <c r="C10" s="478">
        <f>transport!C54</f>
        <v>0</v>
      </c>
      <c r="D10" s="478">
        <f>transport!D54</f>
        <v>0</v>
      </c>
      <c r="E10" s="478">
        <f>transport!E54</f>
        <v>0</v>
      </c>
      <c r="F10" s="478">
        <f>transport!F54</f>
        <v>0</v>
      </c>
      <c r="G10" s="478">
        <f>transport!G54</f>
        <v>2184.9084343082941</v>
      </c>
      <c r="H10" s="478">
        <f>transport!H54</f>
        <v>0</v>
      </c>
      <c r="I10" s="478">
        <f>transport!I54</f>
        <v>0</v>
      </c>
      <c r="J10" s="478">
        <f>transport!J54</f>
        <v>0</v>
      </c>
      <c r="K10" s="478">
        <f>transport!K54</f>
        <v>0</v>
      </c>
      <c r="L10" s="478">
        <f>transport!L54</f>
        <v>0</v>
      </c>
      <c r="M10" s="478">
        <f>transport!M54</f>
        <v>124.59895865644522</v>
      </c>
      <c r="N10" s="478">
        <f>transport!N54</f>
        <v>0</v>
      </c>
      <c r="O10" s="478">
        <f>transport!O54</f>
        <v>0</v>
      </c>
      <c r="P10" s="479">
        <f>transport!P54</f>
        <v>0</v>
      </c>
      <c r="Q10" s="477">
        <f t="shared" si="0"/>
        <v>2309.5073929647392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1184.415</v>
      </c>
      <c r="C14" s="485"/>
      <c r="D14" s="485">
        <f>'SEAP template'!E25</f>
        <v>1514.32298547708</v>
      </c>
      <c r="E14" s="485"/>
      <c r="F14" s="485"/>
      <c r="G14" s="485"/>
      <c r="H14" s="485"/>
      <c r="I14" s="485"/>
      <c r="J14" s="485"/>
      <c r="K14" s="485"/>
      <c r="L14" s="485"/>
      <c r="M14" s="485"/>
      <c r="N14" s="485"/>
      <c r="O14" s="485"/>
      <c r="P14" s="486"/>
      <c r="Q14" s="477">
        <f t="shared" si="0"/>
        <v>2698.7379854770797</v>
      </c>
    </row>
    <row r="15" spans="1:17" s="487" customFormat="1">
      <c r="A15" s="1051" t="s">
        <v>565</v>
      </c>
      <c r="B15" s="991">
        <f ca="1">SUM(B4:B14)</f>
        <v>95445.026122199066</v>
      </c>
      <c r="C15" s="991">
        <f t="shared" ref="C15:Q15" ca="1" si="1">SUM(C4:C14)</f>
        <v>10103.785714285714</v>
      </c>
      <c r="D15" s="991">
        <f t="shared" ca="1" si="1"/>
        <v>147042.35965249594</v>
      </c>
      <c r="E15" s="991">
        <f t="shared" si="1"/>
        <v>5429.3307117622871</v>
      </c>
      <c r="F15" s="991">
        <f t="shared" ca="1" si="1"/>
        <v>59113.468763963472</v>
      </c>
      <c r="G15" s="991">
        <f t="shared" si="1"/>
        <v>232652.66257201886</v>
      </c>
      <c r="H15" s="991">
        <f t="shared" si="1"/>
        <v>32887.245725418026</v>
      </c>
      <c r="I15" s="991">
        <f t="shared" si="1"/>
        <v>0</v>
      </c>
      <c r="J15" s="991">
        <f t="shared" si="1"/>
        <v>1751.3183767207652</v>
      </c>
      <c r="K15" s="991">
        <f t="shared" si="1"/>
        <v>0</v>
      </c>
      <c r="L15" s="991">
        <f t="shared" ca="1" si="1"/>
        <v>0</v>
      </c>
      <c r="M15" s="991">
        <f t="shared" si="1"/>
        <v>14468.483661621174</v>
      </c>
      <c r="N15" s="991">
        <f t="shared" ca="1" si="1"/>
        <v>18663.73884143079</v>
      </c>
      <c r="O15" s="991">
        <f t="shared" si="1"/>
        <v>403.34000000000003</v>
      </c>
      <c r="P15" s="991">
        <f t="shared" si="1"/>
        <v>1201.1999999999998</v>
      </c>
      <c r="Q15" s="991">
        <f t="shared" ca="1" si="1"/>
        <v>619161.96014191606</v>
      </c>
    </row>
    <row r="17" spans="1:17">
      <c r="A17" s="488" t="s">
        <v>566</v>
      </c>
      <c r="B17" s="787">
        <f ca="1">huishoudens!B10</f>
        <v>0.1914993859182707</v>
      </c>
      <c r="C17" s="787">
        <f ca="1">huishoudens!C10</f>
        <v>0.23618038167738944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8313.3637932004603</v>
      </c>
      <c r="C22" s="478">
        <f t="shared" ref="C22:C32" ca="1" si="3">C4*$C$17</f>
        <v>0</v>
      </c>
      <c r="D22" s="478">
        <f t="shared" ref="D22:D32" si="4">D4*$D$17</f>
        <v>13150.355421102291</v>
      </c>
      <c r="E22" s="478">
        <f t="shared" ref="E22:E32" si="5">E4*$E$17</f>
        <v>744.31071947906707</v>
      </c>
      <c r="F22" s="478">
        <f t="shared" ref="F22:F32" si="6">F4*$F$17</f>
        <v>5797.0347423573357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28005.064676139154</v>
      </c>
    </row>
    <row r="23" spans="1:17">
      <c r="A23" s="477" t="s">
        <v>156</v>
      </c>
      <c r="B23" s="478">
        <f t="shared" ca="1" si="2"/>
        <v>5790.6799569069735</v>
      </c>
      <c r="C23" s="478">
        <f t="shared" ca="1" si="3"/>
        <v>45.549073609210822</v>
      </c>
      <c r="D23" s="478">
        <f t="shared" ca="1" si="4"/>
        <v>5299.7386331317193</v>
      </c>
      <c r="E23" s="478">
        <f t="shared" si="5"/>
        <v>69.559539084416414</v>
      </c>
      <c r="F23" s="478">
        <f t="shared" ca="1" si="6"/>
        <v>1135.3242431050926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12340.851445837412</v>
      </c>
    </row>
    <row r="24" spans="1:17">
      <c r="A24" s="477" t="s">
        <v>194</v>
      </c>
      <c r="B24" s="478">
        <f t="shared" ca="1" si="2"/>
        <v>333.22712393945329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333.22712393945329</v>
      </c>
    </row>
    <row r="25" spans="1:17">
      <c r="A25" s="477" t="s">
        <v>112</v>
      </c>
      <c r="B25" s="478">
        <f t="shared" ca="1" si="2"/>
        <v>2156.4263078304566</v>
      </c>
      <c r="C25" s="478">
        <f t="shared" ca="1" si="3"/>
        <v>2340.7668927773439</v>
      </c>
      <c r="D25" s="478">
        <f t="shared" si="4"/>
        <v>5566.0259662120397</v>
      </c>
      <c r="E25" s="478">
        <f t="shared" si="5"/>
        <v>23.676500310996087</v>
      </c>
      <c r="F25" s="478">
        <f t="shared" si="6"/>
        <v>7628.3669122171323</v>
      </c>
      <c r="G25" s="478">
        <f t="shared" si="7"/>
        <v>0</v>
      </c>
      <c r="H25" s="478">
        <f t="shared" si="8"/>
        <v>0</v>
      </c>
      <c r="I25" s="478">
        <f t="shared" si="9"/>
        <v>0</v>
      </c>
      <c r="J25" s="478">
        <f t="shared" si="10"/>
        <v>611.14500647770399</v>
      </c>
      <c r="K25" s="478">
        <f t="shared" si="11"/>
        <v>0</v>
      </c>
      <c r="L25" s="478">
        <f t="shared" si="12"/>
        <v>0</v>
      </c>
      <c r="M25" s="478">
        <f t="shared" si="13"/>
        <v>0</v>
      </c>
      <c r="N25" s="478">
        <f t="shared" si="14"/>
        <v>0</v>
      </c>
      <c r="O25" s="478">
        <f t="shared" si="15"/>
        <v>0</v>
      </c>
      <c r="P25" s="479">
        <f t="shared" si="16"/>
        <v>0</v>
      </c>
      <c r="Q25" s="477">
        <f t="shared" ca="1" si="17"/>
        <v>18326.407585825673</v>
      </c>
    </row>
    <row r="26" spans="1:17">
      <c r="A26" s="477" t="s">
        <v>650</v>
      </c>
      <c r="B26" s="478">
        <f t="shared" ca="1" si="2"/>
        <v>1450.9240138170517</v>
      </c>
      <c r="C26" s="478">
        <f t="shared" ca="1" si="3"/>
        <v>0</v>
      </c>
      <c r="D26" s="478">
        <f t="shared" si="4"/>
        <v>5363.4372572867487</v>
      </c>
      <c r="E26" s="478">
        <f t="shared" si="5"/>
        <v>254.11496621736421</v>
      </c>
      <c r="F26" s="478">
        <f t="shared" si="6"/>
        <v>1222.5702622986869</v>
      </c>
      <c r="G26" s="478">
        <f t="shared" si="7"/>
        <v>0</v>
      </c>
      <c r="H26" s="478">
        <f t="shared" si="8"/>
        <v>0</v>
      </c>
      <c r="I26" s="478">
        <f t="shared" si="9"/>
        <v>0</v>
      </c>
      <c r="J26" s="478">
        <f t="shared" si="10"/>
        <v>8.8216988814468493</v>
      </c>
      <c r="K26" s="478">
        <f t="shared" si="11"/>
        <v>0</v>
      </c>
      <c r="L26" s="478">
        <f t="shared" si="12"/>
        <v>0</v>
      </c>
      <c r="M26" s="478">
        <f t="shared" si="13"/>
        <v>0</v>
      </c>
      <c r="N26" s="478">
        <f t="shared" si="14"/>
        <v>0</v>
      </c>
      <c r="O26" s="478">
        <f t="shared" si="15"/>
        <v>0</v>
      </c>
      <c r="P26" s="479">
        <f t="shared" si="16"/>
        <v>0</v>
      </c>
      <c r="Q26" s="477">
        <f t="shared" ca="1" si="17"/>
        <v>8299.868198501299</v>
      </c>
    </row>
    <row r="27" spans="1:17" s="483" customFormat="1">
      <c r="A27" s="481" t="s">
        <v>571</v>
      </c>
      <c r="B27" s="781">
        <f t="shared" ca="1" si="2"/>
        <v>6.2279504876433851</v>
      </c>
      <c r="C27" s="482">
        <f t="shared" ca="1" si="3"/>
        <v>0</v>
      </c>
      <c r="D27" s="482">
        <f t="shared" si="4"/>
        <v>17.106129005011905</v>
      </c>
      <c r="E27" s="482">
        <f t="shared" si="5"/>
        <v>140.79634647819535</v>
      </c>
      <c r="F27" s="482">
        <f t="shared" si="6"/>
        <v>0</v>
      </c>
      <c r="G27" s="482">
        <f t="shared" si="7"/>
        <v>61534.890354768722</v>
      </c>
      <c r="H27" s="482">
        <f t="shared" si="8"/>
        <v>8188.9241856290882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69887.944966368654</v>
      </c>
    </row>
    <row r="28" spans="1:17">
      <c r="A28" s="477" t="s">
        <v>561</v>
      </c>
      <c r="B28" s="478">
        <f t="shared" ca="1" si="2"/>
        <v>0</v>
      </c>
      <c r="C28" s="478">
        <f t="shared" ca="1" si="3"/>
        <v>0</v>
      </c>
      <c r="D28" s="478">
        <f t="shared" si="4"/>
        <v>0</v>
      </c>
      <c r="E28" s="478">
        <f t="shared" si="5"/>
        <v>0</v>
      </c>
      <c r="F28" s="478">
        <f t="shared" si="6"/>
        <v>0</v>
      </c>
      <c r="G28" s="478">
        <f t="shared" si="7"/>
        <v>583.37055196031451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583.37055196031451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226.8147451723886</v>
      </c>
      <c r="C32" s="478">
        <f t="shared" ca="1" si="3"/>
        <v>0</v>
      </c>
      <c r="D32" s="478">
        <f t="shared" si="4"/>
        <v>305.89324306637019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532.70798823875884</v>
      </c>
    </row>
    <row r="33" spans="1:17" s="487" customFormat="1">
      <c r="A33" s="1051" t="s">
        <v>565</v>
      </c>
      <c r="B33" s="991">
        <f ca="1">SUM(B22:B32)</f>
        <v>18277.663891354427</v>
      </c>
      <c r="C33" s="991">
        <f t="shared" ref="C33:Q33" ca="1" si="18">SUM(C22:C32)</f>
        <v>2386.3159663865545</v>
      </c>
      <c r="D33" s="991">
        <f t="shared" ca="1" si="18"/>
        <v>29702.556649804181</v>
      </c>
      <c r="E33" s="991">
        <f t="shared" si="18"/>
        <v>1232.4580715700392</v>
      </c>
      <c r="F33" s="991">
        <f t="shared" ca="1" si="18"/>
        <v>15783.296159978247</v>
      </c>
      <c r="G33" s="991">
        <f t="shared" si="18"/>
        <v>62118.26090672904</v>
      </c>
      <c r="H33" s="991">
        <f t="shared" si="18"/>
        <v>8188.9241856290882</v>
      </c>
      <c r="I33" s="991">
        <f t="shared" si="18"/>
        <v>0</v>
      </c>
      <c r="J33" s="991">
        <f t="shared" si="18"/>
        <v>619.96670535915086</v>
      </c>
      <c r="K33" s="991">
        <f t="shared" si="18"/>
        <v>0</v>
      </c>
      <c r="L33" s="991">
        <f t="shared" ca="1" si="18"/>
        <v>0</v>
      </c>
      <c r="M33" s="991">
        <f t="shared" si="18"/>
        <v>0</v>
      </c>
      <c r="N33" s="991">
        <f t="shared" ca="1" si="18"/>
        <v>0</v>
      </c>
      <c r="O33" s="991">
        <f t="shared" si="18"/>
        <v>0</v>
      </c>
      <c r="P33" s="991">
        <f t="shared" si="18"/>
        <v>0</v>
      </c>
      <c r="Q33" s="991">
        <f t="shared" ca="1" si="18"/>
        <v>138309.4425368107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7182.9565746698572</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6043.5249100457841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7029</v>
      </c>
      <c r="D8" s="1068">
        <f>'SEAP template'!D76</f>
        <v>8269.4117647058829</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1670.4211764705885</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13270.131484715641</v>
      </c>
      <c r="C10" s="1072">
        <f>SUM(C4:C9)</f>
        <v>7029</v>
      </c>
      <c r="D10" s="1072">
        <f t="shared" ref="D10:H10" si="0">SUM(D8:D9)</f>
        <v>8269.4117647058829</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1670.4211764705885</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0.1914993859182707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10041.428571428572</v>
      </c>
      <c r="D17" s="1069">
        <f>'SEAP template'!D87</f>
        <v>11813.445378151262</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2386.3159663865549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10041.428571428572</v>
      </c>
      <c r="D20" s="1072">
        <f t="shared" ref="D20:H20" si="2">SUM(D17:D19)</f>
        <v>11813.445378151262</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2386.3159663865549</v>
      </c>
    </row>
    <row r="22" spans="1:16">
      <c r="A22" s="488" t="s">
        <v>888</v>
      </c>
      <c r="B22" s="787" t="s">
        <v>882</v>
      </c>
      <c r="C22" s="787">
        <f ca="1">'EF ele_warmte'!B22</f>
        <v>0.23618038167738944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0.1914993859182707</v>
      </c>
      <c r="C17" s="525">
        <f ca="1">'EF ele_warmte'!B22</f>
        <v>0.23618038167738944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2019-08-12T08:09:43Z</dcterms:modified>
</cp:coreProperties>
</file>