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O89"/>
  <c r="N89"/>
  <c r="B9" s="1"/>
  <c r="M89"/>
  <c r="W61"/>
  <c r="V61"/>
  <c r="N6" i="17" s="1"/>
  <c r="U61" i="18"/>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P26" s="1"/>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J26"/>
  <c r="I26"/>
  <c r="H26"/>
  <c r="O22"/>
  <c r="N78" l="1"/>
  <c r="N9" i="59"/>
  <c r="N10" s="1"/>
  <c r="L90" i="14"/>
  <c r="L18" i="59"/>
  <c r="P32" i="48"/>
  <c r="P29"/>
  <c r="P28"/>
  <c r="E88" i="14"/>
  <c r="E18" i="59" s="1"/>
  <c r="D20" i="18"/>
  <c r="L20" i="59"/>
  <c r="P27" i="48"/>
  <c r="D22" i="14"/>
  <c r="H90"/>
  <c r="H18" i="59"/>
  <c r="H20" s="1"/>
  <c r="G77" i="14"/>
  <c r="G9" i="59" s="1"/>
  <c r="G10" s="1"/>
  <c r="O10"/>
  <c r="M22" i="14"/>
  <c r="K20" i="59"/>
  <c r="C98" i="18"/>
  <c r="C101" s="1"/>
  <c r="D13" i="15"/>
  <c r="C16" i="16"/>
  <c r="P22" i="14"/>
  <c r="E20" i="59"/>
  <c r="L10" i="18"/>
  <c r="C13" i="15"/>
  <c r="B16" i="16"/>
  <c r="L78" i="14"/>
  <c r="K10" i="59"/>
  <c r="D14" i="48"/>
  <c r="K10" i="18"/>
  <c r="I9"/>
  <c r="I77" i="14" s="1"/>
  <c r="I9" i="59" s="1"/>
  <c r="F20" i="18"/>
  <c r="K78" i="14"/>
  <c r="B17" i="18"/>
  <c r="B20" s="1"/>
  <c r="M77" i="14"/>
  <c r="M9" i="59" s="1"/>
  <c r="H9" i="18"/>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H10" i="14"/>
  <c r="H16" s="1"/>
  <c r="G5" i="48"/>
  <c r="M78" i="14"/>
  <c r="M8" i="59"/>
  <c r="M1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31"/>
  <c r="K24"/>
  <c r="K25"/>
  <c r="K29"/>
  <c r="K22"/>
  <c r="B7"/>
  <c r="C24" i="14"/>
  <c r="C26" s="1"/>
  <c r="J32" i="48"/>
  <c r="J30"/>
  <c r="J27"/>
  <c r="J31"/>
  <c r="J24"/>
  <c r="J28"/>
  <c r="J29"/>
  <c r="Q11" i="14"/>
  <c r="P4" i="48"/>
  <c r="O4"/>
  <c r="P11" i="14"/>
  <c r="I32" i="48"/>
  <c r="I22"/>
  <c r="I26"/>
  <c r="I25"/>
  <c r="I31"/>
  <c r="I29"/>
  <c r="I28"/>
  <c r="I24"/>
  <c r="I27"/>
  <c r="I30"/>
  <c r="E11" i="14"/>
  <c r="D4" i="48"/>
  <c r="D22" s="1"/>
  <c r="H29"/>
  <c r="H26"/>
  <c r="H25"/>
  <c r="H32"/>
  <c r="H24"/>
  <c r="H28"/>
  <c r="H22"/>
  <c r="H30"/>
  <c r="H23"/>
  <c r="D11" i="14"/>
  <c r="C4" i="48"/>
  <c r="G25"/>
  <c r="G30"/>
  <c r="G24"/>
  <c r="G29"/>
  <c r="G26"/>
  <c r="G32"/>
  <c r="G22"/>
  <c r="G23"/>
  <c r="C11" i="14"/>
  <c r="B4" i="48"/>
  <c r="F30"/>
  <c r="F24"/>
  <c r="F32"/>
  <c r="F29"/>
  <c r="F31"/>
  <c r="F27"/>
  <c r="F28"/>
  <c r="N24"/>
  <c r="N32"/>
  <c r="N30"/>
  <c r="N27"/>
  <c r="N31"/>
  <c r="N28"/>
  <c r="N29"/>
  <c r="B10"/>
  <c r="C19" i="14"/>
  <c r="E32" i="48"/>
  <c r="E31"/>
  <c r="E30"/>
  <c r="E29"/>
  <c r="E24"/>
  <c r="E28"/>
  <c r="M32"/>
  <c r="M26"/>
  <c r="M25"/>
  <c r="M24"/>
  <c r="M29"/>
  <c r="M22"/>
  <c r="M30"/>
  <c r="M23"/>
  <c r="L10" i="14"/>
  <c r="L16" s="1"/>
  <c r="L27" s="1"/>
  <c r="K5" i="48"/>
  <c r="D30"/>
  <c r="D31"/>
  <c r="D28"/>
  <c r="D29"/>
  <c r="D24"/>
  <c r="D32"/>
  <c r="L32"/>
  <c r="L28"/>
  <c r="L27"/>
  <c r="L24"/>
  <c r="L29"/>
  <c r="L22"/>
  <c r="L31"/>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R18" s="1"/>
  <c r="H13" i="48"/>
  <c r="H31" s="1"/>
  <c r="I18" i="14"/>
  <c r="P22" i="16"/>
  <c r="Q43" i="14" s="1"/>
  <c r="P8" i="48"/>
  <c r="P26" s="1"/>
  <c r="Q13" i="14"/>
  <c r="J10"/>
  <c r="J16" s="1"/>
  <c r="J27" s="1"/>
  <c r="I5" i="48"/>
  <c r="F20" i="14"/>
  <c r="F22" s="1"/>
  <c r="E9" i="48"/>
  <c r="E27" s="1"/>
  <c r="P15"/>
  <c r="P22"/>
  <c r="P33" s="1"/>
  <c r="D9"/>
  <c r="D27" s="1"/>
  <c r="E20" i="14"/>
  <c r="E22" s="1"/>
  <c r="O5" i="48"/>
  <c r="O23" s="1"/>
  <c r="P10" i="14"/>
  <c r="J7" i="48"/>
  <c r="J25" s="1"/>
  <c r="K24" i="14"/>
  <c r="K26" s="1"/>
  <c r="O22" i="48"/>
  <c r="B9"/>
  <c r="C20" i="14"/>
  <c r="F4" i="48"/>
  <c r="F22" s="1"/>
  <c r="G11"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H20" i="14"/>
  <c r="G9" i="48"/>
  <c r="N19" i="14"/>
  <c r="M10" i="48"/>
  <c r="M28" s="1"/>
  <c r="O22" i="16"/>
  <c r="P43" i="14" s="1"/>
  <c r="P46" s="1"/>
  <c r="P61" s="1"/>
  <c r="O8" i="48"/>
  <c r="P13" i="14"/>
  <c r="P16" s="1"/>
  <c r="P27" s="1"/>
  <c r="P63" s="1"/>
  <c r="H19"/>
  <c r="R19" s="1"/>
  <c r="G10" i="48"/>
  <c r="E12" i="13"/>
  <c r="F41" i="14" s="1"/>
  <c r="F11"/>
  <c r="E4" i="48"/>
  <c r="K11" i="14"/>
  <c r="J4" i="48"/>
  <c r="F24" i="14"/>
  <c r="F26" s="1"/>
  <c r="E7" i="48"/>
  <c r="E25" s="1"/>
  <c r="I23"/>
  <c r="I33" s="1"/>
  <c r="I15"/>
  <c r="G31"/>
  <c r="Q13"/>
  <c r="Q46" i="14"/>
  <c r="Q61" s="1"/>
  <c r="Q63"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J22"/>
  <c r="O26"/>
  <c r="O33" s="1"/>
  <c r="O15"/>
  <c r="I20" i="14"/>
  <c r="H9" i="48"/>
  <c r="M27"/>
  <c r="M33" s="1"/>
  <c r="M15"/>
  <c r="G28"/>
  <c r="Q10"/>
  <c r="G27"/>
  <c r="G33" s="1"/>
  <c r="G15"/>
  <c r="E22"/>
  <c r="Q4"/>
  <c r="H22" i="14"/>
  <c r="H27" s="1"/>
  <c r="R1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H27" i="48"/>
  <c r="H33" s="1"/>
  <c r="H15"/>
  <c r="Q9"/>
  <c r="J22" i="16"/>
  <c r="K43" i="14" s="1"/>
  <c r="K13"/>
  <c r="J8" i="48"/>
  <c r="J26" s="1"/>
  <c r="E8"/>
  <c r="F13" i="14"/>
  <c r="F16" s="1"/>
  <c r="F27" s="1"/>
  <c r="K16"/>
  <c r="K27" s="1"/>
  <c r="F46"/>
  <c r="F61" s="1"/>
  <c r="H63"/>
  <c r="J15" i="48"/>
  <c r="K46" i="14"/>
  <c r="K61" s="1"/>
  <c r="K63" s="1"/>
  <c r="J33" i="48"/>
  <c r="O13" i="14"/>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<sst xmlns="http://schemas.openxmlformats.org/spreadsheetml/2006/main" count="2446" uniqueCount="921">
  <si>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</si>
  <si>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</si>
  <si>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</si>
  <si>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</si>
  <si>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</si>
  <si>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</si>
  <si>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</si>
  <si>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</si>
  <si>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</si>
  <si>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</si>
  <si>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</si>
  <si>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</si>
  <si>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</si>
  <si>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</si>
  <si>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</si>
  <si>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</si>
  <si>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</si>
  <si>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</si>
  <si>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</si>
  <si>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</si>
  <si>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</si>
  <si>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</si>
  <si>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</si>
  <si>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</si>
  <si>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</si>
  <si>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</si>
  <si>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</si>
  <si>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</si>
  <si>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</si>
  <si>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</si>
  <si>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</si>
  <si>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</si>
  <si>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</si>
  <si>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</si>
  <si>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</si>
  <si>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</si>
  <si>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</si>
  <si>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</si>
  <si>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</si>
  <si>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</si>
  <si>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</si>
  <si>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</si>
  <si>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</si>
  <si>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</si>
  <si>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</si>
  <si>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</si>
  <si>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</si>
  <si>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</si>
  <si>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</si>
  <si>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</si>
  <si>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</si>
  <si>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</si>
  <si>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</si>
  <si>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</si>
  <si>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</si>
  <si>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</si>
  <si>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</si>
  <si>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</si>
  <si>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</si>
  <si>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</si>
  <si>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</si>
  <si>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</si>
  <si>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</si>
  <si>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</si>
  <si>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</si>
  <si>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</si>
  <si>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</si>
  <si>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</si>
  <si>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</si>
  <si>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</si>
  <si>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</si>
  <si>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</si>
  <si>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</si>
  <si>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</si>
  <si>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</si>
  <si>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</si>
  <si>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</si>
  <si>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</si>
  <si>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</si>
  <si>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</si>
  <si>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</si>
  <si>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</si>
  <si>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</si>
  <si>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</si>
  <si>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</si>
  <si>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</si>
  <si>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</si>
  <si>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</si>
  <si>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</si>
  <si>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</si>
  <si>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</si>
  <si>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</si>
  <si>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</si>
  <si>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</si>
  <si>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</si>
  <si>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</si>
  <si>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</si>
  <si>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</si>
  <si>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</si>
  <si>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</si>
  <si>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</si>
  <si>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</si>
  <si>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</si>
  <si>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</si>
  <si>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</si>
  <si>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</si>
  <si>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</si>
  <si>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</si>
  <si>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</si>
  <si>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</si>
  <si>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</si>
  <si>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</si>
  <si>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</si>
  <si>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</si>
  <si>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</si>
  <si>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</si>
  <si>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</si>
  <si>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</si>
  <si>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</si>
  <si>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</si>
  <si>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</si>
  <si>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</si>
  <si>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</si>
  <si>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</si>
  <si>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</si>
  <si>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</si>
  <si>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</si>
  <si>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</si>
  <si>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</si>
  <si>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</si>
  <si>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</si>
  <si>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</si>
  <si>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</si>
  <si>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</si>
  <si>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</si>
  <si>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</si>
  <si>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</si>
  <si>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</si>
  <si>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</si>
  <si>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</si>
  <si>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</si>
  <si>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</si>
  <si>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</si>
  <si>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</si>
  <si>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</si>
  <si>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</si>
  <si>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</si>
  <si>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</si>
  <si>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</si>
  <si>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</si>
  <si>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</si>
  <si>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</si>
  <si>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</si>
  <si>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</si>
  <si>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</si>
  <si>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</si>
  <si>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</si>
  <si>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</si>
  <si>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</si>
  <si>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</si>
  <si>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</si>
  <si>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</si>
  <si>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</si>
  <si>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</si>
  <si>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</si>
  <si>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</si>
  <si>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</si>
  <si>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</si>
  <si>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</si>
  <si>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</si>
  <si>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</si>
  <si>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</si>
  <si>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</si>
  <si>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</si>
  <si>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</si>
  <si>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</si>
  <si>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</si>
  <si>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</si>
  <si>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</si>
  <si>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</si>
  <si>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</si>
  <si>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</si>
  <si>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</si>
  <si>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</si>
  <si>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</si>
  <si>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</si>
  <si>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</si>
  <si>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</si>
  <si>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</si>
  <si>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</si>
  <si>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</si>
  <si>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</si>
  <si>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</si>
  <si>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</si>
  <si>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</si>
  <si>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</si>
  <si>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</si>
  <si>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</si>
  <si>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</si>
  <si>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</si>
  <si>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</si>
  <si>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</si>
  <si>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</si>
  <si>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</si>
  <si>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</si>
  <si>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</si>
  <si>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</si>
  <si>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</si>
  <si>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</si>
  <si>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</si>
  <si>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</si>
  <si>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</si>
  <si>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</si>
  <si>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</si>
  <si>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</si>
  <si>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</si>
  <si>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</si>
  <si>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</si>
  <si>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</si>
  <si>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</si>
  <si>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</si>
  <si>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</si>
  <si>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</si>
  <si>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</si>
  <si>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</si>
  <si>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</si>
  <si>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</si>
  <si>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</si>
  <si>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</si>
  <si>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</si>
  <si>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</si>
  <si>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</si>
  <si>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</si>
  <si>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</si>
  <si>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</si>
  <si>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</si>
  <si>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</si>
  <si>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</si>
  <si>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</si>
  <si>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</si>
  <si>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</si>
  <si>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</si>
  <si>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</si>
  <si>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</si>
  <si>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</si>
  <si>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</si>
  <si>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</si>
  <si>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</si>
  <si>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</si>
  <si>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</si>
  <si>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</si>
  <si>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</si>
  <si>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</si>
  <si>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</si>
  <si>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</si>
  <si>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</si>
  <si>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</si>
  <si>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</si>
  <si>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</si>
  <si>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</si>
  <si>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</si>
  <si>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</si>
  <si>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</si>
  <si>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</si>
  <si>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</si>
  <si>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</si>
  <si>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</si>
  <si>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</si>
  <si>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</si>
  <si>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</si>
  <si>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</si>
  <si>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</si>
  <si>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</si>
  <si>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</si>
  <si>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</si>
  <si>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</si>
  <si>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</si>
  <si>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</si>
  <si>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</si>
  <si>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</si>
  <si>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</si>
  <si>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</si>
  <si>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</si>
  <si>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</si>
  <si>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</si>
  <si>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</si>
  <si>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</si>
  <si>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</si>
  <si>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</si>
  <si>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</si>
  <si>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</si>
  <si>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</si>
  <si>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</si>
  <si>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</si>
  <si>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</si>
  <si>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</si>
  <si>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</si>
  <si>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</si>
  <si>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</si>
  <si>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</si>
  <si>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</si>
  <si>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</si>
  <si>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</si>
  <si>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</si>
  <si>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</si>
  <si>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</si>
  <si>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</si>
  <si>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</si>
  <si>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</si>
  <si>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</si>
  <si>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</si>
  <si>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</si>
  <si>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</si>
  <si>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</si>
  <si>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</si>
  <si>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</si>
  <si>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</si>
  <si>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</si>
  <si>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</si>
  <si>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</si>
  <si>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</si>
  <si>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</si>
  <si>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</si>
  <si>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</si>
  <si>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</si>
  <si>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</si>
  <si>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</si>
  <si>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</si>
  <si>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</si>
  <si>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</si>
  <si>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</si>
  <si>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</si>
  <si>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</si>
  <si>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</si>
  <si>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</si>
  <si>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</si>
  <si>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</si>
  <si>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</si>
  <si>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</si>
  <si>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</si>
  <si>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</si>
  <si>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</si>
  <si>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</si>
  <si>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</si>
  <si>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</si>
  <si>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</si>
  <si>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</si>
  <si>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</si>
  <si>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</si>
  <si>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</si>
  <si>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</si>
  <si>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</si>
  <si>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</si>
  <si>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</si>
  <si>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</si>
  <si>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</si>
  <si>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</si>
  <si>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</si>
  <si>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</si>
  <si>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</si>
  <si>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</si>
  <si>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</si>
  <si>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</si>
  <si>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</si>
  <si>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</si>
  <si>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</si>
  <si>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</si>
  <si>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</si>
  <si>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</si>
  <si>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</si>
  <si>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</si>
  <si>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</si>
  <si>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</si>
  <si>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</si>
  <si>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</si>
  <si>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</si>
  <si>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</si>
  <si>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</si>
  <si>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</si>
  <si>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</si>
  <si>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</si>
  <si>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</si>
  <si>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</si>
  <si>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</si>
  <si>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</si>
  <si>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</si>
  <si>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</si>
  <si>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</si>
  <si>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</si>
  <si>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</si>
  <si>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</si>
  <si>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</si>
  <si>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</si>
  <si>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</si>
  <si>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</si>
  <si>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</si>
  <si>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</si>
  <si>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</si>
  <si>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</si>
  <si>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</si>
  <si>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</si>
  <si>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</si>
  <si>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</si>
  <si>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</si>
  <si>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</si>
  <si>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</si>
  <si>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</si>
  <si>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</si>
  <si>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</si>
  <si>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</si>
  <si>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</si>
  <si>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</si>
  <si>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</si>
  <si>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</si>
  <si>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</si>
  <si>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</si>
  <si>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</si>
  <si>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</si>
  <si>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</si>
  <si>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</si>
  <si>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</si>
  <si>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</si>
  <si>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</si>
  <si>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</si>
  <si>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</si>
  <si>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</si>
  <si>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</si>
  <si>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</si>
  <si>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</si>
  <si>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</si>
  <si>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</si>
  <si>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</si>
  <si>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</si>
  <si>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</si>
  <si>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</si>
  <si>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</si>
  <si>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</si>
  <si>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</si>
  <si>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</si>
  <si>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</si>
  <si>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</si>
  <si>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</si>
  <si>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</si>
  <si>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</si>
  <si>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</si>
  <si>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</si>
  <si>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</si>
  <si>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</si>
  <si>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</si>
  <si>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</si>
  <si>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</si>
  <si>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</si>
  <si>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</si>
  <si>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</si>
  <si>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</si>
  <si>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</si>
  <si>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</si>
  <si>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</si>
  <si>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</si>
  <si>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</si>
  <si>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</si>
  <si>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</si>
  <si>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</si>
  <si>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</si>
  <si>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</si>
  <si>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</si>
  <si>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</si>
  <si>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</si>
  <si>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</si>
  <si>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</si>
  <si>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</si>
  <si>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</si>
  <si>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</si>
  <si>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</si>
  <si>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</si>
  <si>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</si>
  <si>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</si>
  <si>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</si>
  <si>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</si>
  <si>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</si>
  <si>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</si>
  <si>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</si>
  <si>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</si>
  <si>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</si>
  <si>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</si>
  <si>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</si>
  <si>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</si>
  <si>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</si>
  <si>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</si>
  <si>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</si>
  <si>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</si>
  <si>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</si>
  <si>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</si>
  <si>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</si>
  <si>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</si>
  <si>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</si>
  <si>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</si>
  <si>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</si>
  <si>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</si>
  <si>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</si>
  <si>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</si>
  <si>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</si>
  <si>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</si>
  <si>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</si>
  <si>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</si>
  <si>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</si>
  <si>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</si>
  <si>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</si>
  <si>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</si>
  <si>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</si>
  <si>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</si>
  <si>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</si>
  <si>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</si>
  <si>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</si>
  <si>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</si>
  <si>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</si>
  <si>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</si>
  <si>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</si>
  <si>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</si>
  <si>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</si>
  <si>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</si>
  <si>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</si>
  <si>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</si>
  <si>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</si>
  <si>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</si>
  <si>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</si>
  <si>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</si>
  <si>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</si>
  <si>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</si>
  <si>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</si>
  <si>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</si>
  <si>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</si>
  <si>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</si>
  <si>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</si>
  <si>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</si>
  <si>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</si>
  <si>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</si>
  <si>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</si>
  <si>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</si>
  <si>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</si>
  <si>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</si>
  <si>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</si>
  <si>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</si>
  <si>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</si>
  <si>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</si>
  <si>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</si>
  <si>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</si>
  <si>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</si>
  <si>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</si>
  <si>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</si>
  <si>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</si>
  <si>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</si>
  <si>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</si>
  <si>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</si>
  <si>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</si>
  <si>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</si>
  <si>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</si>
  <si>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</si>
  <si>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</si>
  <si>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</si>
  <si>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</si>
  <si>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</si>
  <si>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</si>
  <si>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</si>
  <si>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</si>
  <si>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</si>
  <si>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</si>
  <si>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</si>
  <si>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</si>
  <si>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</si>
  <si>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</si>
  <si>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</si>
  <si>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</si>
  <si>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</si>
  <si>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</si>
  <si>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</si>
  <si>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</si>
  <si>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</si>
  <si>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</si>
  <si>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</si>
  <si>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</si>
  <si>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</si>
  <si>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</si>
  <si>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</si>
  <si>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</si>
  <si>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</si>
  <si>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</si>
  <si>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</si>
  <si>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</si>
  <si>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</si>
  <si>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</si>
  <si>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</si>
  <si>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</si>
  <si>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</si>
  <si>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</si>
  <si>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</si>
  <si>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</si>
  <si>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</si>
  <si>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</si>
  <si>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</si>
  <si>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</si>
  <si>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</si>
  <si>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</si>
  <si>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</si>
  <si>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</si>
  <si>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</si>
  <si>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</si>
  <si>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</si>
  <si>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</si>
  <si>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</si>
  <si>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</si>
  <si>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</si>
  <si>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</si>
  <si>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</si>
  <si>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</si>
  <si>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</si>
  <si>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</si>
  <si>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</si>
  <si>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</si>
  <si>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</si>
  <si>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</si>
  <si>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</si>
  <si>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</si>
  <si>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</si>
  <si>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</si>
  <si>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</si>
  <si>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</si>
  <si>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</si>
  <si>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</si>
  <si>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</si>
  <si>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</si>
  <si>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</si>
  <si>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</si>
  <si>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</si>
  <si>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</si>
  <si>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</si>
  <si>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</si>
  <si>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</si>
  <si>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</si>
  <si>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</si>
  <si>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</si>
  <si>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</si>
  <si>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</si>
  <si>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</si>
  <si>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</si>
  <si>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</si>
  <si>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</si>
  <si>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</si>
  <si>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</si>
  <si>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</si>
  <si>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</si>
  <si>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</si>
  <si>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</si>
  <si>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</si>
  <si>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</si>
  <si>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</si>
  <si>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</si>
  <si>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</si>
  <si>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</si>
  <si>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</si>
  <si>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</si>
  <si>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</si>
  <si>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</si>
  <si>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</si>
  <si>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</si>
  <si>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</si>
  <si>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</si>
  <si>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</si>
  <si>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</si>
  <si>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</si>
  <si>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</si>
  <si>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</si>
  <si>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</si>
  <si>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</si>
  <si>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</si>
  <si>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</si>
  <si>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</si>
  <si>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</si>
  <si>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</si>
  <si>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</si>
  <si>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</si>
  <si>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</si>
  <si>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</si>
  <si>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</si>
  <si>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</si>
  <si>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</si>
  <si>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</si>
  <si>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</si>
  <si>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</si>
  <si>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</si>
  <si>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</si>
  <si>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</si>
  <si>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</si>
  <si>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</si>
  <si>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</si>
  <si>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</si>
  <si>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</si>
  <si>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</si>
  <si>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</si>
  <si>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</si>
  <si>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</si>
  <si>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</si>
  <si>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</si>
  <si>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</si>
  <si>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</si>
  <si>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</si>
  <si>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</si>
  <si>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</si>
  <si>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</si>
  <si>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</si>
  <si>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</si>
  <si>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</si>
  <si>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</si>
  <si>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</si>
  <si>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</si>
  <si>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</si>
  <si>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</si>
  <si>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</si>
  <si>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</si>
  <si>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</si>
  <si>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</si>
  <si>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</si>
  <si>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</si>
  <si>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</si>
  <si>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</si>
  <si>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</si>
  <si>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</si>
  <si>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</si>
  <si>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</si>
  <si>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</si>
  <si>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</si>
  <si>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</si>
  <si>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</si>
  <si>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</si>
  <si>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</si>
  <si>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</si>
  <si>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</si>
  <si>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</si>
  <si>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</si>
  <si>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</si>
  <si>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</si>
  <si>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</si>
  <si>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</si>
  <si>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</si>
  <si>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</si>
  <si>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</si>
  <si>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</si>
  <si>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</si>
  <si>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</si>
  <si>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</si>
  <si>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</si>
  <si>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</si>
  <si>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</si>
  <si>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</si>
  <si>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</si>
  <si>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</si>
  <si>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</si>
  <si>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</si>
  <si>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</si>
  <si>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</si>
  <si>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</si>
  <si>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</si>
  <si>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</si>
  <si>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</si>
  <si>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</si>
  <si>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</si>
  <si>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</si>
  <si>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</si>
  <si>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</si>
  <si>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</si>
  <si>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</si>
  <si>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</si>
  <si>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</si>
  <si>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</si>
  <si>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</si>
  <si>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</si>
  <si>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</si>
  <si>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</si>
  <si>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</si>
  <si>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</si>
  <si>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</si>
  <si>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</si>
  <si>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</si>
  <si>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</si>
  <si>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</si>
  <si>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</si>
  <si>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</si>
  <si>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</si>
  <si>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</si>
  <si>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</si>
  <si>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</si>
  <si>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</si>
  <si>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</si>
  <si>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</si>
  <si>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</si>
  <si>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</si>
  <si>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</si>
  <si>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</si>
  <si>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</si>
  <si>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</si>
  <si>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</si>
  <si>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</si>
  <si>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</si>
  <si>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</si>
  <si>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</si>
  <si>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</si>
  <si>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</si>
  <si>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</si>
  <si>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</si>
  <si>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</si>
  <si>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</si>
  <si>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</si>
  <si>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</si>
  <si>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</si>
  <si>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</si>
  <si>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</si>
  <si>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</si>
  <si>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</si>
  <si>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</si>
  <si>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</si>
  <si>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</si>
  <si>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</si>
  <si>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</si>
  <si>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</si>
  <si>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</si>
  <si>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</si>
  <si>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</si>
  <si>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</si>
  <si>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</si>
  <si>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</si>
  <si>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</si>
  <si>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</si>
  <si>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</si>
  <si>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</si>
  <si>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</si>
  <si>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</si>
  <si>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</si>
  <si>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</si>
  <si>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</si>
  <si>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</si>
  <si>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</si>
  <si>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</si>
  <si>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</si>
  <si>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</si>
  <si>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</si>
  <si>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</si>
  <si>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</si>
  <si>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</si>
  <si>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</si>
  <si>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</si>
  <si>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</si>
  <si>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</si>
  <si>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</si>
  <si>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</si>
  <si>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</si>
  <si>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</si>
  <si>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</si>
  <si>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</si>
  <si>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</si>
  <si>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</si>
  <si>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</si>
  <si>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</si>
  <si>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</si>
  <si>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</si>
  <si>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</si>
  <si>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</si>
  <si>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</si>
  <si>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</si>
  <si>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</si>
  <si>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</si>
  <si>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</si>
  <si>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</si>
  <si>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</si>
  <si>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</si>
  <si>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</si>
  <si>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</si>
  <si>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</si>
  <si>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</si>
  <si>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</si>
  <si>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</si>
  <si>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</si>
  <si>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</si>
  <si>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</si>
  <si>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</si>
  <si>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</si>
  <si>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</si>
  <si>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</si>
  <si>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</si>
  <si>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</si>
  <si>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</si>
  <si>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</si>
  <si>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</si>
  <si>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</si>
  <si>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</si>
  <si>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</si>
  <si>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</si>
  <si>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</si>
  <si>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</si>
  <si>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</si>
  <si>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44019</t>
  </si>
  <si>
    <t>EVERGEM</t>
  </si>
  <si>
    <t>Paarden&amp;pony's 200 - 600 kg</t>
  </si>
  <si>
    <t>Paarden&amp;pony's &lt; 200 kg</t>
  </si>
  <si>
    <t>referentietaak LNE (2017); Jaarverslag De Lijn (2014)</t>
  </si>
  <si>
    <t>op basis van VEA (maart 2018) en Inventaris Hernieuwbare Energiebronnen (juni 2018)</t>
  </si>
  <si>
    <t>VEA (maart 2016)</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</si>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</sst>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252452.99089978653</c:v>
                </c:pt>
                <c:pt idx="1">
                  <c:v>100439.5105819243</c:v>
                </c:pt>
                <c:pt idx="2">
                  <c:v>2357.9839999999999</c:v>
                </c:pt>
                <c:pt idx="3">
                  <c:v>20894.556204288474</c:v>
                </c:pt>
                <c:pt idx="4">
                  <c:v>175445.17541407773</c:v>
                </c:pt>
                <c:pt idx="5">
                  <c:v>164398.11036736079</c:v>
                </c:pt>
                <c:pt idx="6">
                  <c:v>3958.7020134854556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252452.99089978653</c:v>
                </c:pt>
                <c:pt idx="1">
                  <c:v>100439.5105819243</c:v>
                </c:pt>
                <c:pt idx="2">
                  <c:v>2357.9839999999999</c:v>
                </c:pt>
                <c:pt idx="3">
                  <c:v>20894.556204288474</c:v>
                </c:pt>
                <c:pt idx="4">
                  <c:v>175445.17541407773</c:v>
                </c:pt>
                <c:pt idx="5">
                  <c:v>164398.11036736079</c:v>
                </c:pt>
                <c:pt idx="6">
                  <c:v>3958.7020134854556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47813.109911985273</c:v>
                </c:pt>
                <c:pt idx="2">
                  <c:v>19461.310440064717</c:v>
                </c:pt>
                <c:pt idx="3">
                  <c:v>457.74474574502534</c:v>
                </c:pt>
                <c:pt idx="4">
                  <c:v>5165.1630951485577</c:v>
                </c:pt>
                <c:pt idx="5">
                  <c:v>34262.045076302078</c:v>
                </c:pt>
                <c:pt idx="6">
                  <c:v>41186.599084358968</c:v>
                </c:pt>
                <c:pt idx="7">
                  <c:v>937.71597321573984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2336"/>
      </c:barChart>
      <c:catAx>
        <c:axId val="147176448"/>
        <c:scaling>
          <c:orientation val="minMax"/>
        </c:scaling>
        <c:axPos val="b"/>
        <c:numFmt formatCode="General" sourceLinked="0"/>
        <c:tickLblPos val="nextTo"/>
        <c:crossAx val="147182336"/>
        <c:crosses val="autoZero"/>
        <c:auto val="1"/>
        <c:lblAlgn val="ctr"/>
        <c:lblOffset val="100"/>
      </c:catAx>
      <c:valAx>
        <c:axId val="147182336"/>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47813.109911985273</c:v>
                </c:pt>
                <c:pt idx="2">
                  <c:v>19461.310440064717</c:v>
                </c:pt>
                <c:pt idx="3">
                  <c:v>457.74474574502534</c:v>
                </c:pt>
                <c:pt idx="4">
                  <c:v>5165.1630951485577</c:v>
                </c:pt>
                <c:pt idx="5">
                  <c:v>34262.045076302078</c:v>
                </c:pt>
                <c:pt idx="6">
                  <c:v>41186.599084358968</c:v>
                </c:pt>
                <c:pt idx="7">
                  <c:v>937.71597321573984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44019</v>
      </c>
      <c r="B6" s="416"/>
      <c r="C6" s="417"/>
    </row>
    <row r="7" spans="1:7" s="414" customFormat="1" ht="15.75" customHeight="1">
      <c r="A7" s="418" t="str">
        <f>txtMunicipality</f>
        <v>EVERGEM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0.19412546724024649</v>
      </c>
      <c r="C17" s="525">
        <f ca="1">'EF ele_warmte'!B22</f>
        <v>0.23190278653200633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0.19412546724024649</v>
      </c>
      <c r="C29" s="526">
        <f ca="1">'EF ele_warmte'!B22</f>
        <v>0.23190278653200633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13883</v>
      </c>
      <c r="C9" s="342">
        <v>14365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4298</v>
      </c>
    </row>
    <row r="15" spans="1:6">
      <c r="A15" s="348" t="s">
        <v>184</v>
      </c>
      <c r="B15" s="334">
        <v>59</v>
      </c>
    </row>
    <row r="16" spans="1:6">
      <c r="A16" s="348" t="s">
        <v>6</v>
      </c>
      <c r="B16" s="334">
        <v>2702</v>
      </c>
    </row>
    <row r="17" spans="1:6">
      <c r="A17" s="348" t="s">
        <v>7</v>
      </c>
      <c r="B17" s="334">
        <v>1470</v>
      </c>
    </row>
    <row r="18" spans="1:6">
      <c r="A18" s="348" t="s">
        <v>8</v>
      </c>
      <c r="B18" s="334">
        <v>2828</v>
      </c>
    </row>
    <row r="19" spans="1:6">
      <c r="A19" s="348" t="s">
        <v>9</v>
      </c>
      <c r="B19" s="334">
        <v>2923</v>
      </c>
    </row>
    <row r="20" spans="1:6">
      <c r="A20" s="348" t="s">
        <v>10</v>
      </c>
      <c r="B20" s="334">
        <v>1480</v>
      </c>
    </row>
    <row r="21" spans="1:6">
      <c r="A21" s="348" t="s">
        <v>11</v>
      </c>
      <c r="B21" s="334">
        <v>12085</v>
      </c>
    </row>
    <row r="22" spans="1:6">
      <c r="A22" s="348" t="s">
        <v>12</v>
      </c>
      <c r="B22" s="334">
        <v>22260</v>
      </c>
    </row>
    <row r="23" spans="1:6">
      <c r="A23" s="348" t="s">
        <v>13</v>
      </c>
      <c r="B23" s="334">
        <v>674</v>
      </c>
    </row>
    <row r="24" spans="1:6">
      <c r="A24" s="348" t="s">
        <v>14</v>
      </c>
      <c r="B24" s="334">
        <v>53</v>
      </c>
    </row>
    <row r="25" spans="1:6">
      <c r="A25" s="348" t="s">
        <v>15</v>
      </c>
      <c r="B25" s="334">
        <v>2985</v>
      </c>
    </row>
    <row r="26" spans="1:6">
      <c r="A26" s="348" t="s">
        <v>16</v>
      </c>
      <c r="B26" s="334">
        <v>271</v>
      </c>
    </row>
    <row r="27" spans="1:6">
      <c r="A27" s="348" t="s">
        <v>17</v>
      </c>
      <c r="B27" s="334">
        <v>2</v>
      </c>
    </row>
    <row r="28" spans="1:6" s="356" customFormat="1">
      <c r="A28" s="355" t="s">
        <v>18</v>
      </c>
      <c r="B28" s="355">
        <v>48590</v>
      </c>
    </row>
    <row r="29" spans="1:6">
      <c r="A29" s="355" t="s">
        <v>901</v>
      </c>
      <c r="B29" s="355">
        <v>351</v>
      </c>
      <c r="C29" s="356"/>
      <c r="D29" s="356"/>
      <c r="E29" s="356"/>
      <c r="F29" s="356"/>
    </row>
    <row r="30" spans="1:6">
      <c r="A30" s="341" t="s">
        <v>902</v>
      </c>
      <c r="B30" s="341">
        <v>66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80866.179999999993</v>
      </c>
    </row>
    <row r="36" spans="1:6">
      <c r="A36" s="348" t="s">
        <v>25</v>
      </c>
      <c r="B36" s="348" t="s">
        <v>27</v>
      </c>
      <c r="C36" s="334">
        <v>0</v>
      </c>
      <c r="D36" s="334">
        <v>0</v>
      </c>
      <c r="E36" s="334">
        <v>4</v>
      </c>
      <c r="F36" s="334">
        <v>34452.07</v>
      </c>
    </row>
    <row r="37" spans="1:6">
      <c r="A37" s="348" t="s">
        <v>25</v>
      </c>
      <c r="B37" s="348" t="s">
        <v>28</v>
      </c>
      <c r="C37" s="334">
        <v>0</v>
      </c>
      <c r="D37" s="334">
        <v>0</v>
      </c>
      <c r="E37" s="334">
        <v>0</v>
      </c>
      <c r="F37" s="334">
        <v>0</v>
      </c>
    </row>
    <row r="38" spans="1:6">
      <c r="A38" s="348" t="s">
        <v>25</v>
      </c>
      <c r="B38" s="348" t="s">
        <v>29</v>
      </c>
      <c r="C38" s="334">
        <v>1</v>
      </c>
      <c r="D38" s="334">
        <v>0</v>
      </c>
      <c r="E38" s="334">
        <v>3</v>
      </c>
      <c r="F38" s="334">
        <v>52761.18</v>
      </c>
    </row>
    <row r="39" spans="1:6">
      <c r="A39" s="348" t="s">
        <v>30</v>
      </c>
      <c r="B39" s="348" t="s">
        <v>31</v>
      </c>
      <c r="C39" s="334">
        <v>7547</v>
      </c>
      <c r="D39" s="334">
        <v>107979853.01760399</v>
      </c>
      <c r="E39" s="334">
        <v>13452</v>
      </c>
      <c r="F39" s="334">
        <v>64747312.829999998</v>
      </c>
    </row>
    <row r="40" spans="1:6">
      <c r="A40" s="348" t="s">
        <v>30</v>
      </c>
      <c r="B40" s="348" t="s">
        <v>29</v>
      </c>
      <c r="C40" s="334">
        <v>1</v>
      </c>
      <c r="D40" s="334">
        <v>23204.816624741401</v>
      </c>
      <c r="E40" s="334">
        <v>0</v>
      </c>
      <c r="F40" s="334">
        <v>0</v>
      </c>
    </row>
    <row r="41" spans="1:6">
      <c r="A41" s="348" t="s">
        <v>32</v>
      </c>
      <c r="B41" s="348" t="s">
        <v>33</v>
      </c>
      <c r="C41" s="334">
        <v>105</v>
      </c>
      <c r="D41" s="334">
        <v>37210508.596535802</v>
      </c>
      <c r="E41" s="334">
        <v>308</v>
      </c>
      <c r="F41" s="334">
        <v>2349143</v>
      </c>
    </row>
    <row r="42" spans="1:6">
      <c r="A42" s="348" t="s">
        <v>32</v>
      </c>
      <c r="B42" s="348" t="s">
        <v>34</v>
      </c>
      <c r="C42" s="334">
        <v>0</v>
      </c>
      <c r="D42" s="334">
        <v>0</v>
      </c>
      <c r="E42" s="334">
        <v>5</v>
      </c>
      <c r="F42" s="334">
        <v>47270630</v>
      </c>
    </row>
    <row r="43" spans="1:6">
      <c r="A43" s="348" t="s">
        <v>32</v>
      </c>
      <c r="B43" s="348" t="s">
        <v>35</v>
      </c>
      <c r="C43" s="334">
        <v>0</v>
      </c>
      <c r="D43" s="334">
        <v>0</v>
      </c>
      <c r="E43" s="334">
        <v>0</v>
      </c>
      <c r="F43" s="334">
        <v>0</v>
      </c>
    </row>
    <row r="44" spans="1:6">
      <c r="A44" s="348" t="s">
        <v>32</v>
      </c>
      <c r="B44" s="348" t="s">
        <v>36</v>
      </c>
      <c r="C44" s="334">
        <v>8</v>
      </c>
      <c r="D44" s="334">
        <v>206591.67951446801</v>
      </c>
      <c r="E44" s="334">
        <v>38</v>
      </c>
      <c r="F44" s="334">
        <v>496320.7</v>
      </c>
    </row>
    <row r="45" spans="1:6">
      <c r="A45" s="348" t="s">
        <v>32</v>
      </c>
      <c r="B45" s="348" t="s">
        <v>37</v>
      </c>
      <c r="C45" s="334">
        <v>0</v>
      </c>
      <c r="D45" s="334">
        <v>0</v>
      </c>
      <c r="E45" s="334">
        <v>3</v>
      </c>
      <c r="F45" s="334">
        <v>121176.6</v>
      </c>
    </row>
    <row r="46" spans="1:6">
      <c r="A46" s="348" t="s">
        <v>32</v>
      </c>
      <c r="B46" s="348" t="s">
        <v>38</v>
      </c>
      <c r="C46" s="334">
        <v>0</v>
      </c>
      <c r="D46" s="334">
        <v>0</v>
      </c>
      <c r="E46" s="334">
        <v>0</v>
      </c>
      <c r="F46" s="334">
        <v>0</v>
      </c>
    </row>
    <row r="47" spans="1:6">
      <c r="A47" s="348" t="s">
        <v>32</v>
      </c>
      <c r="B47" s="348" t="s">
        <v>39</v>
      </c>
      <c r="C47" s="334">
        <v>9</v>
      </c>
      <c r="D47" s="334">
        <v>281642.55411529599</v>
      </c>
      <c r="E47" s="334">
        <v>10</v>
      </c>
      <c r="F47" s="334">
        <v>237149.6</v>
      </c>
    </row>
    <row r="48" spans="1:6">
      <c r="A48" s="348" t="s">
        <v>32</v>
      </c>
      <c r="B48" s="348" t="s">
        <v>29</v>
      </c>
      <c r="C48" s="334">
        <v>31</v>
      </c>
      <c r="D48" s="334">
        <v>45371459.812430903</v>
      </c>
      <c r="E48" s="334">
        <v>50</v>
      </c>
      <c r="F48" s="334">
        <v>22815751</v>
      </c>
    </row>
    <row r="49" spans="1:6">
      <c r="A49" s="348" t="s">
        <v>32</v>
      </c>
      <c r="B49" s="348" t="s">
        <v>40</v>
      </c>
      <c r="C49" s="334">
        <v>0</v>
      </c>
      <c r="D49" s="334">
        <v>0</v>
      </c>
      <c r="E49" s="334">
        <v>0</v>
      </c>
      <c r="F49" s="334">
        <v>0</v>
      </c>
    </row>
    <row r="50" spans="1:6">
      <c r="A50" s="348" t="s">
        <v>32</v>
      </c>
      <c r="B50" s="348" t="s">
        <v>41</v>
      </c>
      <c r="C50" s="334">
        <v>17</v>
      </c>
      <c r="D50" s="334">
        <v>1664604.56571739</v>
      </c>
      <c r="E50" s="334">
        <v>35</v>
      </c>
      <c r="F50" s="334">
        <v>2868702</v>
      </c>
    </row>
    <row r="51" spans="1:6">
      <c r="A51" s="348" t="s">
        <v>42</v>
      </c>
      <c r="B51" s="348" t="s">
        <v>43</v>
      </c>
      <c r="C51" s="334">
        <v>19</v>
      </c>
      <c r="D51" s="334">
        <v>3208818.29368424</v>
      </c>
      <c r="E51" s="334">
        <v>218</v>
      </c>
      <c r="F51" s="334">
        <v>4287050</v>
      </c>
    </row>
    <row r="52" spans="1:6">
      <c r="A52" s="348" t="s">
        <v>42</v>
      </c>
      <c r="B52" s="348" t="s">
        <v>29</v>
      </c>
      <c r="C52" s="334">
        <v>7</v>
      </c>
      <c r="D52" s="334">
        <v>2832121.61128553</v>
      </c>
      <c r="E52" s="334">
        <v>8</v>
      </c>
      <c r="F52" s="334">
        <v>529392.19999999995</v>
      </c>
    </row>
    <row r="53" spans="1:6">
      <c r="A53" s="348" t="s">
        <v>44</v>
      </c>
      <c r="B53" s="348" t="s">
        <v>45</v>
      </c>
      <c r="C53" s="334">
        <v>166</v>
      </c>
      <c r="D53" s="334">
        <v>6030348.2321034595</v>
      </c>
      <c r="E53" s="334">
        <v>372</v>
      </c>
      <c r="F53" s="334">
        <v>1915892</v>
      </c>
    </row>
    <row r="54" spans="1:6">
      <c r="A54" s="348" t="s">
        <v>46</v>
      </c>
      <c r="B54" s="348" t="s">
        <v>47</v>
      </c>
      <c r="C54" s="334">
        <v>0</v>
      </c>
      <c r="D54" s="334">
        <v>0</v>
      </c>
      <c r="E54" s="334">
        <v>3</v>
      </c>
      <c r="F54" s="334">
        <v>2357984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3072442.1629842301</v>
      </c>
      <c r="E57" s="334">
        <v>172</v>
      </c>
      <c r="F57" s="334">
        <v>4717593</v>
      </c>
    </row>
    <row r="58" spans="1:6">
      <c r="A58" s="348" t="s">
        <v>49</v>
      </c>
      <c r="B58" s="348" t="s">
        <v>51</v>
      </c>
      <c r="C58" s="334">
        <v>45</v>
      </c>
      <c r="D58" s="334">
        <v>4635506.4786099</v>
      </c>
      <c r="E58" s="334">
        <v>77</v>
      </c>
      <c r="F58" s="334">
        <v>1580883</v>
      </c>
    </row>
    <row r="59" spans="1:6">
      <c r="A59" s="348" t="s">
        <v>49</v>
      </c>
      <c r="B59" s="348" t="s">
        <v>52</v>
      </c>
      <c r="C59" s="334">
        <v>124</v>
      </c>
      <c r="D59" s="334">
        <v>6349730.7951093996</v>
      </c>
      <c r="E59" s="334">
        <v>338</v>
      </c>
      <c r="F59" s="334">
        <v>11637615</v>
      </c>
    </row>
    <row r="60" spans="1:6">
      <c r="A60" s="348" t="s">
        <v>49</v>
      </c>
      <c r="B60" s="348" t="s">
        <v>53</v>
      </c>
      <c r="C60" s="334">
        <v>62</v>
      </c>
      <c r="D60" s="334">
        <v>2329696.1868668501</v>
      </c>
      <c r="E60" s="334">
        <v>111</v>
      </c>
      <c r="F60" s="334">
        <v>1895864</v>
      </c>
    </row>
    <row r="61" spans="1:6">
      <c r="A61" s="348" t="s">
        <v>49</v>
      </c>
      <c r="B61" s="348" t="s">
        <v>54</v>
      </c>
      <c r="C61" s="334">
        <v>203</v>
      </c>
      <c r="D61" s="334">
        <v>9265181.5829680599</v>
      </c>
      <c r="E61" s="334">
        <v>489</v>
      </c>
      <c r="F61" s="334">
        <v>10908995</v>
      </c>
    </row>
    <row r="62" spans="1:6">
      <c r="A62" s="348" t="s">
        <v>49</v>
      </c>
      <c r="B62" s="348" t="s">
        <v>55</v>
      </c>
      <c r="C62" s="334">
        <v>9</v>
      </c>
      <c r="D62" s="334">
        <v>478012.62667955202</v>
      </c>
      <c r="E62" s="334">
        <v>24</v>
      </c>
      <c r="F62" s="334">
        <v>902621.2</v>
      </c>
    </row>
    <row r="63" spans="1:6">
      <c r="A63" s="348" t="s">
        <v>49</v>
      </c>
      <c r="B63" s="348" t="s">
        <v>29</v>
      </c>
      <c r="C63" s="334">
        <v>115</v>
      </c>
      <c r="D63" s="334">
        <v>26772923.899779301</v>
      </c>
      <c r="E63" s="334">
        <v>93</v>
      </c>
      <c r="F63" s="334">
        <v>10138846</v>
      </c>
    </row>
    <row r="64" spans="1:6">
      <c r="A64" s="348" t="s">
        <v>56</v>
      </c>
      <c r="B64" s="348" t="s">
        <v>57</v>
      </c>
      <c r="C64" s="334">
        <v>0</v>
      </c>
      <c r="D64" s="334">
        <v>0</v>
      </c>
      <c r="E64" s="334">
        <v>0</v>
      </c>
      <c r="F64" s="334">
        <v>0</v>
      </c>
    </row>
    <row r="65" spans="1:6">
      <c r="A65" s="348" t="s">
        <v>56</v>
      </c>
      <c r="B65" s="348" t="s">
        <v>29</v>
      </c>
      <c r="C65" s="334">
        <v>5</v>
      </c>
      <c r="D65" s="334">
        <v>84353.420033987495</v>
      </c>
      <c r="E65" s="334">
        <v>7</v>
      </c>
      <c r="F65" s="334">
        <v>54685.32</v>
      </c>
    </row>
    <row r="66" spans="1:6">
      <c r="A66" s="348" t="s">
        <v>56</v>
      </c>
      <c r="B66" s="348" t="s">
        <v>58</v>
      </c>
      <c r="C66" s="334">
        <v>0</v>
      </c>
      <c r="D66" s="334">
        <v>0</v>
      </c>
      <c r="E66" s="334">
        <v>15</v>
      </c>
      <c r="F66" s="334">
        <v>344491.9</v>
      </c>
    </row>
    <row r="67" spans="1:6">
      <c r="A67" s="355" t="s">
        <v>56</v>
      </c>
      <c r="B67" s="355" t="s">
        <v>59</v>
      </c>
      <c r="C67" s="334">
        <v>0</v>
      </c>
      <c r="D67" s="334">
        <v>0</v>
      </c>
      <c r="E67" s="334">
        <v>0</v>
      </c>
      <c r="F67" s="334">
        <v>0</v>
      </c>
    </row>
    <row r="68" spans="1:6">
      <c r="A68" s="341" t="s">
        <v>56</v>
      </c>
      <c r="B68" s="341" t="s">
        <v>60</v>
      </c>
      <c r="C68" s="334">
        <v>12</v>
      </c>
      <c r="D68" s="334">
        <v>2224096.9959757398</v>
      </c>
      <c r="E68" s="334">
        <v>37</v>
      </c>
      <c r="F68" s="334">
        <v>1384666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123286534</v>
      </c>
      <c r="E73" s="476">
        <v>129667949.27726625</v>
      </c>
    </row>
    <row r="74" spans="1:6">
      <c r="A74" s="348" t="s">
        <v>64</v>
      </c>
      <c r="B74" s="348" t="s">
        <v>714</v>
      </c>
      <c r="C74" s="1311" t="s">
        <v>716</v>
      </c>
      <c r="D74" s="476">
        <v>13204555.263084881</v>
      </c>
      <c r="E74" s="476">
        <v>13482704.783658285</v>
      </c>
    </row>
    <row r="75" spans="1:6">
      <c r="A75" s="348" t="s">
        <v>65</v>
      </c>
      <c r="B75" s="348" t="s">
        <v>713</v>
      </c>
      <c r="C75" s="1311" t="s">
        <v>717</v>
      </c>
      <c r="D75" s="476">
        <v>54062597</v>
      </c>
      <c r="E75" s="476">
        <v>56001290.622625507</v>
      </c>
    </row>
    <row r="76" spans="1:6">
      <c r="A76" s="348" t="s">
        <v>65</v>
      </c>
      <c r="B76" s="348" t="s">
        <v>714</v>
      </c>
      <c r="C76" s="1311" t="s">
        <v>718</v>
      </c>
      <c r="D76" s="476">
        <v>2123093.263084881</v>
      </c>
      <c r="E76" s="476">
        <v>2241978.148002103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773435.47383023764</v>
      </c>
      <c r="C83" s="476">
        <v>784739.82750206406</v>
      </c>
    </row>
    <row r="84" spans="1:6">
      <c r="A84" s="341" t="s">
        <v>337</v>
      </c>
      <c r="B84" s="1307">
        <v>301948.02428868844</v>
      </c>
      <c r="C84" s="1307">
        <v>313994.66016921768</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7130.1915186240794</v>
      </c>
    </row>
    <row r="92" spans="1:6">
      <c r="A92" s="341" t="s">
        <v>69</v>
      </c>
      <c r="B92" s="342">
        <v>17286.367885330103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48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6</v>
      </c>
    </row>
    <row r="131" spans="1:6">
      <c r="A131" s="348" t="s">
        <v>296</v>
      </c>
      <c r="B131" s="334">
        <v>4</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200054.48575710849</v>
      </c>
      <c r="C3" s="43" t="s">
        <v>170</v>
      </c>
      <c r="D3" s="43"/>
      <c r="E3" s="154"/>
      <c r="F3" s="43"/>
      <c r="G3" s="43"/>
      <c r="H3" s="43"/>
      <c r="I3" s="43"/>
      <c r="J3" s="43"/>
      <c r="K3" s="96"/>
    </row>
    <row r="4" spans="1:11">
      <c r="A4" s="384" t="s">
        <v>171</v>
      </c>
      <c r="B4" s="49">
        <f>IF(ISERROR('SEAP template'!B78+'SEAP template'!C78),0,'SEAP template'!B78+'SEAP template'!C78)</f>
        <v>26222.409403954185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418.78164705882364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0.19412546724024649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598.25949579831945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2579.7857142857142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0.23190278653200633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2357.9839999999999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2357.9839999999999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0.19412546724024649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457.74474574502534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64747.312829999995</v>
      </c>
      <c r="C5" s="17">
        <f>IF(ISERROR('Eigen informatie GS &amp; warmtenet'!B57),0,'Eigen informatie GS &amp; warmtenet'!B57)</f>
        <v>0</v>
      </c>
      <c r="D5" s="30">
        <f>(SUM(HH_hh_gas_kWh,HH_rest_gas_kWh)/1000)*0.902</f>
        <v>97418.758166474319</v>
      </c>
      <c r="E5" s="17">
        <f>B46*B57</f>
        <v>6958.6665807352447</v>
      </c>
      <c r="F5" s="17">
        <f>B51*B62</f>
        <v>47197.188512326087</v>
      </c>
      <c r="G5" s="18"/>
      <c r="H5" s="17"/>
      <c r="I5" s="17"/>
      <c r="J5" s="17">
        <f>B50*B61+C50*C61</f>
        <v>0</v>
      </c>
      <c r="K5" s="17"/>
      <c r="L5" s="17"/>
      <c r="M5" s="17"/>
      <c r="N5" s="17">
        <f>B48*B59+C48*C59</f>
        <v>26819.9199582935</v>
      </c>
      <c r="O5" s="17">
        <f>B69*B70*B71</f>
        <v>522.15333333333331</v>
      </c>
      <c r="P5" s="17">
        <f>B77*B78*B79/1000-B77*B78*B79/1000/B80</f>
        <v>1658.8</v>
      </c>
    </row>
    <row r="6" spans="1:16">
      <c r="A6" s="16" t="s">
        <v>631</v>
      </c>
      <c r="B6" s="789">
        <f>kWh_PV_kleiner_dan_10kW</f>
        <v>7130.1915186240794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71877.504348624076</v>
      </c>
      <c r="C8" s="21">
        <f>C5</f>
        <v>0</v>
      </c>
      <c r="D8" s="21">
        <f>D5</f>
        <v>97418.758166474319</v>
      </c>
      <c r="E8" s="21">
        <f>E5</f>
        <v>6958.6665807352447</v>
      </c>
      <c r="F8" s="21">
        <f>F5</f>
        <v>47197.188512326087</v>
      </c>
      <c r="G8" s="21"/>
      <c r="H8" s="21"/>
      <c r="I8" s="21"/>
      <c r="J8" s="21">
        <f>J5</f>
        <v>0</v>
      </c>
      <c r="K8" s="21"/>
      <c r="L8" s="21">
        <f>L5</f>
        <v>0</v>
      </c>
      <c r="M8" s="21">
        <f>M5</f>
        <v>0</v>
      </c>
      <c r="N8" s="21">
        <f>N5</f>
        <v>26819.9199582935</v>
      </c>
      <c r="O8" s="21">
        <f>O5</f>
        <v>522.15333333333331</v>
      </c>
      <c r="P8" s="21">
        <f>P5</f>
        <v>1658.8</v>
      </c>
    </row>
    <row r="9" spans="1:16">
      <c r="B9" s="19"/>
      <c r="C9" s="19"/>
      <c r="D9" s="258"/>
      <c r="E9" s="19"/>
      <c r="F9" s="19"/>
      <c r="G9" s="19"/>
      <c r="H9" s="19"/>
      <c r="I9" s="19"/>
      <c r="J9" s="19"/>
      <c r="K9" s="19"/>
      <c r="L9" s="19"/>
      <c r="M9" s="19"/>
      <c r="N9" s="19"/>
      <c r="O9" s="19"/>
      <c r="P9" s="19"/>
    </row>
    <row r="10" spans="1:16">
      <c r="A10" s="24" t="s">
        <v>214</v>
      </c>
      <c r="B10" s="25">
        <f ca="1">'EF ele_warmte'!B12</f>
        <v>0.19412546724024649</v>
      </c>
      <c r="C10" s="25">
        <f ca="1">'EF ele_warmte'!B22</f>
        <v>0.23190278653200633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13953.254115739497</v>
      </c>
      <c r="C12" s="23">
        <f ca="1">C10*C8</f>
        <v>0</v>
      </c>
      <c r="D12" s="23">
        <f>D8*D10</f>
        <v>19678.589149627813</v>
      </c>
      <c r="E12" s="23">
        <f>E10*E8</f>
        <v>1579.6173138269005</v>
      </c>
      <c r="F12" s="23">
        <f>F10*F8</f>
        <v>12601.649332791067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740</v>
      </c>
      <c r="B28" s="37">
        <f>aantalHuishoudens2011</f>
        <v>13883</v>
      </c>
      <c r="C28" s="36"/>
      <c r="D28" s="228"/>
    </row>
    <row r="29" spans="1:7" s="15" customFormat="1">
      <c r="A29" s="230" t="s">
        <v>741</v>
      </c>
      <c r="B29" s="37">
        <f>SUM(HH_hh_gas_aantal,HH_rest_gas_aantal)</f>
        <v>7548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7548</v>
      </c>
      <c r="C32" s="167">
        <f>IF(ISERROR(B32/SUM($B$32,$B$34,$B$35,$B$36,$B$38,$B$39)*100),0,B32/SUM($B$32,$B$34,$B$35,$B$36,$B$38,$B$39)*100)</f>
        <v>54.711510582777613</v>
      </c>
      <c r="D32" s="233"/>
      <c r="G32" s="15"/>
    </row>
    <row r="33" spans="1:7">
      <c r="A33" s="171" t="s">
        <v>72</v>
      </c>
      <c r="B33" s="34" t="s">
        <v>111</v>
      </c>
      <c r="C33" s="167"/>
      <c r="D33" s="233"/>
      <c r="G33" s="15"/>
    </row>
    <row r="34" spans="1:7">
      <c r="A34" s="171" t="s">
        <v>73</v>
      </c>
      <c r="B34" s="33">
        <f>IF((($B$28-$B$32-$B$39-$B$77-$B$38)*C20/100)&lt;0,0,($B$28-$B$32-$B$39-$B$77-$B$38)*C20/100)</f>
        <v>466.38307692307694</v>
      </c>
      <c r="C34" s="167">
        <f>IF(ISERROR(B34/SUM($B$32,$B$34,$B$35,$B$36,$B$38,$B$39)*100),0,B34/SUM($B$32,$B$34,$B$35,$B$36,$B$38,$B$39)*100)</f>
        <v>3.3805673885407144</v>
      </c>
      <c r="D34" s="233"/>
      <c r="G34" s="15"/>
    </row>
    <row r="35" spans="1:7">
      <c r="A35" s="171" t="s">
        <v>74</v>
      </c>
      <c r="B35" s="33">
        <f>IF((($B$28-$B$32-$B$39-$B$77-$B$38)*C21/100)&lt;0,0,($B$28-$B$32-$B$39-$B$77-$B$38)*C21/100)</f>
        <v>3390.3194285714285</v>
      </c>
      <c r="C35" s="167">
        <f>IF(ISERROR(B35/SUM($B$32,$B$34,$B$35,$B$36,$B$38,$B$39)*100),0,B35/SUM($B$32,$B$34,$B$35,$B$36,$B$38,$B$39)*100)</f>
        <v>24.574655179555151</v>
      </c>
      <c r="D35" s="233"/>
      <c r="G35" s="15"/>
    </row>
    <row r="36" spans="1:7">
      <c r="A36" s="171" t="s">
        <v>75</v>
      </c>
      <c r="B36" s="33">
        <f>IF((($B$28-$B$32-$B$39-$B$77-$B$38)*C22/100)&lt;0,0,($B$28-$B$32-$B$39-$B$77-$B$38)*C22/100)</f>
        <v>473.99749450549444</v>
      </c>
      <c r="C36" s="167">
        <f>IF(ISERROR(B36/SUM($B$32,$B$34,$B$35,$B$36,$B$38,$B$39)*100),0,B36/SUM($B$32,$B$34,$B$35,$B$36,$B$38,$B$39)*100)</f>
        <v>3.4357603254964806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1917.3000000000002</v>
      </c>
      <c r="C39" s="167">
        <f>IF(ISERROR(B39/SUM($B$32,$B$34,$B$35,$B$36,$B$38,$B$39)*100),0,B39/SUM($B$32,$B$34,$B$35,$B$36,$B$38,$B$39)*100)</f>
        <v>13.897506523630037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7548</v>
      </c>
      <c r="C44" s="34" t="s">
        <v>111</v>
      </c>
      <c r="D44" s="174"/>
    </row>
    <row r="45" spans="1:7">
      <c r="A45" s="171" t="s">
        <v>72</v>
      </c>
      <c r="B45" s="33" t="str">
        <f t="shared" si="0"/>
        <v>-</v>
      </c>
      <c r="C45" s="34" t="s">
        <v>111</v>
      </c>
      <c r="D45" s="174"/>
    </row>
    <row r="46" spans="1:7">
      <c r="A46" s="171" t="s">
        <v>73</v>
      </c>
      <c r="B46" s="33">
        <f t="shared" si="0"/>
        <v>466.38307692307694</v>
      </c>
      <c r="C46" s="34" t="s">
        <v>111</v>
      </c>
      <c r="D46" s="174"/>
    </row>
    <row r="47" spans="1:7">
      <c r="A47" s="171" t="s">
        <v>74</v>
      </c>
      <c r="B47" s="33">
        <f t="shared" si="0"/>
        <v>3390.3194285714285</v>
      </c>
      <c r="C47" s="34" t="s">
        <v>111</v>
      </c>
      <c r="D47" s="174"/>
    </row>
    <row r="48" spans="1:7">
      <c r="A48" s="171" t="s">
        <v>75</v>
      </c>
      <c r="B48" s="33">
        <f t="shared" si="0"/>
        <v>473.99749450549444</v>
      </c>
      <c r="C48" s="33">
        <f>B48*10</f>
        <v>4739.9749450549443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1917.3000000000002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41782.417200000004</v>
      </c>
      <c r="C5" s="17">
        <f>IF(ISERROR('Eigen informatie GS &amp; warmtenet'!B58),0,'Eigen informatie GS &amp; warmtenet'!B58)</f>
        <v>0</v>
      </c>
      <c r="D5" s="30">
        <f>SUM(D6:D12)</f>
        <v>47718.951347163558</v>
      </c>
      <c r="E5" s="17">
        <f>SUM(E6:E12)</f>
        <v>345.90241303320386</v>
      </c>
      <c r="F5" s="17">
        <f>SUM(F6:F12)</f>
        <v>6125.3337794030522</v>
      </c>
      <c r="G5" s="18"/>
      <c r="H5" s="17"/>
      <c r="I5" s="17"/>
      <c r="J5" s="17">
        <f>SUM(J6:J12)</f>
        <v>0</v>
      </c>
      <c r="K5" s="17"/>
      <c r="L5" s="17"/>
      <c r="M5" s="17"/>
      <c r="N5" s="17">
        <f>SUM(N6:N12)</f>
        <v>4405.5591756578106</v>
      </c>
      <c r="O5" s="17">
        <f>B38*B39*B40</f>
        <v>9.3800000000000008</v>
      </c>
      <c r="P5" s="17">
        <f>B46*B47*B48/1000-B46*B47*B48/1000/B49</f>
        <v>76.266666666666666</v>
      </c>
      <c r="R5" s="32"/>
    </row>
    <row r="6" spans="1:18">
      <c r="A6" s="32" t="s">
        <v>54</v>
      </c>
      <c r="B6" s="37">
        <f>B26</f>
        <v>10908.995000000001</v>
      </c>
      <c r="C6" s="33"/>
      <c r="D6" s="37">
        <f>IF(ISERROR(TER_kantoor_gas_kWh/1000),0,TER_kantoor_gas_kWh/1000)*0.902</f>
        <v>8357.19378783719</v>
      </c>
      <c r="E6" s="33">
        <f>$C$26*'E Balans VL '!I12/100/3.6*1000000</f>
        <v>31.60495909151641</v>
      </c>
      <c r="F6" s="33">
        <f>$C$26*('E Balans VL '!L12+'E Balans VL '!N12)/100/3.6*1000000</f>
        <v>1234.6578902057322</v>
      </c>
      <c r="G6" s="34"/>
      <c r="H6" s="33"/>
      <c r="I6" s="33"/>
      <c r="J6" s="33">
        <f>$C$26*('E Balans VL '!D12+'E Balans VL '!E12)/100/3.6*1000000</f>
        <v>0</v>
      </c>
      <c r="K6" s="33"/>
      <c r="L6" s="33"/>
      <c r="M6" s="33"/>
      <c r="N6" s="33">
        <f>$C$26*'E Balans VL '!Y12/100/3.6*1000000</f>
        <v>109.19100184359246</v>
      </c>
      <c r="O6" s="33"/>
      <c r="P6" s="33"/>
      <c r="R6" s="32"/>
    </row>
    <row r="7" spans="1:18">
      <c r="A7" s="32" t="s">
        <v>53</v>
      </c>
      <c r="B7" s="37">
        <f t="shared" ref="B7:B12" si="0">B27</f>
        <v>1895.864</v>
      </c>
      <c r="C7" s="33"/>
      <c r="D7" s="37">
        <f>IF(ISERROR(TER_horeca_gas_kWh/1000),0,TER_horeca_gas_kWh/1000)*0.902</f>
        <v>2101.3859605538987</v>
      </c>
      <c r="E7" s="33">
        <f>$C$27*'E Balans VL '!I9/100/3.6*1000000</f>
        <v>79.583073780671839</v>
      </c>
      <c r="F7" s="33">
        <f>$C$27*('E Balans VL '!L9+'E Balans VL '!N9)/100/3.6*1000000</f>
        <v>407.36525875299787</v>
      </c>
      <c r="G7" s="34"/>
      <c r="H7" s="33"/>
      <c r="I7" s="33"/>
      <c r="J7" s="33">
        <f>$C$27*('E Balans VL '!D9+'E Balans VL '!E9)/100/3.6*1000000</f>
        <v>0</v>
      </c>
      <c r="K7" s="33"/>
      <c r="L7" s="33"/>
      <c r="M7" s="33"/>
      <c r="N7" s="33">
        <f>$C$27*'E Balans VL '!Y9/100/3.6*1000000</f>
        <v>0.48854757286784473</v>
      </c>
      <c r="O7" s="33"/>
      <c r="P7" s="33"/>
      <c r="R7" s="32"/>
    </row>
    <row r="8" spans="1:18">
      <c r="A8" s="6" t="s">
        <v>52</v>
      </c>
      <c r="B8" s="37">
        <f t="shared" si="0"/>
        <v>11637.615</v>
      </c>
      <c r="C8" s="33"/>
      <c r="D8" s="37">
        <f>IF(ISERROR(TER_handel_gas_kWh/1000),0,TER_handel_gas_kWh/1000)*0.902</f>
        <v>5727.4571771886785</v>
      </c>
      <c r="E8" s="33">
        <f>$C$28*'E Balans VL '!I13/100/3.6*1000000</f>
        <v>124.99767081163276</v>
      </c>
      <c r="F8" s="33">
        <f>$C$28*('E Balans VL '!L13+'E Balans VL '!N13)/100/3.6*1000000</f>
        <v>1506.5853631935586</v>
      </c>
      <c r="G8" s="34"/>
      <c r="H8" s="33"/>
      <c r="I8" s="33"/>
      <c r="J8" s="33">
        <f>$C$28*('E Balans VL '!D13+'E Balans VL '!E13)/100/3.6*1000000</f>
        <v>0</v>
      </c>
      <c r="K8" s="33"/>
      <c r="L8" s="33"/>
      <c r="M8" s="33"/>
      <c r="N8" s="33">
        <f>$C$28*'E Balans VL '!Y13/100/3.6*1000000</f>
        <v>94.404968321407708</v>
      </c>
      <c r="O8" s="33"/>
      <c r="P8" s="33"/>
      <c r="R8" s="32"/>
    </row>
    <row r="9" spans="1:18">
      <c r="A9" s="32" t="s">
        <v>51</v>
      </c>
      <c r="B9" s="37">
        <f t="shared" si="0"/>
        <v>1580.883</v>
      </c>
      <c r="C9" s="33"/>
      <c r="D9" s="37">
        <f>IF(ISERROR(TER_gezond_gas_kWh/1000),0,TER_gezond_gas_kWh/1000)*0.902</f>
        <v>4181.2268437061302</v>
      </c>
      <c r="E9" s="33">
        <f>$C$29*'E Balans VL '!I10/100/3.6*1000000</f>
        <v>1.2584851167731146</v>
      </c>
      <c r="F9" s="33">
        <f>$C$29*('E Balans VL '!L10+'E Balans VL '!N10)/100/3.6*1000000</f>
        <v>192.17917446708202</v>
      </c>
      <c r="G9" s="34"/>
      <c r="H9" s="33"/>
      <c r="I9" s="33"/>
      <c r="J9" s="33">
        <f>$C$29*('E Balans VL '!D10+'E Balans VL '!E10)/100/3.6*1000000</f>
        <v>0</v>
      </c>
      <c r="K9" s="33"/>
      <c r="L9" s="33"/>
      <c r="M9" s="33"/>
      <c r="N9" s="33">
        <f>$C$29*'E Balans VL '!Y10/100/3.6*1000000</f>
        <v>12.769954046567664</v>
      </c>
      <c r="O9" s="33"/>
      <c r="P9" s="33"/>
      <c r="R9" s="32"/>
    </row>
    <row r="10" spans="1:18">
      <c r="A10" s="32" t="s">
        <v>50</v>
      </c>
      <c r="B10" s="37">
        <f t="shared" si="0"/>
        <v>4717.5929999999998</v>
      </c>
      <c r="C10" s="33"/>
      <c r="D10" s="37">
        <f>IF(ISERROR(TER_ander_gas_kWh/1000),0,TER_ander_gas_kWh/1000)*0.902</f>
        <v>2771.3428310117756</v>
      </c>
      <c r="E10" s="33">
        <f>$C$30*'E Balans VL '!I14/100/3.6*1000000</f>
        <v>16.167439041567825</v>
      </c>
      <c r="F10" s="33">
        <f>$C$30*('E Balans VL '!L14+'E Balans VL '!N14)/100/3.6*1000000</f>
        <v>1053.7185758021164</v>
      </c>
      <c r="G10" s="34"/>
      <c r="H10" s="33"/>
      <c r="I10" s="33"/>
      <c r="J10" s="33">
        <f>$C$30*('E Balans VL '!D14+'E Balans VL '!E14)/100/3.6*1000000</f>
        <v>0</v>
      </c>
      <c r="K10" s="33"/>
      <c r="L10" s="33"/>
      <c r="M10" s="33"/>
      <c r="N10" s="33">
        <f>$C$30*'E Balans VL '!Y14/100/3.6*1000000</f>
        <v>3323.0982809067928</v>
      </c>
      <c r="O10" s="33"/>
      <c r="P10" s="33"/>
      <c r="R10" s="32"/>
    </row>
    <row r="11" spans="1:18">
      <c r="A11" s="32" t="s">
        <v>55</v>
      </c>
      <c r="B11" s="37">
        <f t="shared" si="0"/>
        <v>902.62119999999993</v>
      </c>
      <c r="C11" s="33"/>
      <c r="D11" s="37">
        <f>IF(ISERROR(TER_onderwijs_gas_kWh/1000),0,TER_onderwijs_gas_kWh/1000)*0.902</f>
        <v>431.16738926495594</v>
      </c>
      <c r="E11" s="33">
        <f>$C$31*'E Balans VL '!I11/100/3.6*1000000</f>
        <v>0.62395423701482</v>
      </c>
      <c r="F11" s="33">
        <f>$C$31*('E Balans VL '!L11+'E Balans VL '!N11)/100/3.6*1000000</f>
        <v>236.28001079316672</v>
      </c>
      <c r="G11" s="34"/>
      <c r="H11" s="33"/>
      <c r="I11" s="33"/>
      <c r="J11" s="33">
        <f>$C$31*('E Balans VL '!D11+'E Balans VL '!E11)/100/3.6*1000000</f>
        <v>0</v>
      </c>
      <c r="K11" s="33"/>
      <c r="L11" s="33"/>
      <c r="M11" s="33"/>
      <c r="N11" s="33">
        <f>$C$31*'E Balans VL '!Y11/100/3.6*1000000</f>
        <v>0.89848252532340267</v>
      </c>
      <c r="O11" s="33"/>
      <c r="P11" s="33"/>
      <c r="R11" s="32"/>
    </row>
    <row r="12" spans="1:18">
      <c r="A12" s="32" t="s">
        <v>260</v>
      </c>
      <c r="B12" s="37">
        <f t="shared" si="0"/>
        <v>10138.846</v>
      </c>
      <c r="C12" s="33"/>
      <c r="D12" s="37">
        <f>IF(ISERROR(TER_rest_gas_kWh/1000),0,TER_rest_gas_kWh/1000)*0.902</f>
        <v>24149.177357600929</v>
      </c>
      <c r="E12" s="33">
        <f>$C$32*'E Balans VL '!I8/100/3.6*1000000</f>
        <v>91.666830954027063</v>
      </c>
      <c r="F12" s="33">
        <f>$C$32*('E Balans VL '!L8+'E Balans VL '!N8)/100/3.6*1000000</f>
        <v>1494.547506188399</v>
      </c>
      <c r="G12" s="34"/>
      <c r="H12" s="33"/>
      <c r="I12" s="33"/>
      <c r="J12" s="33">
        <f>$C$32*('E Balans VL '!D8+'E Balans VL '!E8)/100/3.6*1000000</f>
        <v>0</v>
      </c>
      <c r="K12" s="33"/>
      <c r="L12" s="33"/>
      <c r="M12" s="33"/>
      <c r="N12" s="33">
        <f>$C$32*'E Balans VL '!Y8/100/3.6*1000000</f>
        <v>864.70794044125876</v>
      </c>
      <c r="O12" s="33"/>
      <c r="P12" s="33"/>
      <c r="R12" s="32"/>
    </row>
    <row r="13" spans="1:18">
      <c r="A13" s="16" t="s">
        <v>494</v>
      </c>
      <c r="B13" s="247">
        <f ca="1">'lokale energieproductie'!N91+'lokale energieproductie'!N60</f>
        <v>56.7</v>
      </c>
      <c r="C13" s="247">
        <f ca="1">'lokale energieproductie'!O91+'lokale energieproductie'!O60</f>
        <v>81</v>
      </c>
      <c r="D13" s="310">
        <f ca="1">('lokale energieproductie'!P60+'lokale energieproductie'!P91)*(-1)</f>
        <v>-162.00000000000003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41839.117200000001</v>
      </c>
      <c r="C16" s="21">
        <f t="shared" ca="1" si="1"/>
        <v>81</v>
      </c>
      <c r="D16" s="21">
        <f t="shared" ca="1" si="1"/>
        <v>47556.951347163558</v>
      </c>
      <c r="E16" s="21">
        <f t="shared" si="1"/>
        <v>345.90241303320386</v>
      </c>
      <c r="F16" s="21">
        <f t="shared" ca="1" si="1"/>
        <v>6125.3337794030522</v>
      </c>
      <c r="G16" s="21">
        <f t="shared" si="1"/>
        <v>0</v>
      </c>
      <c r="H16" s="21">
        <f t="shared" si="1"/>
        <v>0</v>
      </c>
      <c r="I16" s="21">
        <f t="shared" si="1"/>
        <v>0</v>
      </c>
      <c r="J16" s="21">
        <f t="shared" si="1"/>
        <v>0</v>
      </c>
      <c r="K16" s="21">
        <f t="shared" si="1"/>
        <v>0</v>
      </c>
      <c r="L16" s="21">
        <f t="shared" ca="1" si="1"/>
        <v>0</v>
      </c>
      <c r="M16" s="21">
        <f t="shared" si="1"/>
        <v>0</v>
      </c>
      <c r="N16" s="21">
        <f t="shared" ca="1" si="1"/>
        <v>4405.5591756578106</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0.19412546724024649</v>
      </c>
      <c r="C18" s="25">
        <f ca="1">'EF ele_warmte'!B22</f>
        <v>0.23190278653200633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8122.0381753694337</v>
      </c>
      <c r="C20" s="23">
        <f t="shared" ref="C20:P20" ca="1" si="2">C16*C18</f>
        <v>18.784125709092514</v>
      </c>
      <c r="D20" s="23">
        <f t="shared" ca="1" si="2"/>
        <v>9606.5041721270391</v>
      </c>
      <c r="E20" s="23">
        <f t="shared" si="2"/>
        <v>78.519847758537281</v>
      </c>
      <c r="F20" s="23">
        <f t="shared" ca="1" si="2"/>
        <v>1635.4641191006151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10908.995000000001</v>
      </c>
      <c r="C26" s="39">
        <f>IF(ISERROR(B26*3.6/1000000/'E Balans VL '!Z12*100),0,B26*3.6/1000000/'E Balans VL '!Z12*100)</f>
        <v>0.23962868723615707</v>
      </c>
      <c r="D26" s="237" t="s">
        <v>692</v>
      </c>
      <c r="F26" s="6"/>
    </row>
    <row r="27" spans="1:18">
      <c r="A27" s="231" t="s">
        <v>53</v>
      </c>
      <c r="B27" s="33">
        <f>IF(ISERROR(TER_horeca_ele_kWh/1000),0,TER_horeca_ele_kWh/1000)</f>
        <v>1895.864</v>
      </c>
      <c r="C27" s="39">
        <f>IF(ISERROR(B27*3.6/1000000/'E Balans VL '!Z9*100),0,B27*3.6/1000000/'E Balans VL '!Z9*100)</f>
        <v>0.15235157059556012</v>
      </c>
      <c r="D27" s="237" t="s">
        <v>692</v>
      </c>
      <c r="F27" s="6"/>
    </row>
    <row r="28" spans="1:18">
      <c r="A28" s="171" t="s">
        <v>52</v>
      </c>
      <c r="B28" s="33">
        <f>IF(ISERROR(TER_handel_ele_kWh/1000),0,TER_handel_ele_kWh/1000)</f>
        <v>11637.615</v>
      </c>
      <c r="C28" s="39">
        <f>IF(ISERROR(B28*3.6/1000000/'E Balans VL '!Z13*100),0,B28*3.6/1000000/'E Balans VL '!Z13*100)</f>
        <v>0.34411614534145452</v>
      </c>
      <c r="D28" s="237" t="s">
        <v>692</v>
      </c>
      <c r="F28" s="6"/>
    </row>
    <row r="29" spans="1:18">
      <c r="A29" s="231" t="s">
        <v>51</v>
      </c>
      <c r="B29" s="33">
        <f>IF(ISERROR(TER_gezond_ele_kWh/1000),0,TER_gezond_ele_kWh/1000)</f>
        <v>1580.883</v>
      </c>
      <c r="C29" s="39">
        <f>IF(ISERROR(B29*3.6/1000000/'E Balans VL '!Z10*100),0,B29*3.6/1000000/'E Balans VL '!Z10*100)</f>
        <v>0.17812469929877384</v>
      </c>
      <c r="D29" s="237" t="s">
        <v>692</v>
      </c>
      <c r="F29" s="6"/>
    </row>
    <row r="30" spans="1:18">
      <c r="A30" s="231" t="s">
        <v>50</v>
      </c>
      <c r="B30" s="33">
        <f>IF(ISERROR(TER_ander_ele_kWh/1000),0,TER_ander_ele_kWh/1000)</f>
        <v>4717.5929999999998</v>
      </c>
      <c r="C30" s="39">
        <f>IF(ISERROR(B30*3.6/1000000/'E Balans VL '!Z14*100),0,B30*3.6/1000000/'E Balans VL '!Z14*100)</f>
        <v>0.35678349422903421</v>
      </c>
      <c r="D30" s="237" t="s">
        <v>692</v>
      </c>
      <c r="F30" s="6"/>
    </row>
    <row r="31" spans="1:18">
      <c r="A31" s="231" t="s">
        <v>55</v>
      </c>
      <c r="B31" s="33">
        <f>IF(ISERROR(TER_onderwijs_ele_kWh/1000),0,TER_onderwijs_ele_kWh/1000)</f>
        <v>902.62119999999993</v>
      </c>
      <c r="C31" s="39">
        <f>IF(ISERROR(B31*3.6/1000000/'E Balans VL '!Z11*100),0,B31*3.6/1000000/'E Balans VL '!Z11*100)</f>
        <v>0.18736320766838255</v>
      </c>
      <c r="D31" s="237" t="s">
        <v>692</v>
      </c>
    </row>
    <row r="32" spans="1:18">
      <c r="A32" s="231" t="s">
        <v>260</v>
      </c>
      <c r="B32" s="33">
        <f>IF(ISERROR(TER_rest_ele_kWh/1000),0,TER_rest_ele_kWh/1000)</f>
        <v>10138.846</v>
      </c>
      <c r="C32" s="39">
        <f>IF(ISERROR(B32*3.6/1000000/'E Balans VL '!Z8*100),0,B32*3.6/1000000/'E Balans VL '!Z8*100)</f>
        <v>8.5413813068883224E-2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76158.872900000002</v>
      </c>
      <c r="C5" s="17">
        <f>IF(ISERROR('Eigen informatie GS &amp; warmtenet'!B59),0,'Eigen informatie GS &amp; warmtenet'!B59)</f>
        <v>0</v>
      </c>
      <c r="D5" s="30">
        <f>SUM(D6:D15)</f>
        <v>76430.796101899105</v>
      </c>
      <c r="E5" s="17">
        <f>SUM(E6:E15)</f>
        <v>2026.3757020394646</v>
      </c>
      <c r="F5" s="17">
        <f>SUM(F6:F15)</f>
        <v>13185.045376885528</v>
      </c>
      <c r="G5" s="18"/>
      <c r="H5" s="17"/>
      <c r="I5" s="17"/>
      <c r="J5" s="17">
        <f>SUM(J6:J15)</f>
        <v>164.55671616953003</v>
      </c>
      <c r="K5" s="17"/>
      <c r="L5" s="17"/>
      <c r="M5" s="17"/>
      <c r="N5" s="17">
        <f>SUM(N6:N15)</f>
        <v>7479.5286170841264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496.32069999999999</v>
      </c>
      <c r="C8" s="33"/>
      <c r="D8" s="37">
        <f>IF( ISERROR(IND_metaal_Gas_kWH/1000),0,IND_metaal_Gas_kWH/1000)*0.902</f>
        <v>186.34569492205014</v>
      </c>
      <c r="E8" s="33">
        <f>C30*'E Balans VL '!I18/100/3.6*1000000</f>
        <v>12.421170035764623</v>
      </c>
      <c r="F8" s="33">
        <f>C30*'E Balans VL '!L18/100/3.6*1000000+C30*'E Balans VL '!N18/100/3.6*1000000</f>
        <v>155.5493762061285</v>
      </c>
      <c r="G8" s="34"/>
      <c r="H8" s="33"/>
      <c r="I8" s="33"/>
      <c r="J8" s="40">
        <f>C30*'E Balans VL '!D18/100/3.6*1000000+C30*'E Balans VL '!E18/100/3.6*1000000</f>
        <v>0</v>
      </c>
      <c r="K8" s="33"/>
      <c r="L8" s="33"/>
      <c r="M8" s="33"/>
      <c r="N8" s="33">
        <f>C30*'E Balans VL '!Y18/100/3.6*1000000</f>
        <v>12.468864048536593</v>
      </c>
      <c r="O8" s="33"/>
      <c r="P8" s="33"/>
      <c r="R8" s="32"/>
    </row>
    <row r="9" spans="1:18">
      <c r="A9" s="6" t="s">
        <v>33</v>
      </c>
      <c r="B9" s="37">
        <f t="shared" si="0"/>
        <v>2349.143</v>
      </c>
      <c r="C9" s="33"/>
      <c r="D9" s="37">
        <f>IF( ISERROR(IND_andere_gas_kWh/1000),0,IND_andere_gas_kWh/1000)*0.902</f>
        <v>33563.878754075296</v>
      </c>
      <c r="E9" s="33">
        <f>C31*'E Balans VL '!I19/100/3.6*1000000</f>
        <v>645.91797476925626</v>
      </c>
      <c r="F9" s="33">
        <f>C31*'E Balans VL '!L19/100/3.6*1000000+C31*'E Balans VL '!N19/100/3.6*1000000</f>
        <v>1851.5334642315865</v>
      </c>
      <c r="G9" s="34"/>
      <c r="H9" s="33"/>
      <c r="I9" s="33"/>
      <c r="J9" s="40">
        <f>C31*'E Balans VL '!D19/100/3.6*1000000+C31*'E Balans VL '!E19/100/3.6*1000000</f>
        <v>0</v>
      </c>
      <c r="K9" s="33"/>
      <c r="L9" s="33"/>
      <c r="M9" s="33"/>
      <c r="N9" s="33">
        <f>C31*'E Balans VL '!Y19/100/3.6*1000000</f>
        <v>760.47959609900181</v>
      </c>
      <c r="O9" s="33"/>
      <c r="P9" s="33"/>
      <c r="R9" s="32"/>
    </row>
    <row r="10" spans="1:18">
      <c r="A10" s="6" t="s">
        <v>41</v>
      </c>
      <c r="B10" s="37">
        <f t="shared" si="0"/>
        <v>2868.7020000000002</v>
      </c>
      <c r="C10" s="33"/>
      <c r="D10" s="37">
        <f>IF( ISERROR(IND_voed_gas_kWh/1000),0,IND_voed_gas_kWh/1000)*0.902</f>
        <v>1501.4733182770858</v>
      </c>
      <c r="E10" s="33">
        <f>C32*'E Balans VL '!I20/100/3.6*1000000</f>
        <v>29.244836513050533</v>
      </c>
      <c r="F10" s="33">
        <f>C32*'E Balans VL '!L20/100/3.6*1000000+C32*'E Balans VL '!N20/100/3.6*1000000</f>
        <v>5418.9601360009492</v>
      </c>
      <c r="G10" s="34"/>
      <c r="H10" s="33"/>
      <c r="I10" s="33"/>
      <c r="J10" s="40">
        <f>C32*'E Balans VL '!D20/100/3.6*1000000+C32*'E Balans VL '!E20/100/3.6*1000000</f>
        <v>68.657425295440149</v>
      </c>
      <c r="K10" s="33"/>
      <c r="L10" s="33"/>
      <c r="M10" s="33"/>
      <c r="N10" s="33">
        <f>C32*'E Balans VL '!Y20/100/3.6*1000000</f>
        <v>1512.1363879514106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121.17660000000001</v>
      </c>
      <c r="C12" s="33"/>
      <c r="D12" s="37">
        <f>IF( ISERROR(IND_min_gas_kWh/1000),0,IND_min_gas_kWh/1000)*0.902</f>
        <v>0</v>
      </c>
      <c r="E12" s="33">
        <f>C34*'E Balans VL '!I22/100/3.6*1000000</f>
        <v>0.36698910680959473</v>
      </c>
      <c r="F12" s="33">
        <f>C34*'E Balans VL '!L22/100/3.6*1000000+C34*'E Balans VL '!N22/100/3.6*1000000</f>
        <v>3.7868729298981014</v>
      </c>
      <c r="G12" s="34"/>
      <c r="H12" s="33"/>
      <c r="I12" s="33"/>
      <c r="J12" s="40">
        <f>C34*'E Balans VL '!D22/100/3.6*1000000+C34*'E Balans VL '!E22/100/3.6*1000000</f>
        <v>0.17967799798092171</v>
      </c>
      <c r="K12" s="33"/>
      <c r="L12" s="33"/>
      <c r="M12" s="33"/>
      <c r="N12" s="33">
        <f>C34*'E Balans VL '!Y22/100/3.6*1000000</f>
        <v>0</v>
      </c>
      <c r="O12" s="33"/>
      <c r="P12" s="33"/>
      <c r="R12" s="32"/>
    </row>
    <row r="13" spans="1:18">
      <c r="A13" s="6" t="s">
        <v>39</v>
      </c>
      <c r="B13" s="37">
        <f t="shared" si="0"/>
        <v>237.14959999999999</v>
      </c>
      <c r="C13" s="33"/>
      <c r="D13" s="37">
        <f>IF( ISERROR(IND_papier_gas_kWh/1000),0,IND_papier_gas_kWh/1000)*0.902</f>
        <v>254.04158381199699</v>
      </c>
      <c r="E13" s="33">
        <f>C35*'E Balans VL '!I23/100/3.6*1000000</f>
        <v>0.49115282881255301</v>
      </c>
      <c r="F13" s="33">
        <f>C35*'E Balans VL '!L23/100/3.6*1000000+C35*'E Balans VL '!N23/100/3.6*1000000</f>
        <v>4.7031849763337084</v>
      </c>
      <c r="G13" s="34"/>
      <c r="H13" s="33"/>
      <c r="I13" s="33"/>
      <c r="J13" s="40">
        <f>C35*'E Balans VL '!D23/100/3.6*1000000+C35*'E Balans VL '!E23/100/3.6*1000000</f>
        <v>0</v>
      </c>
      <c r="K13" s="33"/>
      <c r="L13" s="33"/>
      <c r="M13" s="33"/>
      <c r="N13" s="33">
        <f>C35*'E Balans VL '!Y23/100/3.6*1000000</f>
        <v>100.13591318208979</v>
      </c>
      <c r="O13" s="33"/>
      <c r="P13" s="33"/>
      <c r="R13" s="32"/>
    </row>
    <row r="14" spans="1:18">
      <c r="A14" s="6" t="s">
        <v>34</v>
      </c>
      <c r="B14" s="37">
        <f t="shared" si="0"/>
        <v>47270.63</v>
      </c>
      <c r="C14" s="33"/>
      <c r="D14" s="37">
        <f>IF( ISERROR(IND_chemie_gas_kWh/1000),0,IND_chemie_gas_kWh/1000)*0.902</f>
        <v>0</v>
      </c>
      <c r="E14" s="33">
        <f>C36*'E Balans VL '!I24/100/3.6*1000000</f>
        <v>177.22536047717182</v>
      </c>
      <c r="F14" s="33">
        <f>C36*'E Balans VL '!L24/100/3.6*1000000+C36*'E Balans VL '!N24/100/3.6*1000000</f>
        <v>549.94426491771617</v>
      </c>
      <c r="G14" s="34"/>
      <c r="H14" s="33"/>
      <c r="I14" s="33"/>
      <c r="J14" s="40">
        <f>C36*'E Balans VL '!D24/100/3.6*1000000+C36*'E Balans VL '!E24/100/3.6*1000000</f>
        <v>0</v>
      </c>
      <c r="K14" s="33"/>
      <c r="L14" s="33"/>
      <c r="M14" s="33"/>
      <c r="N14" s="33">
        <f>C36*'E Balans VL '!Y24/100/3.6*1000000</f>
        <v>807.59602745257428</v>
      </c>
      <c r="O14" s="33"/>
      <c r="P14" s="33"/>
      <c r="R14" s="32"/>
    </row>
    <row r="15" spans="1:18">
      <c r="A15" s="6" t="s">
        <v>270</v>
      </c>
      <c r="B15" s="37">
        <f t="shared" si="0"/>
        <v>22815.751</v>
      </c>
      <c r="C15" s="33"/>
      <c r="D15" s="37">
        <f>IF( ISERROR(IND_rest_gas_kWh/1000),0,IND_rest_gas_kWh/1000)*0.902</f>
        <v>40925.056750812677</v>
      </c>
      <c r="E15" s="33">
        <f>C37*'E Balans VL '!I15/100/3.6*1000000</f>
        <v>1160.7082183085993</v>
      </c>
      <c r="F15" s="33">
        <f>C37*'E Balans VL '!L15/100/3.6*1000000+C37*'E Balans VL '!N15/100/3.6*1000000</f>
        <v>5200.5680776229156</v>
      </c>
      <c r="G15" s="34"/>
      <c r="H15" s="33"/>
      <c r="I15" s="33"/>
      <c r="J15" s="40">
        <f>C37*'E Balans VL '!D15/100/3.6*1000000+C37*'E Balans VL '!E15/100/3.6*1000000</f>
        <v>95.719612876108982</v>
      </c>
      <c r="K15" s="33"/>
      <c r="L15" s="33"/>
      <c r="M15" s="33"/>
      <c r="N15" s="33">
        <f>C37*'E Balans VL '!Y15/100/3.6*1000000</f>
        <v>4286.7118283505133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76158.872900000002</v>
      </c>
      <c r="C18" s="21">
        <f>C5+C16</f>
        <v>0</v>
      </c>
      <c r="D18" s="21">
        <f>MAX((D5+D16),0)</f>
        <v>76430.796101899105</v>
      </c>
      <c r="E18" s="21">
        <f>MAX((E5+E16),0)</f>
        <v>2026.3757020394646</v>
      </c>
      <c r="F18" s="21">
        <f>MAX((F5+F16),0)</f>
        <v>13185.045376885528</v>
      </c>
      <c r="G18" s="21"/>
      <c r="H18" s="21"/>
      <c r="I18" s="21"/>
      <c r="J18" s="21">
        <f>MAX((J5+J16),0)</f>
        <v>164.55671616953003</v>
      </c>
      <c r="K18" s="21"/>
      <c r="L18" s="21">
        <f>MAX((L5+L16),0)</f>
        <v>0</v>
      </c>
      <c r="M18" s="21"/>
      <c r="N18" s="21">
        <f>MAX((N5+N16),0)</f>
        <v>7479.5286170841264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0.19412546724024649</v>
      </c>
      <c r="C20" s="25">
        <f ca="1">'EF ele_warmte'!B22</f>
        <v>0.23190278653200633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14784.376786203045</v>
      </c>
      <c r="C22" s="23">
        <f ca="1">C18*C20</f>
        <v>0</v>
      </c>
      <c r="D22" s="23">
        <f>D18*D20</f>
        <v>15439.02081258362</v>
      </c>
      <c r="E22" s="23">
        <f>E18*E20</f>
        <v>459.98728436295846</v>
      </c>
      <c r="F22" s="23">
        <f>F18*F20</f>
        <v>3520.4071156284363</v>
      </c>
      <c r="G22" s="23"/>
      <c r="H22" s="23"/>
      <c r="I22" s="23"/>
      <c r="J22" s="23">
        <f>J18*J20</f>
        <v>58.253077524013626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496.32069999999999</v>
      </c>
      <c r="C30" s="39">
        <f>IF(ISERROR(B30*3.6/1000000/'E Balans VL '!Z18*100),0,B30*3.6/1000000/'E Balans VL '!Z18*100)</f>
        <v>6.9468357929949293E-2</v>
      </c>
      <c r="D30" s="237" t="s">
        <v>692</v>
      </c>
    </row>
    <row r="31" spans="1:18">
      <c r="A31" s="6" t="s">
        <v>33</v>
      </c>
      <c r="B31" s="37">
        <f>IF( ISERROR(IND_ander_ele_kWh/1000),0,IND_ander_ele_kWh/1000)</f>
        <v>2349.143</v>
      </c>
      <c r="C31" s="39">
        <f>IF(ISERROR(B31*3.6/1000000/'E Balans VL '!Z19*100),0,B31*3.6/1000000/'E Balans VL '!Z19*100)</f>
        <v>0.10282160802486298</v>
      </c>
      <c r="D31" s="237" t="s">
        <v>692</v>
      </c>
    </row>
    <row r="32" spans="1:18">
      <c r="A32" s="171" t="s">
        <v>41</v>
      </c>
      <c r="B32" s="37">
        <f>IF( ISERROR(IND_voed_ele_kWh/1000),0,IND_voed_ele_kWh/1000)</f>
        <v>2868.7020000000002</v>
      </c>
      <c r="C32" s="39">
        <f>IF(ISERROR(B32*3.6/1000000/'E Balans VL '!Z20*100),0,B32*3.6/1000000/'E Balans VL '!Z20*100)</f>
        <v>0.7101953503055668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121.17660000000001</v>
      </c>
      <c r="C34" s="39">
        <f>IF(ISERROR(B34*3.6/1000000/'E Balans VL '!Z22*100),0,B34*3.6/1000000/'E Balans VL '!Z22*100)</f>
        <v>3.4384975340418593E-3</v>
      </c>
      <c r="D34" s="237" t="s">
        <v>692</v>
      </c>
    </row>
    <row r="35" spans="1:5">
      <c r="A35" s="171" t="s">
        <v>39</v>
      </c>
      <c r="B35" s="37">
        <f>IF( ISERROR(IND_papier_ele_kWh/1000),0,IND_papier_ele_kWh/1000)</f>
        <v>237.14959999999999</v>
      </c>
      <c r="C35" s="39">
        <f>IF(ISERROR(B35*3.6/1000000/'E Balans VL '!Z22*100),0,B35*3.6/1000000/'E Balans VL '!Z22*100)</f>
        <v>6.7293381296307467E-3</v>
      </c>
      <c r="D35" s="237" t="s">
        <v>692</v>
      </c>
    </row>
    <row r="36" spans="1:5">
      <c r="A36" s="171" t="s">
        <v>34</v>
      </c>
      <c r="B36" s="37">
        <f>IF( ISERROR(IND_chemie_ele_kWh/1000),0,IND_chemie_ele_kWh/1000)</f>
        <v>47270.63</v>
      </c>
      <c r="C36" s="39">
        <f>IF(ISERROR(B36*3.6/1000000/'E Balans VL '!Z24*100),0,B36*3.6/1000000/'E Balans VL '!Z24*100)</f>
        <v>1.2053289140922487</v>
      </c>
      <c r="D36" s="237" t="s">
        <v>692</v>
      </c>
    </row>
    <row r="37" spans="1:5">
      <c r="A37" s="171" t="s">
        <v>270</v>
      </c>
      <c r="B37" s="37">
        <f>IF( ISERROR(IND_rest_ele_kWh/1000),0,IND_rest_ele_kWh/1000)</f>
        <v>22815.751</v>
      </c>
      <c r="C37" s="39">
        <f>IF(ISERROR(B37*3.6/1000000/'E Balans VL '!Z15*100),0,B37*3.6/1000000/'E Balans VL '!Z15*100)</f>
        <v>0.16917488744313142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4816.4422000000004</v>
      </c>
      <c r="C5" s="17">
        <f>'Eigen informatie GS &amp; warmtenet'!B60</f>
        <v>0</v>
      </c>
      <c r="D5" s="30">
        <f>IF(ISERROR(SUM(LB_lb_gas_kWh,LB_rest_gas_kWh)/1000),0,SUM(LB_lb_gas_kWh,LB_rest_gas_kWh)/1000)*0.902</f>
        <v>5448.927794282733</v>
      </c>
      <c r="E5" s="17">
        <f>B17*'E Balans VL '!I25/3.6*1000000/100</f>
        <v>44.611904967828508</v>
      </c>
      <c r="F5" s="17">
        <f>B17*('E Balans VL '!L25/3.6*1000000+'E Balans VL '!N25/3.6*1000000)/100</f>
        <v>12220.231392697511</v>
      </c>
      <c r="G5" s="18"/>
      <c r="H5" s="17"/>
      <c r="I5" s="17"/>
      <c r="J5" s="17">
        <f>('E Balans VL '!D25+'E Balans VL '!E25)/3.6*1000000*landbouw!B17/100</f>
        <v>738.41434091183135</v>
      </c>
      <c r="K5" s="17"/>
      <c r="L5" s="17">
        <f>L6*(-1)</f>
        <v>0</v>
      </c>
      <c r="M5" s="17"/>
      <c r="N5" s="17">
        <f>N6*(-1)</f>
        <v>124.71428571428569</v>
      </c>
      <c r="O5" s="17"/>
      <c r="P5" s="17"/>
      <c r="R5" s="32"/>
    </row>
    <row r="6" spans="1:18">
      <c r="A6" s="16" t="s">
        <v>494</v>
      </c>
      <c r="B6" s="17" t="s">
        <v>211</v>
      </c>
      <c r="C6" s="17">
        <f>'lokale energieproductie'!O92+'lokale energieproductie'!O61</f>
        <v>2498.7857142857142</v>
      </c>
      <c r="D6" s="310">
        <f>('lokale energieproductie'!P61+'lokale energieproductie'!P92)*(-1)</f>
        <v>-4872.8571428571431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4816.4422000000004</v>
      </c>
      <c r="C8" s="21">
        <f>C5+C6</f>
        <v>2498.7857142857142</v>
      </c>
      <c r="D8" s="21">
        <f>MAX((D5+D6),0)</f>
        <v>576.07065142558986</v>
      </c>
      <c r="E8" s="21">
        <f>MAX((E5+E6),0)</f>
        <v>44.611904967828508</v>
      </c>
      <c r="F8" s="21">
        <f>MAX((F5+F6),0)</f>
        <v>12220.231392697511</v>
      </c>
      <c r="G8" s="21"/>
      <c r="H8" s="21"/>
      <c r="I8" s="21"/>
      <c r="J8" s="21">
        <f>MAX((J5+J6),0)</f>
        <v>738.41434091183135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0.19412546724024649</v>
      </c>
      <c r="C10" s="31">
        <f ca="1">'EF ele_warmte'!B22</f>
        <v>0.23190278653200633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934.99409251064083</v>
      </c>
      <c r="C12" s="23">
        <f ca="1">C8*C10</f>
        <v>579.47537008922689</v>
      </c>
      <c r="D12" s="23">
        <f>D8*D10</f>
        <v>116.36627158796915</v>
      </c>
      <c r="E12" s="23">
        <f>E8*E10</f>
        <v>10.126902427697072</v>
      </c>
      <c r="F12" s="23">
        <f>F8*F10</f>
        <v>3262.8017818502358</v>
      </c>
      <c r="G12" s="23"/>
      <c r="H12" s="23"/>
      <c r="I12" s="23"/>
      <c r="J12" s="23">
        <f>J8*J10</f>
        <v>261.39867668278828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0.68479595461293663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890.35911232708747</v>
      </c>
      <c r="C26" s="247">
        <f>B26*'GWP N2O_CH4'!B5</f>
        <v>18697.541358868835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309.93918201763506</v>
      </c>
      <c r="C27" s="247">
        <f>B27*'GWP N2O_CH4'!B5</f>
        <v>6508.722822370336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11.687789337935804</v>
      </c>
      <c r="C28" s="247">
        <f>B28*'GWP N2O_CH4'!B4</f>
        <v>3623.2146947600995</v>
      </c>
      <c r="D28" s="50"/>
    </row>
    <row r="29" spans="1:4">
      <c r="A29" s="41" t="s">
        <v>277</v>
      </c>
      <c r="B29" s="247">
        <f>B34*'ha_N2O bodem landbouw'!B4</f>
        <v>28.451845160339147</v>
      </c>
      <c r="C29" s="247">
        <f>B29*'GWP N2O_CH4'!B4</f>
        <v>8820.0719997051347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6.3812476244773852E-3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8.750276232033227E-5</v>
      </c>
      <c r="C5" s="464" t="s">
        <v>211</v>
      </c>
      <c r="D5" s="449">
        <f>SUM(D6:D11)</f>
        <v>2.49832872536211E-4</v>
      </c>
      <c r="E5" s="449">
        <f>SUM(E6:E11)</f>
        <v>1.5719718148082271E-3</v>
      </c>
      <c r="F5" s="462" t="s">
        <v>211</v>
      </c>
      <c r="G5" s="449">
        <f>SUM(G6:G11)</f>
        <v>0.46613386577276922</v>
      </c>
      <c r="H5" s="449">
        <f>SUM(H6:H11)</f>
        <v>9.3934635283248538E-2</v>
      </c>
      <c r="I5" s="464" t="s">
        <v>211</v>
      </c>
      <c r="J5" s="464" t="s">
        <v>211</v>
      </c>
      <c r="K5" s="464" t="s">
        <v>211</v>
      </c>
      <c r="L5" s="464" t="s">
        <v>211</v>
      </c>
      <c r="M5" s="449">
        <f>SUM(M6:M11)</f>
        <v>2.9855388816816365E-2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6.0828672918050913E-5</v>
      </c>
      <c r="C6" s="450"/>
      <c r="D6" s="893">
        <f>vkm_2011_GW_PW*SUMIFS(TableVerdeelsleutelVkm[CNG],TableVerdeelsleutelVkm[Voertuigtype],"Lichte voertuigen")*SUMIFS(TableECFTransport[EnergieConsumptieFactor (PJ per km)],TableECFTransport[Index],CONCATENATE($A6,"_CNG_CNG"))</f>
        <v>1.4070341741892055E-4</v>
      </c>
      <c r="E6" s="893">
        <f>vkm_2011_GW_PW*SUMIFS(TableVerdeelsleutelVkm[LPG],TableVerdeelsleutelVkm[Voertuigtype],"Lichte voertuigen")*SUMIFS(TableECFTransport[EnergieConsumptieFactor (PJ per km)],TableECFTransport[Index],CONCATENATE($A6,"_LPG_LPG"))</f>
        <v>9.1617568581825513E-4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0.19032872061373229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5.3649733080484423E-2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1.2661216979064404E-2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0.12318324234193852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4.2126431769052257E-5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7.1268488037855449E-3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2.667408940228136E-5</v>
      </c>
      <c r="C8" s="450"/>
      <c r="D8" s="452">
        <f>vkm_2011_NGW_PW*SUMIFS(TableVerdeelsleutelVkm[CNG],TableVerdeelsleutelVkm[Voertuigtype],"Lichte voertuigen")*SUMIFS(TableECFTransport[EnergieConsumptieFactor (PJ per km)],TableECFTransport[Index],CONCATENATE($A8,"_CNG_CNG"))</f>
        <v>1.0912945511729044E-4</v>
      </c>
      <c r="E8" s="452">
        <f>vkm_2011_NGW_PW*SUMIFS(TableVerdeelsleutelVkm[LPG],TableVerdeelsleutelVkm[Voertuigtype],"Lichte voertuigen")*SUMIFS(TableECFTransport[EnergieConsumptieFactor (PJ per km)],TableECFTransport[Index],CONCATENATE($A8,"_LPG_LPG"))</f>
        <v>6.5579612898997207E-4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0.1273546448430245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4.0234599580644972E-2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8.605483246429145E-3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2.5267257974073924E-2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8.1761903500883266E-6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1.4618397875372699E-3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24.306322866758965</v>
      </c>
      <c r="C14" s="21"/>
      <c r="D14" s="21">
        <f t="shared" ref="D14:M14" si="0">((D5)*10^9/3600)+D12</f>
        <v>69.398020148947495</v>
      </c>
      <c r="E14" s="21">
        <f t="shared" si="0"/>
        <v>436.65883744672976</v>
      </c>
      <c r="F14" s="21"/>
      <c r="G14" s="21">
        <f t="shared" si="0"/>
        <v>129481.62938132478</v>
      </c>
      <c r="H14" s="21">
        <f t="shared" si="0"/>
        <v>26092.954245346817</v>
      </c>
      <c r="I14" s="21"/>
      <c r="J14" s="21"/>
      <c r="K14" s="21"/>
      <c r="L14" s="21"/>
      <c r="M14" s="21">
        <f t="shared" si="0"/>
        <v>8293.163560226767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0.19412546724024649</v>
      </c>
      <c r="C16" s="56">
        <f ca="1">'EF ele_warmte'!B22</f>
        <v>0.23190278653200633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4.7184762834018716</v>
      </c>
      <c r="C18" s="23"/>
      <c r="D18" s="23">
        <f t="shared" ref="D18:M18" si="1">D14*D16</f>
        <v>14.018400070087395</v>
      </c>
      <c r="E18" s="23">
        <f t="shared" si="1"/>
        <v>99.121556100407659</v>
      </c>
      <c r="F18" s="23"/>
      <c r="G18" s="23">
        <f t="shared" si="1"/>
        <v>34571.595044813716</v>
      </c>
      <c r="H18" s="23">
        <f t="shared" si="1"/>
        <v>6497.1456070913573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3.8317204282234561E-3</v>
      </c>
      <c r="C50" s="321">
        <f t="shared" ref="C50:P50" si="2">SUM(C51:C52)</f>
        <v>0</v>
      </c>
      <c r="D50" s="321">
        <f t="shared" si="2"/>
        <v>0</v>
      </c>
      <c r="E50" s="321">
        <f t="shared" si="2"/>
        <v>0</v>
      </c>
      <c r="F50" s="321">
        <f t="shared" si="2"/>
        <v>0</v>
      </c>
      <c r="G50" s="321">
        <f t="shared" si="2"/>
        <v>9.8574643637220506E-3</v>
      </c>
      <c r="H50" s="321">
        <f t="shared" si="2"/>
        <v>0</v>
      </c>
      <c r="I50" s="321">
        <f t="shared" si="2"/>
        <v>0</v>
      </c>
      <c r="J50" s="321">
        <f t="shared" si="2"/>
        <v>0</v>
      </c>
      <c r="K50" s="321">
        <f t="shared" si="2"/>
        <v>0</v>
      </c>
      <c r="L50" s="321">
        <f t="shared" si="2"/>
        <v>0</v>
      </c>
      <c r="M50" s="321">
        <f t="shared" si="2"/>
        <v>5.6214245660213356E-4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9.8574643637220506E-3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5.6214245660213356E-4</v>
      </c>
      <c r="N51" s="323"/>
      <c r="O51" s="323"/>
      <c r="P51" s="326"/>
    </row>
    <row r="52" spans="1:18">
      <c r="A52" s="4" t="s">
        <v>330</v>
      </c>
      <c r="B52" s="894">
        <f>vkm_2011_tram*SUMIFS(TableECFTransport[EnergieConsumptieFactor (PJ per km)],TableECFTransport[Index],"Tram_gemiddeld_Electric_Electric")</f>
        <v>3.8317204282234561E-3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1064.3667856176266</v>
      </c>
      <c r="C54" s="21">
        <f t="shared" ref="C54:P54" si="3">(C50)*10^9/3600</f>
        <v>0</v>
      </c>
      <c r="D54" s="21">
        <f t="shared" si="3"/>
        <v>0</v>
      </c>
      <c r="E54" s="21">
        <f t="shared" si="3"/>
        <v>0</v>
      </c>
      <c r="F54" s="21">
        <f t="shared" si="3"/>
        <v>0</v>
      </c>
      <c r="G54" s="21">
        <f t="shared" si="3"/>
        <v>2738.1845454783474</v>
      </c>
      <c r="H54" s="21">
        <f t="shared" si="3"/>
        <v>0</v>
      </c>
      <c r="I54" s="21">
        <f t="shared" si="3"/>
        <v>0</v>
      </c>
      <c r="J54" s="21">
        <f t="shared" si="3"/>
        <v>0</v>
      </c>
      <c r="K54" s="21">
        <f t="shared" si="3"/>
        <v>0</v>
      </c>
      <c r="L54" s="21">
        <f t="shared" si="3"/>
        <v>0</v>
      </c>
      <c r="M54" s="21">
        <f t="shared" si="3"/>
        <v>156.15068238948155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0.19412546724024649</v>
      </c>
      <c r="C56" s="56">
        <f ca="1">'EF ele_warmte'!B22</f>
        <v>0.23190278653200633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206.62069957302103</v>
      </c>
      <c r="C58" s="23">
        <f t="shared" ref="C58:P58" ca="1" si="4">C54*C56</f>
        <v>0</v>
      </c>
      <c r="D58" s="23">
        <f t="shared" si="4"/>
        <v>0</v>
      </c>
      <c r="E58" s="23">
        <f t="shared" si="4"/>
        <v>0</v>
      </c>
      <c r="F58" s="23">
        <f t="shared" si="4"/>
        <v>0</v>
      </c>
      <c r="G58" s="23">
        <f t="shared" si="4"/>
        <v>731.09527364271878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44197.101199999997</v>
      </c>
      <c r="D10" s="1025">
        <f ca="1">tertiair!C16</f>
        <v>81</v>
      </c>
      <c r="E10" s="1025">
        <f ca="1">tertiair!D16</f>
        <v>47556.951347163558</v>
      </c>
      <c r="F10" s="1025">
        <f>tertiair!E16</f>
        <v>345.90241303320386</v>
      </c>
      <c r="G10" s="1025">
        <f ca="1">tertiair!F16</f>
        <v>6125.3337794030522</v>
      </c>
      <c r="H10" s="1025">
        <f>tertiair!G16</f>
        <v>0</v>
      </c>
      <c r="I10" s="1025">
        <f>tertiair!H16</f>
        <v>0</v>
      </c>
      <c r="J10" s="1025">
        <f>tertiair!I16</f>
        <v>0</v>
      </c>
      <c r="K10" s="1025">
        <f>tertiair!J16</f>
        <v>0</v>
      </c>
      <c r="L10" s="1025">
        <f>tertiair!K16</f>
        <v>0</v>
      </c>
      <c r="M10" s="1025">
        <f ca="1">tertiair!L16</f>
        <v>0</v>
      </c>
      <c r="N10" s="1025">
        <f>tertiair!M16</f>
        <v>0</v>
      </c>
      <c r="O10" s="1025">
        <f ca="1">tertiair!N16</f>
        <v>4405.5591756578106</v>
      </c>
      <c r="P10" s="1025">
        <f>tertiair!O16</f>
        <v>9.3800000000000008</v>
      </c>
      <c r="Q10" s="1026">
        <f>tertiair!P16</f>
        <v>76.266666666666666</v>
      </c>
      <c r="R10" s="701">
        <f ca="1">SUM(C10:Q10)</f>
        <v>102797.4945819243</v>
      </c>
      <c r="S10" s="67"/>
    </row>
    <row r="11" spans="1:19" s="474" customFormat="1">
      <c r="A11" s="810" t="s">
        <v>225</v>
      </c>
      <c r="B11" s="815"/>
      <c r="C11" s="1025">
        <f>huishoudens!B8</f>
        <v>71877.504348624076</v>
      </c>
      <c r="D11" s="1025">
        <f>huishoudens!C8</f>
        <v>0</v>
      </c>
      <c r="E11" s="1025">
        <f>huishoudens!D8</f>
        <v>97418.758166474319</v>
      </c>
      <c r="F11" s="1025">
        <f>huishoudens!E8</f>
        <v>6958.6665807352447</v>
      </c>
      <c r="G11" s="1025">
        <f>huishoudens!F8</f>
        <v>47197.188512326087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26819.9199582935</v>
      </c>
      <c r="P11" s="1025">
        <f>huishoudens!O8</f>
        <v>522.15333333333331</v>
      </c>
      <c r="Q11" s="1026">
        <f>huishoudens!P8</f>
        <v>1658.8</v>
      </c>
      <c r="R11" s="701">
        <f>SUM(C11:Q11)</f>
        <v>252452.99089978653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76158.872900000002</v>
      </c>
      <c r="D13" s="1025">
        <f>industrie!C18</f>
        <v>0</v>
      </c>
      <c r="E13" s="1025">
        <f>industrie!D18</f>
        <v>76430.796101899105</v>
      </c>
      <c r="F13" s="1025">
        <f>industrie!E18</f>
        <v>2026.3757020394646</v>
      </c>
      <c r="G13" s="1025">
        <f>industrie!F18</f>
        <v>13185.045376885528</v>
      </c>
      <c r="H13" s="1025">
        <f>industrie!G18</f>
        <v>0</v>
      </c>
      <c r="I13" s="1025">
        <f>industrie!H18</f>
        <v>0</v>
      </c>
      <c r="J13" s="1025">
        <f>industrie!I18</f>
        <v>0</v>
      </c>
      <c r="K13" s="1025">
        <f>industrie!J18</f>
        <v>164.55671616953003</v>
      </c>
      <c r="L13" s="1025">
        <f>industrie!K18</f>
        <v>0</v>
      </c>
      <c r="M13" s="1025">
        <f>industrie!L18</f>
        <v>0</v>
      </c>
      <c r="N13" s="1025">
        <f>industrie!M18</f>
        <v>0</v>
      </c>
      <c r="O13" s="1025">
        <f>industrie!N18</f>
        <v>7479.5286170841264</v>
      </c>
      <c r="P13" s="1025">
        <f>industrie!O18</f>
        <v>0</v>
      </c>
      <c r="Q13" s="1026">
        <f>industrie!P18</f>
        <v>0</v>
      </c>
      <c r="R13" s="701">
        <f>SUM(C13:Q13)</f>
        <v>175445.17541407773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192233.47844862408</v>
      </c>
      <c r="D16" s="733">
        <f t="shared" ref="D16:R16" ca="1" si="0">SUM(D9:D15)</f>
        <v>81</v>
      </c>
      <c r="E16" s="733">
        <f t="shared" ca="1" si="0"/>
        <v>221406.505615537</v>
      </c>
      <c r="F16" s="733">
        <f t="shared" si="0"/>
        <v>9330.9446958079134</v>
      </c>
      <c r="G16" s="733">
        <f t="shared" ca="1" si="0"/>
        <v>66507.567668614662</v>
      </c>
      <c r="H16" s="733">
        <f t="shared" si="0"/>
        <v>0</v>
      </c>
      <c r="I16" s="733">
        <f t="shared" si="0"/>
        <v>0</v>
      </c>
      <c r="J16" s="733">
        <f t="shared" si="0"/>
        <v>0</v>
      </c>
      <c r="K16" s="733">
        <f t="shared" si="0"/>
        <v>164.55671616953003</v>
      </c>
      <c r="L16" s="733">
        <f t="shared" si="0"/>
        <v>0</v>
      </c>
      <c r="M16" s="733">
        <f t="shared" ca="1" si="0"/>
        <v>0</v>
      </c>
      <c r="N16" s="733">
        <f t="shared" si="0"/>
        <v>0</v>
      </c>
      <c r="O16" s="733">
        <f t="shared" ca="1" si="0"/>
        <v>38705.007751035439</v>
      </c>
      <c r="P16" s="733">
        <f t="shared" si="0"/>
        <v>531.5333333333333</v>
      </c>
      <c r="Q16" s="733">
        <f t="shared" si="0"/>
        <v>1735.0666666666666</v>
      </c>
      <c r="R16" s="733">
        <f t="shared" ca="1" si="0"/>
        <v>530695.66089578858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1064.3667856176266</v>
      </c>
      <c r="D19" s="1025">
        <f>transport!C54</f>
        <v>0</v>
      </c>
      <c r="E19" s="1025">
        <f>transport!D54</f>
        <v>0</v>
      </c>
      <c r="F19" s="1025">
        <f>transport!E54</f>
        <v>0</v>
      </c>
      <c r="G19" s="1025">
        <f>transport!F54</f>
        <v>0</v>
      </c>
      <c r="H19" s="1025">
        <f>transport!G54</f>
        <v>2738.1845454783474</v>
      </c>
      <c r="I19" s="1025">
        <f>transport!H54</f>
        <v>0</v>
      </c>
      <c r="J19" s="1025">
        <f>transport!I54</f>
        <v>0</v>
      </c>
      <c r="K19" s="1025">
        <f>transport!J54</f>
        <v>0</v>
      </c>
      <c r="L19" s="1025">
        <f>transport!K54</f>
        <v>0</v>
      </c>
      <c r="M19" s="1025">
        <f>transport!L54</f>
        <v>0</v>
      </c>
      <c r="N19" s="1025">
        <f>transport!M54</f>
        <v>156.15068238948155</v>
      </c>
      <c r="O19" s="1025">
        <f>transport!N54</f>
        <v>0</v>
      </c>
      <c r="P19" s="1025">
        <f>transport!O54</f>
        <v>0</v>
      </c>
      <c r="Q19" s="1026">
        <f>transport!P54</f>
        <v>0</v>
      </c>
      <c r="R19" s="701">
        <f>SUM(C19:Q19)</f>
        <v>3958.7020134854556</v>
      </c>
      <c r="S19" s="67"/>
    </row>
    <row r="20" spans="1:19" s="474" customFormat="1">
      <c r="A20" s="810" t="s">
        <v>307</v>
      </c>
      <c r="B20" s="815"/>
      <c r="C20" s="1025">
        <f>transport!B14</f>
        <v>24.306322866758965</v>
      </c>
      <c r="D20" s="1025">
        <f>transport!C14</f>
        <v>0</v>
      </c>
      <c r="E20" s="1025">
        <f>transport!D14</f>
        <v>69.398020148947495</v>
      </c>
      <c r="F20" s="1025">
        <f>transport!E14</f>
        <v>436.65883744672976</v>
      </c>
      <c r="G20" s="1025">
        <f>transport!F14</f>
        <v>0</v>
      </c>
      <c r="H20" s="1025">
        <f>transport!G14</f>
        <v>129481.62938132478</v>
      </c>
      <c r="I20" s="1025">
        <f>transport!H14</f>
        <v>26092.954245346817</v>
      </c>
      <c r="J20" s="1025">
        <f>transport!I14</f>
        <v>0</v>
      </c>
      <c r="K20" s="1025">
        <f>transport!J14</f>
        <v>0</v>
      </c>
      <c r="L20" s="1025">
        <f>transport!K14</f>
        <v>0</v>
      </c>
      <c r="M20" s="1025">
        <f>transport!L14</f>
        <v>0</v>
      </c>
      <c r="N20" s="1025">
        <f>transport!M14</f>
        <v>8293.163560226767</v>
      </c>
      <c r="O20" s="1025">
        <f>transport!N14</f>
        <v>0</v>
      </c>
      <c r="P20" s="1025">
        <f>transport!O14</f>
        <v>0</v>
      </c>
      <c r="Q20" s="1026">
        <f>transport!P14</f>
        <v>0</v>
      </c>
      <c r="R20" s="701">
        <f>SUM(C20:Q20)</f>
        <v>164398.11036736079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1088.6731084843857</v>
      </c>
      <c r="D22" s="813">
        <f t="shared" ref="D22:R22" si="1">SUM(D18:D21)</f>
        <v>0</v>
      </c>
      <c r="E22" s="813">
        <f t="shared" si="1"/>
        <v>69.398020148947495</v>
      </c>
      <c r="F22" s="813">
        <f t="shared" si="1"/>
        <v>436.65883744672976</v>
      </c>
      <c r="G22" s="813">
        <f t="shared" si="1"/>
        <v>0</v>
      </c>
      <c r="H22" s="813">
        <f t="shared" si="1"/>
        <v>132219.81392680312</v>
      </c>
      <c r="I22" s="813">
        <f t="shared" si="1"/>
        <v>26092.954245346817</v>
      </c>
      <c r="J22" s="813">
        <f t="shared" si="1"/>
        <v>0</v>
      </c>
      <c r="K22" s="813">
        <f t="shared" si="1"/>
        <v>0</v>
      </c>
      <c r="L22" s="813">
        <f t="shared" si="1"/>
        <v>0</v>
      </c>
      <c r="M22" s="813">
        <f t="shared" si="1"/>
        <v>0</v>
      </c>
      <c r="N22" s="813">
        <f t="shared" si="1"/>
        <v>8449.3142426162485</v>
      </c>
      <c r="O22" s="813">
        <f t="shared" si="1"/>
        <v>0</v>
      </c>
      <c r="P22" s="813">
        <f t="shared" si="1"/>
        <v>0</v>
      </c>
      <c r="Q22" s="813">
        <f t="shared" si="1"/>
        <v>0</v>
      </c>
      <c r="R22" s="813">
        <f t="shared" si="1"/>
        <v>168356.81238084624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4816.4422000000004</v>
      </c>
      <c r="D24" s="1025">
        <f>+landbouw!C8</f>
        <v>2498.7857142857142</v>
      </c>
      <c r="E24" s="1025">
        <f>+landbouw!D8</f>
        <v>576.07065142558986</v>
      </c>
      <c r="F24" s="1025">
        <f>+landbouw!E8</f>
        <v>44.611904967828508</v>
      </c>
      <c r="G24" s="1025">
        <f>+landbouw!F8</f>
        <v>12220.231392697511</v>
      </c>
      <c r="H24" s="1025">
        <f>+landbouw!G8</f>
        <v>0</v>
      </c>
      <c r="I24" s="1025">
        <f>+landbouw!H8</f>
        <v>0</v>
      </c>
      <c r="J24" s="1025">
        <f>+landbouw!I8</f>
        <v>0</v>
      </c>
      <c r="K24" s="1025">
        <f>+landbouw!J8</f>
        <v>738.41434091183135</v>
      </c>
      <c r="L24" s="1025">
        <f>+landbouw!K8</f>
        <v>0</v>
      </c>
      <c r="M24" s="1025">
        <f>+landbouw!L8</f>
        <v>0</v>
      </c>
      <c r="N24" s="1025">
        <f>+landbouw!M8</f>
        <v>0</v>
      </c>
      <c r="O24" s="1025">
        <f>+landbouw!N8</f>
        <v>0</v>
      </c>
      <c r="P24" s="1025">
        <f>+landbouw!O8</f>
        <v>0</v>
      </c>
      <c r="Q24" s="1026">
        <f>+landbouw!P8</f>
        <v>0</v>
      </c>
      <c r="R24" s="701">
        <f>SUM(C24:Q24)</f>
        <v>20894.556204288474</v>
      </c>
      <c r="S24" s="67"/>
    </row>
    <row r="25" spans="1:19" s="474" customFormat="1" ht="15" thickBot="1">
      <c r="A25" s="832" t="s">
        <v>864</v>
      </c>
      <c r="B25" s="1028"/>
      <c r="C25" s="1029">
        <f>IF(Onbekend_ele_kWh="---",0,Onbekend_ele_kWh)/1000+IF(REST_rest_ele_kWh="---",0,REST_rest_ele_kWh)/1000</f>
        <v>1915.8920000000001</v>
      </c>
      <c r="D25" s="1029"/>
      <c r="E25" s="1029">
        <f>IF(onbekend_gas_kWh="---",0,onbekend_gas_kWh)/1000+IF(REST_rest_gas_kWh="---",0,REST_rest_gas_kWh)/1000</f>
        <v>6030.3482321034598</v>
      </c>
      <c r="F25" s="1029"/>
      <c r="G25" s="1029"/>
      <c r="H25" s="1029"/>
      <c r="I25" s="1029"/>
      <c r="J25" s="1029"/>
      <c r="K25" s="1029"/>
      <c r="L25" s="1029"/>
      <c r="M25" s="1029"/>
      <c r="N25" s="1029"/>
      <c r="O25" s="1029"/>
      <c r="P25" s="1029"/>
      <c r="Q25" s="1030"/>
      <c r="R25" s="701">
        <f>SUM(C25:Q25)</f>
        <v>7946.2402321034597</v>
      </c>
      <c r="S25" s="67"/>
    </row>
    <row r="26" spans="1:19" s="474" customFormat="1" ht="15.75" thickBot="1">
      <c r="A26" s="706" t="s">
        <v>865</v>
      </c>
      <c r="B26" s="818"/>
      <c r="C26" s="813">
        <f>SUM(C24:C25)</f>
        <v>6732.3342000000002</v>
      </c>
      <c r="D26" s="813">
        <f t="shared" ref="D26:R26" si="2">SUM(D24:D25)</f>
        <v>2498.7857142857142</v>
      </c>
      <c r="E26" s="813">
        <f t="shared" si="2"/>
        <v>6606.4188835290497</v>
      </c>
      <c r="F26" s="813">
        <f t="shared" si="2"/>
        <v>44.611904967828508</v>
      </c>
      <c r="G26" s="813">
        <f t="shared" si="2"/>
        <v>12220.231392697511</v>
      </c>
      <c r="H26" s="813">
        <f t="shared" si="2"/>
        <v>0</v>
      </c>
      <c r="I26" s="813">
        <f t="shared" si="2"/>
        <v>0</v>
      </c>
      <c r="J26" s="813">
        <f t="shared" si="2"/>
        <v>0</v>
      </c>
      <c r="K26" s="813">
        <f t="shared" si="2"/>
        <v>738.41434091183135</v>
      </c>
      <c r="L26" s="813">
        <f t="shared" si="2"/>
        <v>0</v>
      </c>
      <c r="M26" s="813">
        <f t="shared" si="2"/>
        <v>0</v>
      </c>
      <c r="N26" s="813">
        <f t="shared" si="2"/>
        <v>0</v>
      </c>
      <c r="O26" s="813">
        <f t="shared" si="2"/>
        <v>0</v>
      </c>
      <c r="P26" s="813">
        <f t="shared" si="2"/>
        <v>0</v>
      </c>
      <c r="Q26" s="813">
        <f t="shared" si="2"/>
        <v>0</v>
      </c>
      <c r="R26" s="813">
        <f t="shared" si="2"/>
        <v>28840.796436391935</v>
      </c>
      <c r="S26" s="67"/>
    </row>
    <row r="27" spans="1:19" s="474" customFormat="1" ht="17.25" thickTop="1" thickBot="1">
      <c r="A27" s="707" t="s">
        <v>116</v>
      </c>
      <c r="B27" s="806"/>
      <c r="C27" s="708">
        <f ca="1">C22+C16+C26</f>
        <v>200054.48575710849</v>
      </c>
      <c r="D27" s="708">
        <f t="shared" ref="D27:R27" ca="1" si="3">D22+D16+D26</f>
        <v>2579.7857142857142</v>
      </c>
      <c r="E27" s="708">
        <f t="shared" ca="1" si="3"/>
        <v>228082.322519215</v>
      </c>
      <c r="F27" s="708">
        <f t="shared" si="3"/>
        <v>9812.2154382224726</v>
      </c>
      <c r="G27" s="708">
        <f t="shared" ca="1" si="3"/>
        <v>78727.799061312166</v>
      </c>
      <c r="H27" s="708">
        <f t="shared" si="3"/>
        <v>132219.81392680312</v>
      </c>
      <c r="I27" s="708">
        <f t="shared" si="3"/>
        <v>26092.954245346817</v>
      </c>
      <c r="J27" s="708">
        <f t="shared" si="3"/>
        <v>0</v>
      </c>
      <c r="K27" s="708">
        <f t="shared" si="3"/>
        <v>902.97105708136132</v>
      </c>
      <c r="L27" s="708">
        <f t="shared" si="3"/>
        <v>0</v>
      </c>
      <c r="M27" s="708">
        <f t="shared" ca="1" si="3"/>
        <v>0</v>
      </c>
      <c r="N27" s="708">
        <f t="shared" si="3"/>
        <v>8449.3142426162485</v>
      </c>
      <c r="O27" s="708">
        <f t="shared" ca="1" si="3"/>
        <v>38705.007751035439</v>
      </c>
      <c r="P27" s="708">
        <f t="shared" si="3"/>
        <v>531.5333333333333</v>
      </c>
      <c r="Q27" s="708">
        <f t="shared" si="3"/>
        <v>1735.0666666666666</v>
      </c>
      <c r="R27" s="708">
        <f t="shared" ca="1" si="3"/>
        <v>727893.2697130267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8579.7829211144599</v>
      </c>
      <c r="D40" s="1025">
        <f ca="1">tertiair!C20</f>
        <v>18.784125709092514</v>
      </c>
      <c r="E40" s="1025">
        <f ca="1">tertiair!D20</f>
        <v>9606.5041721270391</v>
      </c>
      <c r="F40" s="1025">
        <f>tertiair!E20</f>
        <v>78.519847758537281</v>
      </c>
      <c r="G40" s="1025">
        <f ca="1">tertiair!F20</f>
        <v>1635.4641191006151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19919.055185809746</v>
      </c>
    </row>
    <row r="41" spans="1:18">
      <c r="A41" s="823" t="s">
        <v>225</v>
      </c>
      <c r="B41" s="830"/>
      <c r="C41" s="1025">
        <f ca="1">huishoudens!B12</f>
        <v>13953.254115739497</v>
      </c>
      <c r="D41" s="1025">
        <f ca="1">huishoudens!C12</f>
        <v>0</v>
      </c>
      <c r="E41" s="1025">
        <f>huishoudens!D12</f>
        <v>19678.589149627813</v>
      </c>
      <c r="F41" s="1025">
        <f>huishoudens!E12</f>
        <v>1579.6173138269005</v>
      </c>
      <c r="G41" s="1025">
        <f>huishoudens!F12</f>
        <v>12601.649332791067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47813.109911985273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14784.376786203045</v>
      </c>
      <c r="D43" s="1025">
        <f ca="1">industrie!C22</f>
        <v>0</v>
      </c>
      <c r="E43" s="1025">
        <f>industrie!D22</f>
        <v>15439.02081258362</v>
      </c>
      <c r="F43" s="1025">
        <f>industrie!E22</f>
        <v>459.98728436295846</v>
      </c>
      <c r="G43" s="1025">
        <f>industrie!F22</f>
        <v>3520.4071156284363</v>
      </c>
      <c r="H43" s="1025">
        <f>industrie!G22</f>
        <v>0</v>
      </c>
      <c r="I43" s="1025">
        <f>industrie!H22</f>
        <v>0</v>
      </c>
      <c r="J43" s="1025">
        <f>industrie!I22</f>
        <v>0</v>
      </c>
      <c r="K43" s="1025">
        <f>industrie!J22</f>
        <v>58.253077524013626</v>
      </c>
      <c r="L43" s="1025">
        <f>industrie!K22</f>
        <v>0</v>
      </c>
      <c r="M43" s="1025">
        <f>industrie!L22</f>
        <v>0</v>
      </c>
      <c r="N43" s="1025">
        <f>industrie!M22</f>
        <v>0</v>
      </c>
      <c r="O43" s="1025">
        <f>industrie!N22</f>
        <v>0</v>
      </c>
      <c r="P43" s="1025">
        <f>industrie!O22</f>
        <v>0</v>
      </c>
      <c r="Q43" s="775">
        <f>industrie!P22</f>
        <v>0</v>
      </c>
      <c r="R43" s="850">
        <f t="shared" ca="1" si="4"/>
        <v>34262.045076302078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37317.413823057002</v>
      </c>
      <c r="D46" s="733">
        <f t="shared" ref="D46:Q46" ca="1" si="5">SUM(D39:D45)</f>
        <v>18.784125709092514</v>
      </c>
      <c r="E46" s="733">
        <f t="shared" ca="1" si="5"/>
        <v>44724.114134338473</v>
      </c>
      <c r="F46" s="733">
        <f t="shared" si="5"/>
        <v>2118.124445948396</v>
      </c>
      <c r="G46" s="733">
        <f t="shared" ca="1" si="5"/>
        <v>17757.520567520118</v>
      </c>
      <c r="H46" s="733">
        <f t="shared" si="5"/>
        <v>0</v>
      </c>
      <c r="I46" s="733">
        <f t="shared" si="5"/>
        <v>0</v>
      </c>
      <c r="J46" s="733">
        <f t="shared" si="5"/>
        <v>0</v>
      </c>
      <c r="K46" s="733">
        <f t="shared" si="5"/>
        <v>58.253077524013626</v>
      </c>
      <c r="L46" s="733">
        <f t="shared" si="5"/>
        <v>0</v>
      </c>
      <c r="M46" s="733">
        <f t="shared" ca="1" si="5"/>
        <v>0</v>
      </c>
      <c r="N46" s="733">
        <f t="shared" si="5"/>
        <v>0</v>
      </c>
      <c r="O46" s="733">
        <f t="shared" ca="1" si="5"/>
        <v>0</v>
      </c>
      <c r="P46" s="733">
        <f t="shared" si="5"/>
        <v>0</v>
      </c>
      <c r="Q46" s="733">
        <f t="shared" si="5"/>
        <v>0</v>
      </c>
      <c r="R46" s="733">
        <f ca="1">SUM(R39:R45)</f>
        <v>101994.2101740971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206.62069957302103</v>
      </c>
      <c r="D49" s="1025">
        <f ca="1">transport!C58</f>
        <v>0</v>
      </c>
      <c r="E49" s="1025">
        <f>transport!D58</f>
        <v>0</v>
      </c>
      <c r="F49" s="1025">
        <f>transport!E58</f>
        <v>0</v>
      </c>
      <c r="G49" s="1025">
        <f>transport!F58</f>
        <v>0</v>
      </c>
      <c r="H49" s="1025">
        <f>transport!G58</f>
        <v>731.09527364271878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937.71597321573984</v>
      </c>
    </row>
    <row r="50" spans="1:18">
      <c r="A50" s="826" t="s">
        <v>307</v>
      </c>
      <c r="B50" s="836"/>
      <c r="C50" s="704">
        <f ca="1">transport!B18</f>
        <v>4.7184762834018716</v>
      </c>
      <c r="D50" s="704">
        <f>transport!C18</f>
        <v>0</v>
      </c>
      <c r="E50" s="704">
        <f>transport!D18</f>
        <v>14.018400070087395</v>
      </c>
      <c r="F50" s="704">
        <f>transport!E18</f>
        <v>99.121556100407659</v>
      </c>
      <c r="G50" s="704">
        <f>transport!F18</f>
        <v>0</v>
      </c>
      <c r="H50" s="704">
        <f>transport!G18</f>
        <v>34571.595044813716</v>
      </c>
      <c r="I50" s="704">
        <f>transport!H18</f>
        <v>6497.1456070913573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41186.599084358968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211.33917585642291</v>
      </c>
      <c r="D52" s="733">
        <f t="shared" ref="D52:Q52" ca="1" si="6">SUM(D48:D51)</f>
        <v>0</v>
      </c>
      <c r="E52" s="733">
        <f t="shared" si="6"/>
        <v>14.018400070087395</v>
      </c>
      <c r="F52" s="733">
        <f t="shared" si="6"/>
        <v>99.121556100407659</v>
      </c>
      <c r="G52" s="733">
        <f t="shared" si="6"/>
        <v>0</v>
      </c>
      <c r="H52" s="733">
        <f t="shared" si="6"/>
        <v>35302.690318456436</v>
      </c>
      <c r="I52" s="733">
        <f t="shared" si="6"/>
        <v>6497.1456070913573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42124.315057574706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934.99409251064083</v>
      </c>
      <c r="D54" s="704">
        <f ca="1">+landbouw!C12</f>
        <v>579.47537008922689</v>
      </c>
      <c r="E54" s="704">
        <f>+landbouw!D12</f>
        <v>116.36627158796915</v>
      </c>
      <c r="F54" s="704">
        <f>+landbouw!E12</f>
        <v>10.126902427697072</v>
      </c>
      <c r="G54" s="704">
        <f>+landbouw!F12</f>
        <v>3262.8017818502358</v>
      </c>
      <c r="H54" s="704">
        <f>+landbouw!G12</f>
        <v>0</v>
      </c>
      <c r="I54" s="704">
        <f>+landbouw!H12</f>
        <v>0</v>
      </c>
      <c r="J54" s="704">
        <f>+landbouw!I12</f>
        <v>0</v>
      </c>
      <c r="K54" s="704">
        <f>+landbouw!J12</f>
        <v>261.39867668278828</v>
      </c>
      <c r="L54" s="704">
        <f>+landbouw!K12</f>
        <v>0</v>
      </c>
      <c r="M54" s="704">
        <f>+landbouw!L12</f>
        <v>0</v>
      </c>
      <c r="N54" s="704">
        <f>+landbouw!M12</f>
        <v>0</v>
      </c>
      <c r="O54" s="704">
        <f>+landbouw!N12</f>
        <v>0</v>
      </c>
      <c r="P54" s="704">
        <f>+landbouw!O12</f>
        <v>0</v>
      </c>
      <c r="Q54" s="705">
        <f>+landbouw!P12</f>
        <v>0</v>
      </c>
      <c r="R54" s="732">
        <f ca="1">SUM(C54:Q54)</f>
        <v>5165.1630951485577</v>
      </c>
    </row>
    <row r="55" spans="1:18" ht="15" thickBot="1">
      <c r="A55" s="826" t="s">
        <v>864</v>
      </c>
      <c r="B55" s="836"/>
      <c r="C55" s="704">
        <f ca="1">C25*'EF ele_warmte'!B12</f>
        <v>371.92342968185034</v>
      </c>
      <c r="D55" s="704"/>
      <c r="E55" s="704">
        <f>E25*EF_CO2_aardgas</f>
        <v>1218.1303428848989</v>
      </c>
      <c r="F55" s="704"/>
      <c r="G55" s="704"/>
      <c r="H55" s="704"/>
      <c r="I55" s="704"/>
      <c r="J55" s="704"/>
      <c r="K55" s="704"/>
      <c r="L55" s="704"/>
      <c r="M55" s="704"/>
      <c r="N55" s="704"/>
      <c r="O55" s="704"/>
      <c r="P55" s="704"/>
      <c r="Q55" s="705"/>
      <c r="R55" s="732">
        <f ca="1">SUM(C55:Q55)</f>
        <v>1590.0537725667493</v>
      </c>
    </row>
    <row r="56" spans="1:18" ht="15.75" thickBot="1">
      <c r="A56" s="824" t="s">
        <v>865</v>
      </c>
      <c r="B56" s="837"/>
      <c r="C56" s="733">
        <f ca="1">SUM(C54:C55)</f>
        <v>1306.9175221924911</v>
      </c>
      <c r="D56" s="733">
        <f t="shared" ref="D56:Q56" ca="1" si="7">SUM(D54:D55)</f>
        <v>579.47537008922689</v>
      </c>
      <c r="E56" s="733">
        <f t="shared" si="7"/>
        <v>1334.496614472868</v>
      </c>
      <c r="F56" s="733">
        <f t="shared" si="7"/>
        <v>10.126902427697072</v>
      </c>
      <c r="G56" s="733">
        <f t="shared" si="7"/>
        <v>3262.8017818502358</v>
      </c>
      <c r="H56" s="733">
        <f t="shared" si="7"/>
        <v>0</v>
      </c>
      <c r="I56" s="733">
        <f t="shared" si="7"/>
        <v>0</v>
      </c>
      <c r="J56" s="733">
        <f t="shared" si="7"/>
        <v>0</v>
      </c>
      <c r="K56" s="733">
        <f t="shared" si="7"/>
        <v>261.39867668278828</v>
      </c>
      <c r="L56" s="733">
        <f t="shared" si="7"/>
        <v>0</v>
      </c>
      <c r="M56" s="733">
        <f t="shared" si="7"/>
        <v>0</v>
      </c>
      <c r="N56" s="733">
        <f t="shared" si="7"/>
        <v>0</v>
      </c>
      <c r="O56" s="733">
        <f t="shared" si="7"/>
        <v>0</v>
      </c>
      <c r="P56" s="733">
        <f t="shared" si="7"/>
        <v>0</v>
      </c>
      <c r="Q56" s="734">
        <f t="shared" si="7"/>
        <v>0</v>
      </c>
      <c r="R56" s="735">
        <f ca="1">SUM(R54:R55)</f>
        <v>6755.2168677153068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38835.670521105916</v>
      </c>
      <c r="D61" s="741">
        <f t="shared" ref="D61:Q61" ca="1" si="8">D46+D52+D56</f>
        <v>598.25949579831945</v>
      </c>
      <c r="E61" s="741">
        <f t="shared" ca="1" si="8"/>
        <v>46072.629148881431</v>
      </c>
      <c r="F61" s="741">
        <f t="shared" si="8"/>
        <v>2227.3729044765009</v>
      </c>
      <c r="G61" s="741">
        <f t="shared" ca="1" si="8"/>
        <v>21020.322349370355</v>
      </c>
      <c r="H61" s="741">
        <f t="shared" si="8"/>
        <v>35302.690318456436</v>
      </c>
      <c r="I61" s="741">
        <f t="shared" si="8"/>
        <v>6497.1456070913573</v>
      </c>
      <c r="J61" s="741">
        <f t="shared" si="8"/>
        <v>0</v>
      </c>
      <c r="K61" s="741">
        <f t="shared" si="8"/>
        <v>319.65175420680191</v>
      </c>
      <c r="L61" s="741">
        <f t="shared" si="8"/>
        <v>0</v>
      </c>
      <c r="M61" s="741">
        <f t="shared" ca="1" si="8"/>
        <v>0</v>
      </c>
      <c r="N61" s="741">
        <f t="shared" si="8"/>
        <v>0</v>
      </c>
      <c r="O61" s="741">
        <f t="shared" ca="1" si="8"/>
        <v>0</v>
      </c>
      <c r="P61" s="741">
        <f t="shared" si="8"/>
        <v>0</v>
      </c>
      <c r="Q61" s="741">
        <f t="shared" si="8"/>
        <v>0</v>
      </c>
      <c r="R61" s="741">
        <f ca="1">R46+R52+R56</f>
        <v>150873.74209938711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0.19412546724024646</v>
      </c>
      <c r="D63" s="782">
        <f t="shared" ca="1" si="9"/>
        <v>0.23190278653200633</v>
      </c>
      <c r="E63" s="1036">
        <f t="shared" ca="1" si="9"/>
        <v>0.20200000000000001</v>
      </c>
      <c r="F63" s="782">
        <f t="shared" si="9"/>
        <v>0.22699999999999995</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24416.559403954183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43.65</v>
      </c>
      <c r="C76" s="751">
        <f>'lokale energieproductie'!B8*IFERROR(SUM(D76:H76)/SUM(D76:O76),0)</f>
        <v>1762.2</v>
      </c>
      <c r="D76" s="1046">
        <f>'lokale energieproductie'!C8</f>
        <v>2073.1764705882356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418.78164705882364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24460.209403954184</v>
      </c>
      <c r="C78" s="756">
        <f>SUM(C72:C77)</f>
        <v>1762.2</v>
      </c>
      <c r="D78" s="757">
        <f t="shared" ref="D78:H78" si="10">SUM(D76:D77)</f>
        <v>2073.1764705882356</v>
      </c>
      <c r="E78" s="757">
        <f t="shared" si="10"/>
        <v>0</v>
      </c>
      <c r="F78" s="757">
        <f t="shared" si="10"/>
        <v>0</v>
      </c>
      <c r="G78" s="757">
        <f t="shared" si="10"/>
        <v>0</v>
      </c>
      <c r="H78" s="757">
        <f t="shared" si="10"/>
        <v>0</v>
      </c>
      <c r="I78" s="757">
        <f>SUM(I76:I77)</f>
        <v>0</v>
      </c>
      <c r="J78" s="757">
        <f>SUM(J76:J77)</f>
        <v>51.352941176470587</v>
      </c>
      <c r="K78" s="757">
        <f t="shared" ref="K78:L78" si="11">SUM(K76:K77)</f>
        <v>0</v>
      </c>
      <c r="L78" s="757">
        <f t="shared" si="11"/>
        <v>0</v>
      </c>
      <c r="M78" s="757">
        <f>SUM(M76:M77)</f>
        <v>0</v>
      </c>
      <c r="N78" s="757">
        <f>SUM(N76:N77)</f>
        <v>0</v>
      </c>
      <c r="O78" s="861">
        <f>SUM(O76:O77)</f>
        <v>0</v>
      </c>
      <c r="P78" s="758">
        <v>0</v>
      </c>
      <c r="Q78" s="758">
        <f>SUM(Q76:Q77)</f>
        <v>418.78164705882364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62.357142857142833</v>
      </c>
      <c r="C87" s="767">
        <f>'lokale energieproductie'!B17*IFERROR(SUM(D87:H87)/SUM(D87:O87),0)</f>
        <v>2517.4285714285716</v>
      </c>
      <c r="D87" s="778">
        <f>'lokale energieproductie'!C17</f>
        <v>2961.680672268908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598.25949579831945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62.357142857142833</v>
      </c>
      <c r="C90" s="756">
        <f>SUM(C87:C89)</f>
        <v>2517.4285714285716</v>
      </c>
      <c r="D90" s="756">
        <f t="shared" ref="D90:H90" si="12">SUM(D87:D89)</f>
        <v>2961.680672268908</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598.25949579831945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24416.559403954183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1805.8500000000001</v>
      </c>
      <c r="C8" s="571">
        <f>B101</f>
        <v>2073.1764705882356</v>
      </c>
      <c r="D8" s="1056"/>
      <c r="E8" s="1056">
        <f>E101</f>
        <v>0</v>
      </c>
      <c r="F8" s="1057"/>
      <c r="G8" s="572"/>
      <c r="H8" s="1056">
        <f>I101</f>
        <v>0</v>
      </c>
      <c r="I8" s="1056">
        <f>G101+F101</f>
        <v>0</v>
      </c>
      <c r="J8" s="1056">
        <f>H101+D101+C101</f>
        <v>51.352941176470587</v>
      </c>
      <c r="K8" s="1056"/>
      <c r="L8" s="1056"/>
      <c r="M8" s="1056"/>
      <c r="N8" s="573"/>
      <c r="O8" s="574">
        <f>C8*$C$12+D8*$D$12+E8*$E$12+F8*$F$12+G8*$G$12+H8*$H$12+I8*$I$12+J8*$J$12</f>
        <v>418.78164705882364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26222.409403954181</v>
      </c>
      <c r="C10" s="584">
        <f t="shared" ref="C10:L10" si="0">SUM(C8:C9)</f>
        <v>2073.1764705882356</v>
      </c>
      <c r="D10" s="584">
        <f t="shared" si="0"/>
        <v>0</v>
      </c>
      <c r="E10" s="584">
        <f t="shared" si="0"/>
        <v>0</v>
      </c>
      <c r="F10" s="584">
        <f t="shared" si="0"/>
        <v>0</v>
      </c>
      <c r="G10" s="584">
        <f t="shared" si="0"/>
        <v>0</v>
      </c>
      <c r="H10" s="584">
        <f t="shared" si="0"/>
        <v>0</v>
      </c>
      <c r="I10" s="584">
        <f t="shared" si="0"/>
        <v>0</v>
      </c>
      <c r="J10" s="584">
        <f t="shared" si="0"/>
        <v>51.352941176470587</v>
      </c>
      <c r="K10" s="584">
        <f t="shared" si="0"/>
        <v>0</v>
      </c>
      <c r="L10" s="584">
        <f t="shared" si="0"/>
        <v>0</v>
      </c>
      <c r="M10" s="1059"/>
      <c r="N10" s="1059"/>
      <c r="O10" s="585">
        <f>SUM(O4:O9)</f>
        <v>418.78164705882364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2579.7857142857142</v>
      </c>
      <c r="C17" s="596">
        <f>B102</f>
        <v>2961.680672268908</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598.25949579831945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2579.7857142857142</v>
      </c>
      <c r="C20" s="583">
        <f>SUM(C17:C19)</f>
        <v>2961.680672268908</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598.25949579831945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44019</v>
      </c>
      <c r="C28" s="797">
        <v>9940</v>
      </c>
      <c r="D28" s="654" t="s">
        <v>907</v>
      </c>
      <c r="E28" s="653" t="s">
        <v>908</v>
      </c>
      <c r="F28" s="653" t="s">
        <v>909</v>
      </c>
      <c r="G28" s="653" t="s">
        <v>910</v>
      </c>
      <c r="H28" s="653" t="s">
        <v>911</v>
      </c>
      <c r="I28" s="653" t="s">
        <v>912</v>
      </c>
      <c r="J28" s="796">
        <v>39861</v>
      </c>
      <c r="K28" s="796">
        <v>39861</v>
      </c>
      <c r="L28" s="653" t="s">
        <v>913</v>
      </c>
      <c r="M28" s="653">
        <v>12.6</v>
      </c>
      <c r="N28" s="653">
        <v>56.7</v>
      </c>
      <c r="O28" s="653">
        <v>81</v>
      </c>
      <c r="P28" s="653">
        <v>162.00000000000003</v>
      </c>
      <c r="Q28" s="653">
        <v>0</v>
      </c>
      <c r="R28" s="653">
        <v>0</v>
      </c>
      <c r="S28" s="653">
        <v>0</v>
      </c>
      <c r="T28" s="653">
        <v>0</v>
      </c>
      <c r="U28" s="653">
        <v>0</v>
      </c>
      <c r="V28" s="653">
        <v>0</v>
      </c>
      <c r="W28" s="653">
        <v>0</v>
      </c>
      <c r="X28" s="653">
        <v>1600</v>
      </c>
      <c r="Y28" s="653" t="s">
        <v>50</v>
      </c>
      <c r="Z28" s="655" t="s">
        <v>156</v>
      </c>
    </row>
    <row r="29" spans="1:26" s="607" customFormat="1" ht="25.5">
      <c r="A29" s="606"/>
      <c r="B29" s="797">
        <v>44019</v>
      </c>
      <c r="C29" s="797">
        <v>9940</v>
      </c>
      <c r="D29" s="654" t="s">
        <v>914</v>
      </c>
      <c r="E29" s="653" t="s">
        <v>915</v>
      </c>
      <c r="F29" s="653" t="s">
        <v>916</v>
      </c>
      <c r="G29" s="653" t="s">
        <v>910</v>
      </c>
      <c r="H29" s="653" t="s">
        <v>911</v>
      </c>
      <c r="I29" s="653" t="s">
        <v>915</v>
      </c>
      <c r="J29" s="796">
        <v>41185</v>
      </c>
      <c r="K29" s="796">
        <v>41214</v>
      </c>
      <c r="L29" s="653" t="s">
        <v>913</v>
      </c>
      <c r="M29" s="653">
        <v>379</v>
      </c>
      <c r="N29" s="653">
        <v>1705.5</v>
      </c>
      <c r="O29" s="653">
        <v>2436.4285714285716</v>
      </c>
      <c r="P29" s="653">
        <v>4872.8571428571431</v>
      </c>
      <c r="Q29" s="653">
        <v>0</v>
      </c>
      <c r="R29" s="653">
        <v>0</v>
      </c>
      <c r="S29" s="653">
        <v>0</v>
      </c>
      <c r="T29" s="653">
        <v>0</v>
      </c>
      <c r="U29" s="653">
        <v>0</v>
      </c>
      <c r="V29" s="653">
        <v>0</v>
      </c>
      <c r="W29" s="653">
        <v>0</v>
      </c>
      <c r="X29" s="653">
        <v>10</v>
      </c>
      <c r="Y29" s="653" t="s">
        <v>112</v>
      </c>
      <c r="Z29" s="655" t="s">
        <v>112</v>
      </c>
    </row>
    <row r="30" spans="1:26" s="607" customFormat="1" ht="25.5">
      <c r="A30" s="606"/>
      <c r="B30" s="797">
        <v>44019</v>
      </c>
      <c r="C30" s="797">
        <v>9940</v>
      </c>
      <c r="D30" s="654" t="s">
        <v>917</v>
      </c>
      <c r="E30" s="653" t="s">
        <v>918</v>
      </c>
      <c r="F30" s="653" t="s">
        <v>919</v>
      </c>
      <c r="G30" s="653" t="s">
        <v>910</v>
      </c>
      <c r="H30" s="653" t="s">
        <v>911</v>
      </c>
      <c r="I30" s="653" t="s">
        <v>920</v>
      </c>
      <c r="J30" s="796">
        <v>41151</v>
      </c>
      <c r="K30" s="796">
        <v>41275</v>
      </c>
      <c r="L30" s="653" t="s">
        <v>913</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401.3</v>
      </c>
      <c r="N58" s="611">
        <f>SUM(N28:N57)</f>
        <v>1805.8500000000001</v>
      </c>
      <c r="O58" s="611">
        <f t="shared" ref="O58:W58" si="2">SUM(O28:O57)</f>
        <v>2579.7857142857142</v>
      </c>
      <c r="P58" s="611">
        <f t="shared" si="2"/>
        <v>5034.8571428571431</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12.6</v>
      </c>
      <c r="N60" s="611">
        <f ca="1">SUMIF($Z$28:AD57,"tertiair",N28:N57)</f>
        <v>56.7</v>
      </c>
      <c r="O60" s="611">
        <f ca="1">SUMIF($Z$28:AE57,"tertiair",O28:O57)</f>
        <v>81</v>
      </c>
      <c r="P60" s="611">
        <f ca="1">SUMIF($Z$28:AF57,"tertiair",P28:P57)</f>
        <v>162.00000000000003</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388.7</v>
      </c>
      <c r="N61" s="616">
        <f t="shared" si="4"/>
        <v>1749.15</v>
      </c>
      <c r="O61" s="616">
        <f t="shared" si="4"/>
        <v>2498.7857142857142</v>
      </c>
      <c r="P61" s="616">
        <f t="shared" si="4"/>
        <v>4872.8571428571431</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2073.1764705882356</v>
      </c>
      <c r="C101" s="645">
        <f t="shared" si="9"/>
        <v>51.352941176470587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2961.680672268908</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71877.504348624076</v>
      </c>
      <c r="C4" s="478">
        <f>huishoudens!C8</f>
        <v>0</v>
      </c>
      <c r="D4" s="478">
        <f>huishoudens!D8</f>
        <v>97418.758166474319</v>
      </c>
      <c r="E4" s="478">
        <f>huishoudens!E8</f>
        <v>6958.6665807352447</v>
      </c>
      <c r="F4" s="478">
        <f>huishoudens!F8</f>
        <v>47197.188512326087</v>
      </c>
      <c r="G4" s="478">
        <f>huishoudens!G8</f>
        <v>0</v>
      </c>
      <c r="H4" s="478">
        <f>huishoudens!H8</f>
        <v>0</v>
      </c>
      <c r="I4" s="478">
        <f>huishoudens!I8</f>
        <v>0</v>
      </c>
      <c r="J4" s="478">
        <f>huishoudens!J8</f>
        <v>0</v>
      </c>
      <c r="K4" s="478">
        <f>huishoudens!K8</f>
        <v>0</v>
      </c>
      <c r="L4" s="478">
        <f>huishoudens!L8</f>
        <v>0</v>
      </c>
      <c r="M4" s="478">
        <f>huishoudens!M8</f>
        <v>0</v>
      </c>
      <c r="N4" s="478">
        <f>huishoudens!N8</f>
        <v>26819.9199582935</v>
      </c>
      <c r="O4" s="478">
        <f>huishoudens!O8</f>
        <v>522.15333333333331</v>
      </c>
      <c r="P4" s="479">
        <f>huishoudens!P8</f>
        <v>1658.8</v>
      </c>
      <c r="Q4" s="480">
        <f>SUM(B4:P4)</f>
        <v>252452.99089978653</v>
      </c>
    </row>
    <row r="5" spans="1:17">
      <c r="A5" s="477" t="s">
        <v>156</v>
      </c>
      <c r="B5" s="478">
        <f ca="1">tertiair!B16</f>
        <v>41839.117200000001</v>
      </c>
      <c r="C5" s="478">
        <f ca="1">tertiair!C16</f>
        <v>81</v>
      </c>
      <c r="D5" s="478">
        <f ca="1">tertiair!D16</f>
        <v>47556.951347163558</v>
      </c>
      <c r="E5" s="478">
        <f>tertiair!E16</f>
        <v>345.90241303320386</v>
      </c>
      <c r="F5" s="478">
        <f ca="1">tertiair!F16</f>
        <v>6125.3337794030522</v>
      </c>
      <c r="G5" s="478">
        <f>tertiair!G16</f>
        <v>0</v>
      </c>
      <c r="H5" s="478">
        <f>tertiair!H16</f>
        <v>0</v>
      </c>
      <c r="I5" s="478">
        <f>tertiair!I16</f>
        <v>0</v>
      </c>
      <c r="J5" s="478">
        <f>tertiair!J16</f>
        <v>0</v>
      </c>
      <c r="K5" s="478">
        <f>tertiair!K16</f>
        <v>0</v>
      </c>
      <c r="L5" s="478">
        <f ca="1">tertiair!L16</f>
        <v>0</v>
      </c>
      <c r="M5" s="478">
        <f>tertiair!M16</f>
        <v>0</v>
      </c>
      <c r="N5" s="478">
        <f ca="1">tertiair!N16</f>
        <v>4405.5591756578106</v>
      </c>
      <c r="O5" s="478">
        <f>tertiair!O16</f>
        <v>9.3800000000000008</v>
      </c>
      <c r="P5" s="479">
        <f>tertiair!P16</f>
        <v>76.266666666666666</v>
      </c>
      <c r="Q5" s="477">
        <f t="shared" ref="Q5:Q14" ca="1" si="0">SUM(B5:P5)</f>
        <v>100439.5105819243</v>
      </c>
    </row>
    <row r="6" spans="1:17">
      <c r="A6" s="477" t="s">
        <v>194</v>
      </c>
      <c r="B6" s="478">
        <f>'openbare verlichting'!B8</f>
        <v>2357.9839999999999</v>
      </c>
      <c r="C6" s="478"/>
      <c r="D6" s="478"/>
      <c r="E6" s="478"/>
      <c r="F6" s="478"/>
      <c r="G6" s="478"/>
      <c r="H6" s="478"/>
      <c r="I6" s="478"/>
      <c r="J6" s="478"/>
      <c r="K6" s="478"/>
      <c r="L6" s="478"/>
      <c r="M6" s="478"/>
      <c r="N6" s="478"/>
      <c r="O6" s="478"/>
      <c r="P6" s="479"/>
      <c r="Q6" s="477">
        <f t="shared" si="0"/>
        <v>2357.9839999999999</v>
      </c>
    </row>
    <row r="7" spans="1:17">
      <c r="A7" s="477" t="s">
        <v>112</v>
      </c>
      <c r="B7" s="478">
        <f>landbouw!B8</f>
        <v>4816.4422000000004</v>
      </c>
      <c r="C7" s="478">
        <f>landbouw!C8</f>
        <v>2498.7857142857142</v>
      </c>
      <c r="D7" s="478">
        <f>landbouw!D8</f>
        <v>576.07065142558986</v>
      </c>
      <c r="E7" s="478">
        <f>landbouw!E8</f>
        <v>44.611904967828508</v>
      </c>
      <c r="F7" s="478">
        <f>landbouw!F8</f>
        <v>12220.231392697511</v>
      </c>
      <c r="G7" s="478">
        <f>landbouw!G8</f>
        <v>0</v>
      </c>
      <c r="H7" s="478">
        <f>landbouw!H8</f>
        <v>0</v>
      </c>
      <c r="I7" s="478">
        <f>landbouw!I8</f>
        <v>0</v>
      </c>
      <c r="J7" s="478">
        <f>landbouw!J8</f>
        <v>738.41434091183135</v>
      </c>
      <c r="K7" s="478">
        <f>landbouw!K8</f>
        <v>0</v>
      </c>
      <c r="L7" s="478">
        <f>landbouw!L8</f>
        <v>0</v>
      </c>
      <c r="M7" s="478">
        <f>landbouw!M8</f>
        <v>0</v>
      </c>
      <c r="N7" s="478">
        <f>landbouw!N8</f>
        <v>0</v>
      </c>
      <c r="O7" s="478">
        <f>landbouw!O8</f>
        <v>0</v>
      </c>
      <c r="P7" s="479">
        <f>landbouw!P8</f>
        <v>0</v>
      </c>
      <c r="Q7" s="477">
        <f t="shared" si="0"/>
        <v>20894.556204288474</v>
      </c>
    </row>
    <row r="8" spans="1:17">
      <c r="A8" s="477" t="s">
        <v>650</v>
      </c>
      <c r="B8" s="478">
        <f>industrie!B18</f>
        <v>76158.872900000002</v>
      </c>
      <c r="C8" s="478">
        <f>industrie!C18</f>
        <v>0</v>
      </c>
      <c r="D8" s="478">
        <f>industrie!D18</f>
        <v>76430.796101899105</v>
      </c>
      <c r="E8" s="478">
        <f>industrie!E18</f>
        <v>2026.3757020394646</v>
      </c>
      <c r="F8" s="478">
        <f>industrie!F18</f>
        <v>13185.045376885528</v>
      </c>
      <c r="G8" s="478">
        <f>industrie!G18</f>
        <v>0</v>
      </c>
      <c r="H8" s="478">
        <f>industrie!H18</f>
        <v>0</v>
      </c>
      <c r="I8" s="478">
        <f>industrie!I18</f>
        <v>0</v>
      </c>
      <c r="J8" s="478">
        <f>industrie!J18</f>
        <v>164.55671616953003</v>
      </c>
      <c r="K8" s="478">
        <f>industrie!K18</f>
        <v>0</v>
      </c>
      <c r="L8" s="478">
        <f>industrie!L18</f>
        <v>0</v>
      </c>
      <c r="M8" s="478">
        <f>industrie!M18</f>
        <v>0</v>
      </c>
      <c r="N8" s="478">
        <f>industrie!N18</f>
        <v>7479.5286170841264</v>
      </c>
      <c r="O8" s="478">
        <f>industrie!O18</f>
        <v>0</v>
      </c>
      <c r="P8" s="479">
        <f>industrie!P18</f>
        <v>0</v>
      </c>
      <c r="Q8" s="477">
        <f t="shared" si="0"/>
        <v>175445.17541407773</v>
      </c>
    </row>
    <row r="9" spans="1:17" s="483" customFormat="1">
      <c r="A9" s="481" t="s">
        <v>571</v>
      </c>
      <c r="B9" s="482">
        <f>transport!B14</f>
        <v>24.306322866758965</v>
      </c>
      <c r="C9" s="482">
        <f>transport!C14</f>
        <v>0</v>
      </c>
      <c r="D9" s="482">
        <f>transport!D14</f>
        <v>69.398020148947495</v>
      </c>
      <c r="E9" s="482">
        <f>transport!E14</f>
        <v>436.65883744672976</v>
      </c>
      <c r="F9" s="482">
        <f>transport!F14</f>
        <v>0</v>
      </c>
      <c r="G9" s="482">
        <f>transport!G14</f>
        <v>129481.62938132478</v>
      </c>
      <c r="H9" s="482">
        <f>transport!H14</f>
        <v>26092.954245346817</v>
      </c>
      <c r="I9" s="482">
        <f>transport!I14</f>
        <v>0</v>
      </c>
      <c r="J9" s="482">
        <f>transport!J14</f>
        <v>0</v>
      </c>
      <c r="K9" s="482">
        <f>transport!K14</f>
        <v>0</v>
      </c>
      <c r="L9" s="482">
        <f>transport!L14</f>
        <v>0</v>
      </c>
      <c r="M9" s="482">
        <f>transport!M14</f>
        <v>8293.163560226767</v>
      </c>
      <c r="N9" s="482">
        <f>transport!N14</f>
        <v>0</v>
      </c>
      <c r="O9" s="482">
        <f>transport!O14</f>
        <v>0</v>
      </c>
      <c r="P9" s="482">
        <f>transport!P14</f>
        <v>0</v>
      </c>
      <c r="Q9" s="481">
        <f>SUM(B9:P9)</f>
        <v>164398.11036736079</v>
      </c>
    </row>
    <row r="10" spans="1:17">
      <c r="A10" s="477" t="s">
        <v>561</v>
      </c>
      <c r="B10" s="478">
        <f>transport!B54</f>
        <v>1064.3667856176266</v>
      </c>
      <c r="C10" s="478">
        <f>transport!C54</f>
        <v>0</v>
      </c>
      <c r="D10" s="478">
        <f>transport!D54</f>
        <v>0</v>
      </c>
      <c r="E10" s="478">
        <f>transport!E54</f>
        <v>0</v>
      </c>
      <c r="F10" s="478">
        <f>transport!F54</f>
        <v>0</v>
      </c>
      <c r="G10" s="478">
        <f>transport!G54</f>
        <v>2738.1845454783474</v>
      </c>
      <c r="H10" s="478">
        <f>transport!H54</f>
        <v>0</v>
      </c>
      <c r="I10" s="478">
        <f>transport!I54</f>
        <v>0</v>
      </c>
      <c r="J10" s="478">
        <f>transport!J54</f>
        <v>0</v>
      </c>
      <c r="K10" s="478">
        <f>transport!K54</f>
        <v>0</v>
      </c>
      <c r="L10" s="478">
        <f>transport!L54</f>
        <v>0</v>
      </c>
      <c r="M10" s="478">
        <f>transport!M54</f>
        <v>156.15068238948155</v>
      </c>
      <c r="N10" s="478">
        <f>transport!N54</f>
        <v>0</v>
      </c>
      <c r="O10" s="478">
        <f>transport!O54</f>
        <v>0</v>
      </c>
      <c r="P10" s="479">
        <f>transport!P54</f>
        <v>0</v>
      </c>
      <c r="Q10" s="477">
        <f t="shared" si="0"/>
        <v>3958.7020134854556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1915.8920000000001</v>
      </c>
      <c r="C14" s="485"/>
      <c r="D14" s="485">
        <f>'SEAP template'!E25</f>
        <v>6030.3482321034598</v>
      </c>
      <c r="E14" s="485"/>
      <c r="F14" s="485"/>
      <c r="G14" s="485"/>
      <c r="H14" s="485"/>
      <c r="I14" s="485"/>
      <c r="J14" s="485"/>
      <c r="K14" s="485"/>
      <c r="L14" s="485"/>
      <c r="M14" s="485"/>
      <c r="N14" s="485"/>
      <c r="O14" s="485"/>
      <c r="P14" s="486"/>
      <c r="Q14" s="477">
        <f t="shared" si="0"/>
        <v>7946.2402321034597</v>
      </c>
    </row>
    <row r="15" spans="1:17" s="487" customFormat="1">
      <c r="A15" s="1051" t="s">
        <v>565</v>
      </c>
      <c r="B15" s="991">
        <f ca="1">SUM(B4:B14)</f>
        <v>200054.48575710846</v>
      </c>
      <c r="C15" s="991">
        <f t="shared" ref="C15:Q15" ca="1" si="1">SUM(C4:C14)</f>
        <v>2579.7857142857142</v>
      </c>
      <c r="D15" s="991">
        <f t="shared" ca="1" si="1"/>
        <v>228082.32251921497</v>
      </c>
      <c r="E15" s="991">
        <f t="shared" si="1"/>
        <v>9812.2154382224708</v>
      </c>
      <c r="F15" s="991">
        <f t="shared" ca="1" si="1"/>
        <v>78727.79906131218</v>
      </c>
      <c r="G15" s="991">
        <f t="shared" si="1"/>
        <v>132219.81392680312</v>
      </c>
      <c r="H15" s="991">
        <f t="shared" si="1"/>
        <v>26092.954245346817</v>
      </c>
      <c r="I15" s="991">
        <f t="shared" si="1"/>
        <v>0</v>
      </c>
      <c r="J15" s="991">
        <f t="shared" si="1"/>
        <v>902.97105708136132</v>
      </c>
      <c r="K15" s="991">
        <f t="shared" si="1"/>
        <v>0</v>
      </c>
      <c r="L15" s="991">
        <f t="shared" ca="1" si="1"/>
        <v>0</v>
      </c>
      <c r="M15" s="991">
        <f t="shared" si="1"/>
        <v>8449.3142426162485</v>
      </c>
      <c r="N15" s="991">
        <f t="shared" ca="1" si="1"/>
        <v>38705.007751035439</v>
      </c>
      <c r="O15" s="991">
        <f t="shared" si="1"/>
        <v>531.5333333333333</v>
      </c>
      <c r="P15" s="991">
        <f t="shared" si="1"/>
        <v>1735.0666666666666</v>
      </c>
      <c r="Q15" s="991">
        <f t="shared" ca="1" si="1"/>
        <v>727893.26971302682</v>
      </c>
    </row>
    <row r="17" spans="1:17">
      <c r="A17" s="488" t="s">
        <v>566</v>
      </c>
      <c r="B17" s="787">
        <f ca="1">huishoudens!B10</f>
        <v>0.19412546724024649</v>
      </c>
      <c r="C17" s="787">
        <f ca="1">huishoudens!C10</f>
        <v>0.23190278653200633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13953.254115739497</v>
      </c>
      <c r="C22" s="478">
        <f t="shared" ref="C22:C32" ca="1" si="3">C4*$C$17</f>
        <v>0</v>
      </c>
      <c r="D22" s="478">
        <f t="shared" ref="D22:D32" si="4">D4*$D$17</f>
        <v>19678.589149627813</v>
      </c>
      <c r="E22" s="478">
        <f t="shared" ref="E22:E32" si="5">E4*$E$17</f>
        <v>1579.6173138269005</v>
      </c>
      <c r="F22" s="478">
        <f t="shared" ref="F22:F32" si="6">F4*$F$17</f>
        <v>12601.649332791067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47813.109911985273</v>
      </c>
    </row>
    <row r="23" spans="1:17">
      <c r="A23" s="477" t="s">
        <v>156</v>
      </c>
      <c r="B23" s="478">
        <f t="shared" ca="1" si="2"/>
        <v>8122.0381753694337</v>
      </c>
      <c r="C23" s="478">
        <f t="shared" ca="1" si="3"/>
        <v>18.784125709092514</v>
      </c>
      <c r="D23" s="478">
        <f t="shared" ca="1" si="4"/>
        <v>9606.5041721270391</v>
      </c>
      <c r="E23" s="478">
        <f t="shared" si="5"/>
        <v>78.519847758537281</v>
      </c>
      <c r="F23" s="478">
        <f t="shared" ca="1" si="6"/>
        <v>1635.4641191006151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19461.310440064717</v>
      </c>
    </row>
    <row r="24" spans="1:17">
      <c r="A24" s="477" t="s">
        <v>194</v>
      </c>
      <c r="B24" s="478">
        <f t="shared" ca="1" si="2"/>
        <v>457.74474574502534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457.74474574502534</v>
      </c>
    </row>
    <row r="25" spans="1:17">
      <c r="A25" s="477" t="s">
        <v>112</v>
      </c>
      <c r="B25" s="478">
        <f t="shared" ca="1" si="2"/>
        <v>934.99409251064083</v>
      </c>
      <c r="C25" s="478">
        <f t="shared" ca="1" si="3"/>
        <v>579.47537008922689</v>
      </c>
      <c r="D25" s="478">
        <f t="shared" si="4"/>
        <v>116.36627158796915</v>
      </c>
      <c r="E25" s="478">
        <f t="shared" si="5"/>
        <v>10.126902427697072</v>
      </c>
      <c r="F25" s="478">
        <f t="shared" si="6"/>
        <v>3262.8017818502358</v>
      </c>
      <c r="G25" s="478">
        <f t="shared" si="7"/>
        <v>0</v>
      </c>
      <c r="H25" s="478">
        <f t="shared" si="8"/>
        <v>0</v>
      </c>
      <c r="I25" s="478">
        <f t="shared" si="9"/>
        <v>0</v>
      </c>
      <c r="J25" s="478">
        <f t="shared" si="10"/>
        <v>261.39867668278828</v>
      </c>
      <c r="K25" s="478">
        <f t="shared" si="11"/>
        <v>0</v>
      </c>
      <c r="L25" s="478">
        <f t="shared" si="12"/>
        <v>0</v>
      </c>
      <c r="M25" s="478">
        <f t="shared" si="13"/>
        <v>0</v>
      </c>
      <c r="N25" s="478">
        <f t="shared" si="14"/>
        <v>0</v>
      </c>
      <c r="O25" s="478">
        <f t="shared" si="15"/>
        <v>0</v>
      </c>
      <c r="P25" s="479">
        <f t="shared" si="16"/>
        <v>0</v>
      </c>
      <c r="Q25" s="477">
        <f t="shared" ca="1" si="17"/>
        <v>5165.1630951485577</v>
      </c>
    </row>
    <row r="26" spans="1:17">
      <c r="A26" s="477" t="s">
        <v>650</v>
      </c>
      <c r="B26" s="478">
        <f t="shared" ca="1" si="2"/>
        <v>14784.376786203045</v>
      </c>
      <c r="C26" s="478">
        <f t="shared" ca="1" si="3"/>
        <v>0</v>
      </c>
      <c r="D26" s="478">
        <f t="shared" si="4"/>
        <v>15439.02081258362</v>
      </c>
      <c r="E26" s="478">
        <f t="shared" si="5"/>
        <v>459.98728436295846</v>
      </c>
      <c r="F26" s="478">
        <f t="shared" si="6"/>
        <v>3520.4071156284363</v>
      </c>
      <c r="G26" s="478">
        <f t="shared" si="7"/>
        <v>0</v>
      </c>
      <c r="H26" s="478">
        <f t="shared" si="8"/>
        <v>0</v>
      </c>
      <c r="I26" s="478">
        <f t="shared" si="9"/>
        <v>0</v>
      </c>
      <c r="J26" s="478">
        <f t="shared" si="10"/>
        <v>58.253077524013626</v>
      </c>
      <c r="K26" s="478">
        <f t="shared" si="11"/>
        <v>0</v>
      </c>
      <c r="L26" s="478">
        <f t="shared" si="12"/>
        <v>0</v>
      </c>
      <c r="M26" s="478">
        <f t="shared" si="13"/>
        <v>0</v>
      </c>
      <c r="N26" s="478">
        <f t="shared" si="14"/>
        <v>0</v>
      </c>
      <c r="O26" s="478">
        <f t="shared" si="15"/>
        <v>0</v>
      </c>
      <c r="P26" s="479">
        <f t="shared" si="16"/>
        <v>0</v>
      </c>
      <c r="Q26" s="477">
        <f t="shared" ca="1" si="17"/>
        <v>34262.045076302078</v>
      </c>
    </row>
    <row r="27" spans="1:17" s="483" customFormat="1">
      <c r="A27" s="481" t="s">
        <v>571</v>
      </c>
      <c r="B27" s="781">
        <f t="shared" ca="1" si="2"/>
        <v>4.7184762834018716</v>
      </c>
      <c r="C27" s="482">
        <f t="shared" ca="1" si="3"/>
        <v>0</v>
      </c>
      <c r="D27" s="482">
        <f t="shared" si="4"/>
        <v>14.018400070087395</v>
      </c>
      <c r="E27" s="482">
        <f t="shared" si="5"/>
        <v>99.121556100407659</v>
      </c>
      <c r="F27" s="482">
        <f t="shared" si="6"/>
        <v>0</v>
      </c>
      <c r="G27" s="482">
        <f t="shared" si="7"/>
        <v>34571.595044813716</v>
      </c>
      <c r="H27" s="482">
        <f t="shared" si="8"/>
        <v>6497.1456070913573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41186.599084358968</v>
      </c>
    </row>
    <row r="28" spans="1:17">
      <c r="A28" s="477" t="s">
        <v>561</v>
      </c>
      <c r="B28" s="478">
        <f t="shared" ca="1" si="2"/>
        <v>206.62069957302103</v>
      </c>
      <c r="C28" s="478">
        <f t="shared" ca="1" si="3"/>
        <v>0</v>
      </c>
      <c r="D28" s="478">
        <f t="shared" si="4"/>
        <v>0</v>
      </c>
      <c r="E28" s="478">
        <f t="shared" si="5"/>
        <v>0</v>
      </c>
      <c r="F28" s="478">
        <f t="shared" si="6"/>
        <v>0</v>
      </c>
      <c r="G28" s="478">
        <f t="shared" si="7"/>
        <v>731.09527364271878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937.71597321573984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371.92342968185034</v>
      </c>
      <c r="C32" s="478">
        <f t="shared" ca="1" si="3"/>
        <v>0</v>
      </c>
      <c r="D32" s="478">
        <f t="shared" si="4"/>
        <v>1218.1303428848989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1590.0537725667493</v>
      </c>
    </row>
    <row r="33" spans="1:17" s="487" customFormat="1">
      <c r="A33" s="1051" t="s">
        <v>565</v>
      </c>
      <c r="B33" s="991">
        <f ca="1">SUM(B22:B32)</f>
        <v>38835.670521105916</v>
      </c>
      <c r="C33" s="991">
        <f t="shared" ref="C33:Q33" ca="1" si="18">SUM(C22:C32)</f>
        <v>598.25949579831945</v>
      </c>
      <c r="D33" s="991">
        <f t="shared" ca="1" si="18"/>
        <v>46072.629148881431</v>
      </c>
      <c r="E33" s="991">
        <f t="shared" si="18"/>
        <v>2227.3729044765009</v>
      </c>
      <c r="F33" s="991">
        <f t="shared" ca="1" si="18"/>
        <v>21020.322349370355</v>
      </c>
      <c r="G33" s="991">
        <f t="shared" si="18"/>
        <v>35302.690318456436</v>
      </c>
      <c r="H33" s="991">
        <f t="shared" si="18"/>
        <v>6497.1456070913573</v>
      </c>
      <c r="I33" s="991">
        <f t="shared" si="18"/>
        <v>0</v>
      </c>
      <c r="J33" s="991">
        <f t="shared" si="18"/>
        <v>319.65175420680191</v>
      </c>
      <c r="K33" s="991">
        <f t="shared" si="18"/>
        <v>0</v>
      </c>
      <c r="L33" s="991">
        <f t="shared" ca="1" si="18"/>
        <v>0</v>
      </c>
      <c r="M33" s="991">
        <f t="shared" si="18"/>
        <v>0</v>
      </c>
      <c r="N33" s="991">
        <f t="shared" ca="1" si="18"/>
        <v>0</v>
      </c>
      <c r="O33" s="991">
        <f t="shared" si="18"/>
        <v>0</v>
      </c>
      <c r="P33" s="991">
        <f t="shared" si="18"/>
        <v>0</v>
      </c>
      <c r="Q33" s="991">
        <f t="shared" ca="1" si="18"/>
        <v>150873.74209938711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24416.559403954183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43.65</v>
      </c>
      <c r="C8" s="1068">
        <f>'SEAP template'!C76</f>
        <v>1762.2</v>
      </c>
      <c r="D8" s="1068">
        <f>'SEAP template'!D76</f>
        <v>2073.1764705882356</v>
      </c>
      <c r="E8" s="1068">
        <f>'SEAP template'!E76</f>
        <v>0</v>
      </c>
      <c r="F8" s="1068">
        <f>'SEAP template'!F76</f>
        <v>0</v>
      </c>
      <c r="G8" s="1068">
        <f>'SEAP template'!G76</f>
        <v>0</v>
      </c>
      <c r="H8" s="1068">
        <f>'SEAP template'!H76</f>
        <v>0</v>
      </c>
      <c r="I8" s="1068">
        <f>'SEAP template'!I76</f>
        <v>0</v>
      </c>
      <c r="J8" s="1068">
        <f>'SEAP template'!J76</f>
        <v>51.352941176470587</v>
      </c>
      <c r="K8" s="1068">
        <f>'SEAP template'!K76</f>
        <v>0</v>
      </c>
      <c r="L8" s="1068">
        <f>'SEAP template'!L76</f>
        <v>0</v>
      </c>
      <c r="M8" s="1068">
        <f>'SEAP template'!M76</f>
        <v>0</v>
      </c>
      <c r="N8" s="1068">
        <f>'SEAP template'!N76</f>
        <v>0</v>
      </c>
      <c r="O8" s="1068">
        <f>'SEAP template'!O76</f>
        <v>0</v>
      </c>
      <c r="P8" s="1069">
        <f>'SEAP template'!Q76</f>
        <v>418.78164705882364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24460.209403954184</v>
      </c>
      <c r="C10" s="1072">
        <f>SUM(C4:C9)</f>
        <v>1762.2</v>
      </c>
      <c r="D10" s="1072">
        <f t="shared" ref="D10:H10" si="0">SUM(D8:D9)</f>
        <v>2073.1764705882356</v>
      </c>
      <c r="E10" s="1072">
        <f t="shared" si="0"/>
        <v>0</v>
      </c>
      <c r="F10" s="1072">
        <f t="shared" si="0"/>
        <v>0</v>
      </c>
      <c r="G10" s="1072">
        <f t="shared" si="0"/>
        <v>0</v>
      </c>
      <c r="H10" s="1072">
        <f t="shared" si="0"/>
        <v>0</v>
      </c>
      <c r="I10" s="1072">
        <f>SUM(I8:I9)</f>
        <v>0</v>
      </c>
      <c r="J10" s="1072">
        <f>SUM(J8:J9)</f>
        <v>51.352941176470587</v>
      </c>
      <c r="K10" s="1072">
        <f t="shared" ref="K10:L10" si="1">SUM(K8:K9)</f>
        <v>0</v>
      </c>
      <c r="L10" s="1072">
        <f t="shared" si="1"/>
        <v>0</v>
      </c>
      <c r="M10" s="1072">
        <f>SUM(M8:M9)</f>
        <v>0</v>
      </c>
      <c r="N10" s="1072">
        <f>SUM(N8:N9)</f>
        <v>0</v>
      </c>
      <c r="O10" s="1072">
        <f>SUM(O8:O9)</f>
        <v>0</v>
      </c>
      <c r="P10" s="1072">
        <f>SUM(P8:P9)</f>
        <v>418.78164705882364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0.19412546724024649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62.357142857142833</v>
      </c>
      <c r="C17" s="1074">
        <f>'SEAP template'!C87</f>
        <v>2517.4285714285716</v>
      </c>
      <c r="D17" s="1069">
        <f>'SEAP template'!D87</f>
        <v>2961.680672268908</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598.25949579831945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62.357142857142833</v>
      </c>
      <c r="C20" s="1072">
        <f>SUM(C17:C19)</f>
        <v>2517.4285714285716</v>
      </c>
      <c r="D20" s="1072">
        <f t="shared" ref="D20:H20" si="2">SUM(D17:D19)</f>
        <v>2961.680672268908</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598.25949579831945</v>
      </c>
    </row>
    <row r="22" spans="1:16">
      <c r="A22" s="488" t="s">
        <v>888</v>
      </c>
      <c r="B22" s="787" t="s">
        <v>882</v>
      </c>
      <c r="C22" s="787">
        <f ca="1">'EF ele_warmte'!B22</f>
        <v>0.23190278653200633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0.19412546724024649</v>
      </c>
      <c r="C17" s="525">
        <f ca="1">'EF ele_warmte'!B22</f>
        <v>0.23190278653200633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2019-08-12T08:09:40Z</dcterms:modified>
</cp:coreProperties>
</file>