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K18"/>
  <c r="J18"/>
  <c r="J88" i="14" s="1"/>
  <c r="J18" i="59" s="1"/>
  <c r="I18" i="18"/>
  <c r="H18"/>
  <c r="G18"/>
  <c r="H88" i="14" s="1"/>
  <c r="F18" i="18"/>
  <c r="F20" s="1"/>
  <c r="E18"/>
  <c r="F88" i="14" s="1"/>
  <c r="F18" i="59" s="1"/>
  <c r="D18" i="18"/>
  <c r="D20" s="1"/>
  <c r="C18"/>
  <c r="B18"/>
  <c r="L9"/>
  <c r="L10" s="1"/>
  <c r="K9"/>
  <c r="I9"/>
  <c r="G9"/>
  <c r="F9"/>
  <c r="F10" s="1"/>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E9" s="1"/>
  <c r="R89"/>
  <c r="Q89"/>
  <c r="P89"/>
  <c r="C9" s="1"/>
  <c r="O89"/>
  <c r="N89"/>
  <c r="B9" s="1"/>
  <c r="M89"/>
  <c r="W61"/>
  <c r="V61"/>
  <c r="N6" i="17" s="1"/>
  <c r="U61" i="18"/>
  <c r="T61"/>
  <c r="S61"/>
  <c r="F6" i="17" s="1"/>
  <c r="R61" i="18"/>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L20"/>
  <c r="K20"/>
  <c r="D88" i="14"/>
  <c r="D18" i="59" s="1"/>
  <c r="B17" i="18"/>
  <c r="B20" s="1"/>
  <c r="G12"/>
  <c r="F12"/>
  <c r="E12"/>
  <c r="D12"/>
  <c r="C12"/>
  <c r="K10"/>
  <c r="G10"/>
  <c r="E77" i="14"/>
  <c r="E9" i="59" s="1"/>
  <c r="B6" i="18"/>
  <c r="B5"/>
  <c r="B73" i="14" s="1"/>
  <c r="B5" i="59" s="1"/>
  <c r="B4" i="18"/>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O31"/>
  <c r="P27"/>
  <c r="P25"/>
  <c r="O89" i="14"/>
  <c r="O19" i="59" s="1"/>
  <c r="N89" i="14"/>
  <c r="N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P52" s="1"/>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78"/>
  <c r="Q52"/>
  <c r="R44"/>
  <c r="E25"/>
  <c r="E55" s="1"/>
  <c r="C25"/>
  <c r="B14" i="48" s="1"/>
  <c r="L26" i="14"/>
  <c r="J26"/>
  <c r="I26"/>
  <c r="H26"/>
  <c r="R12"/>
  <c r="L90" l="1"/>
  <c r="L18" i="59"/>
  <c r="L20" s="1"/>
  <c r="N78" i="14"/>
  <c r="N9" i="59"/>
  <c r="H90" i="14"/>
  <c r="H18" i="59"/>
  <c r="H20" s="1"/>
  <c r="K78" i="14"/>
  <c r="O10" i="59"/>
  <c r="M22" i="14"/>
  <c r="N10" i="59"/>
  <c r="G88" i="14"/>
  <c r="G18" i="59" s="1"/>
  <c r="G20" s="1"/>
  <c r="K20"/>
  <c r="C98" i="18"/>
  <c r="H101" s="1"/>
  <c r="D13" i="15"/>
  <c r="C16" i="16"/>
  <c r="P22" i="14"/>
  <c r="E20" i="59"/>
  <c r="C13" i="15"/>
  <c r="B16" i="16"/>
  <c r="D14" i="48"/>
  <c r="M77" i="14"/>
  <c r="M9" i="59" s="1"/>
  <c r="H9" i="18"/>
  <c r="Q22" i="14"/>
  <c r="G10" i="59"/>
  <c r="D22" i="14"/>
  <c r="L22"/>
  <c r="E10" i="59"/>
  <c r="B8" i="18"/>
  <c r="G77" i="14"/>
  <c r="G9" i="59" s="1"/>
  <c r="I77" i="14"/>
  <c r="I9" i="59" s="1"/>
  <c r="B13" i="15"/>
  <c r="B10" i="18"/>
  <c r="N13" i="15"/>
  <c r="L13"/>
  <c r="F77" i="14"/>
  <c r="F9" i="59" s="1"/>
  <c r="I101" i="18"/>
  <c r="H8" s="1"/>
  <c r="E101"/>
  <c r="E8" s="1"/>
  <c r="F101"/>
  <c r="D101"/>
  <c r="G101"/>
  <c r="I8" s="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N90" l="1"/>
  <c r="N18" i="59"/>
  <c r="N20" s="1"/>
  <c r="C101" i="18"/>
  <c r="J8" s="1"/>
  <c r="O8" s="1"/>
  <c r="O10" s="1"/>
  <c r="H78" i="14"/>
  <c r="H9" i="59"/>
  <c r="H10" s="1"/>
  <c r="O90" i="14"/>
  <c r="O18" i="59"/>
  <c r="O20" s="1"/>
  <c r="D10"/>
  <c r="Q77" i="14"/>
  <c r="P9" i="59" s="1"/>
  <c r="Q14" i="48"/>
  <c r="C77" i="14"/>
  <c r="C9" i="59" s="1"/>
  <c r="J87" i="14"/>
  <c r="J20" i="18"/>
  <c r="H20"/>
  <c r="M87" i="14"/>
  <c r="F76"/>
  <c r="E10" i="18"/>
  <c r="C20"/>
  <c r="O17"/>
  <c r="O20" s="1"/>
  <c r="D87" i="14"/>
  <c r="D17" i="59" s="1"/>
  <c r="D20" s="1"/>
  <c r="H10" i="18"/>
  <c r="M76" i="14"/>
  <c r="B88"/>
  <c r="B18" i="59" s="1"/>
  <c r="I17" i="18"/>
  <c r="D76" i="14"/>
  <c r="D8" i="59" s="1"/>
  <c r="C10" i="18"/>
  <c r="C88" i="14"/>
  <c r="C18" i="59" s="1"/>
  <c r="I10" i="18"/>
  <c r="I76" i="14"/>
  <c r="I8" i="59" s="1"/>
  <c r="I10" s="1"/>
  <c r="B77" i="14"/>
  <c r="B9" i="59" s="1"/>
  <c r="E20" i="18"/>
  <c r="F87" i="14"/>
  <c r="Q88"/>
  <c r="P18" i="59" s="1"/>
  <c r="H14" i="15"/>
  <c r="H16" s="1"/>
  <c r="G14"/>
  <c r="G16" s="1"/>
  <c r="M90" i="14" l="1"/>
  <c r="M17" i="59"/>
  <c r="M20" s="1"/>
  <c r="F78" i="14"/>
  <c r="F8" i="59"/>
  <c r="F10" s="1"/>
  <c r="I10" i="14"/>
  <c r="I16" s="1"/>
  <c r="H5" i="48"/>
  <c r="F90" i="14"/>
  <c r="F17" i="59"/>
  <c r="F20" s="1"/>
  <c r="H10" i="14"/>
  <c r="H16" s="1"/>
  <c r="G5" i="48"/>
  <c r="J90" i="14"/>
  <c r="J17" i="59"/>
  <c r="J20" s="1"/>
  <c r="M78" i="14"/>
  <c r="M8" i="59"/>
  <c r="M10" s="1"/>
  <c r="Q76" i="14"/>
  <c r="D78"/>
  <c r="I78"/>
  <c r="J10" i="18"/>
  <c r="J76" i="14"/>
  <c r="B76" s="1"/>
  <c r="I87"/>
  <c r="I17" i="59" s="1"/>
  <c r="I20" s="1"/>
  <c r="I20" i="18"/>
  <c r="Q87" i="14"/>
  <c r="D90"/>
  <c r="C87"/>
  <c r="A31" i="23"/>
  <c r="A32"/>
  <c r="A33"/>
  <c r="B78" i="14" l="1"/>
  <c r="B8" i="59"/>
  <c r="B10" s="1"/>
  <c r="C90" i="14"/>
  <c r="C17" i="59"/>
  <c r="C20" s="1"/>
  <c r="J78" i="14"/>
  <c r="J8" i="59"/>
  <c r="J10" s="1"/>
  <c r="Q90" i="14"/>
  <c r="B17" i="6" s="1"/>
  <c r="P17" i="59"/>
  <c r="P20" s="1"/>
  <c r="Q78" i="14"/>
  <c r="B9" i="6" s="1"/>
  <c r="P8" i="59"/>
  <c r="P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F16"/>
  <c r="N16"/>
  <c r="D16"/>
  <c r="L18"/>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11" i="14" l="1"/>
  <c r="C4" i="48"/>
  <c r="F24"/>
  <c r="F32"/>
  <c r="F29"/>
  <c r="F31"/>
  <c r="F30"/>
  <c r="F27"/>
  <c r="F28"/>
  <c r="L10" i="14"/>
  <c r="L16" s="1"/>
  <c r="L27" s="1"/>
  <c r="K5" i="48"/>
  <c r="D30"/>
  <c r="D31"/>
  <c r="D29"/>
  <c r="D28"/>
  <c r="D24"/>
  <c r="D32"/>
  <c r="L32"/>
  <c r="L27"/>
  <c r="L28"/>
  <c r="L22"/>
  <c r="L30"/>
  <c r="L29"/>
  <c r="L31"/>
  <c r="L24"/>
  <c r="Q10" i="14"/>
  <c r="P5" i="48"/>
  <c r="P23" s="1"/>
  <c r="K28"/>
  <c r="K32"/>
  <c r="K24"/>
  <c r="K29"/>
  <c r="K26"/>
  <c r="K27"/>
  <c r="K30"/>
  <c r="K31"/>
  <c r="K22"/>
  <c r="K25"/>
  <c r="B7"/>
  <c r="C24" i="14"/>
  <c r="C26" s="1"/>
  <c r="J15" i="16"/>
  <c r="D4" i="48"/>
  <c r="D22" s="1"/>
  <c r="E11" i="14"/>
  <c r="H32" i="48"/>
  <c r="H28"/>
  <c r="H26"/>
  <c r="H29"/>
  <c r="H22"/>
  <c r="H25"/>
  <c r="H24"/>
  <c r="H30"/>
  <c r="H23"/>
  <c r="G25"/>
  <c r="G24"/>
  <c r="G26"/>
  <c r="G29"/>
  <c r="G22"/>
  <c r="G30"/>
  <c r="G32"/>
  <c r="G23"/>
  <c r="C11" i="14"/>
  <c r="B4" i="48"/>
  <c r="N31"/>
  <c r="N24"/>
  <c r="N32"/>
  <c r="N30"/>
  <c r="N29"/>
  <c r="N28"/>
  <c r="N27"/>
  <c r="C19" i="14"/>
  <c r="B10" i="48"/>
  <c r="E32"/>
  <c r="E28"/>
  <c r="E24"/>
  <c r="E29"/>
  <c r="E30"/>
  <c r="E31"/>
  <c r="M26"/>
  <c r="M25"/>
  <c r="M32"/>
  <c r="M22"/>
  <c r="M24"/>
  <c r="M30"/>
  <c r="M29"/>
  <c r="M23"/>
  <c r="J24"/>
  <c r="J30"/>
  <c r="J32"/>
  <c r="J29"/>
  <c r="J31"/>
  <c r="J28"/>
  <c r="J27"/>
  <c r="Q11" i="14"/>
  <c r="P4" i="48"/>
  <c r="P11" i="14"/>
  <c r="O4" i="48"/>
  <c r="I25"/>
  <c r="I22"/>
  <c r="I26"/>
  <c r="I32"/>
  <c r="I27"/>
  <c r="I31"/>
  <c r="I29"/>
  <c r="I28"/>
  <c r="I30"/>
  <c r="I24"/>
  <c r="G24" i="14"/>
  <c r="G26" s="1"/>
  <c r="F7" i="48"/>
  <c r="F25" s="1"/>
  <c r="L8"/>
  <c r="L26" s="1"/>
  <c r="M13" i="14"/>
  <c r="C16" i="15"/>
  <c r="C5" i="48" s="1"/>
  <c r="C18" i="16"/>
  <c r="D7" i="48"/>
  <c r="E24" i="14"/>
  <c r="D10"/>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L46" s="1"/>
  <c r="L61"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D16" s="1"/>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M12" i="22"/>
  <c r="M13" i="48"/>
  <c r="M31" s="1"/>
  <c r="N18" i="14"/>
  <c r="P22" i="16"/>
  <c r="Q43" i="14" s="1"/>
  <c r="Q13"/>
  <c r="Q16" s="1"/>
  <c r="Q27" s="1"/>
  <c r="P8" i="48"/>
  <c r="P26" s="1"/>
  <c r="K23"/>
  <c r="K15"/>
  <c r="L63" i="14"/>
  <c r="J7" i="48"/>
  <c r="J25" s="1"/>
  <c r="K24" i="14"/>
  <c r="K26" s="1"/>
  <c r="G11"/>
  <c r="F4" i="48"/>
  <c r="F22" s="1"/>
  <c r="O22"/>
  <c r="G13"/>
  <c r="H18" i="14"/>
  <c r="R18" s="1"/>
  <c r="H13" i="48"/>
  <c r="H31" s="1"/>
  <c r="I18" i="14"/>
  <c r="J10"/>
  <c r="J16" s="1"/>
  <c r="J27" s="1"/>
  <c r="I5" i="48"/>
  <c r="E9"/>
  <c r="E27" s="1"/>
  <c r="F20" i="14"/>
  <c r="F22" s="1"/>
  <c r="J46"/>
  <c r="J61" s="1"/>
  <c r="J63" s="1"/>
  <c r="K33" i="48"/>
  <c r="C20" i="14"/>
  <c r="B9" i="48"/>
  <c r="P22"/>
  <c r="P33" s="1"/>
  <c r="P15"/>
  <c r="C22" i="14"/>
  <c r="J12" i="17"/>
  <c r="K54" i="14" s="1"/>
  <c r="K56" s="1"/>
  <c r="C7" i="48"/>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N12"/>
  <c r="J12"/>
  <c r="F12"/>
  <c r="E12"/>
  <c r="B48" i="13"/>
  <c r="C48" s="1"/>
  <c r="N5" s="1"/>
  <c r="N8" s="1"/>
  <c r="C50"/>
  <c r="J5" s="1"/>
  <c r="J8" s="1"/>
  <c r="E12" l="1"/>
  <c r="F41" i="14" s="1"/>
  <c r="F11"/>
  <c r="E4" i="48"/>
  <c r="H19" i="14"/>
  <c r="G10" i="48"/>
  <c r="I23"/>
  <c r="I33" s="1"/>
  <c r="I15"/>
  <c r="P46" i="14"/>
  <c r="P61" s="1"/>
  <c r="E7" i="48"/>
  <c r="E25" s="1"/>
  <c r="F24" i="14"/>
  <c r="F26" s="1"/>
  <c r="G31" i="48"/>
  <c r="Q13"/>
  <c r="G9"/>
  <c r="H20" i="14"/>
  <c r="H22" s="1"/>
  <c r="H27" s="1"/>
  <c r="N19"/>
  <c r="M10" i="48"/>
  <c r="M28" s="1"/>
  <c r="O22" i="16"/>
  <c r="P43" i="14" s="1"/>
  <c r="P13"/>
  <c r="O8" i="48"/>
  <c r="O11" i="14"/>
  <c r="N4" i="48"/>
  <c r="N22" s="1"/>
  <c r="K11" i="14"/>
  <c r="J4" i="48"/>
  <c r="M14" i="22"/>
  <c r="Q46" i="14"/>
  <c r="Q61" s="1"/>
  <c r="Q63" s="1"/>
  <c r="P16"/>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J22" i="48" l="1"/>
  <c r="E22"/>
  <c r="Q4"/>
  <c r="M9"/>
  <c r="N20" i="14"/>
  <c r="N22" s="1"/>
  <c r="N27" s="1"/>
  <c r="N63" s="1"/>
  <c r="P63"/>
  <c r="R11"/>
  <c r="R19"/>
  <c r="J5" i="48"/>
  <c r="J23" s="1"/>
  <c r="K10" i="14"/>
  <c r="H9" i="48"/>
  <c r="I20" i="14"/>
  <c r="I22" s="1"/>
  <c r="I27" s="1"/>
  <c r="O26" i="48"/>
  <c r="O33" s="1"/>
  <c r="O15"/>
  <c r="G28"/>
  <c r="Q10"/>
  <c r="E5"/>
  <c r="E23" s="1"/>
  <c r="F10" i="14"/>
  <c r="G27" i="48"/>
  <c r="G33" s="1"/>
  <c r="G15"/>
  <c r="H63"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F13" l="1"/>
  <c r="F16" s="1"/>
  <c r="F27" s="1"/>
  <c r="E8" i="48"/>
  <c r="E26" s="1"/>
  <c r="K16" i="14"/>
  <c r="K27" s="1"/>
  <c r="I63"/>
  <c r="J15" i="48"/>
  <c r="J22" i="16"/>
  <c r="K43" i="14" s="1"/>
  <c r="K46" s="1"/>
  <c r="K61" s="1"/>
  <c r="K63" s="1"/>
  <c r="K13"/>
  <c r="J8" i="48"/>
  <c r="J26" s="1"/>
  <c r="R20" i="14"/>
  <c r="R22" s="1"/>
  <c r="J33" i="48"/>
  <c r="E33"/>
  <c r="H27"/>
  <c r="H33" s="1"/>
  <c r="H15"/>
  <c r="Q9"/>
  <c r="M27"/>
  <c r="M33" s="1"/>
  <c r="M15"/>
  <c r="F46" i="14"/>
  <c r="F61" s="1"/>
  <c r="O13"/>
  <c r="N8" i="48"/>
  <c r="N26" s="1"/>
  <c r="F8"/>
  <c r="G13" i="14"/>
  <c r="F63" l="1"/>
  <c r="R1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<sst xmlns="http://schemas.openxmlformats.org/spreadsheetml/2006/main" count="2419" uniqueCount="907">
  <si>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</si>
  <si>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</si>
  <si>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</si>
  <si>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</si>
  <si>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</si>
  <si>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</si>
  <si>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</si>
  <si>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</si>
  <si>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</si>
  <si>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</si>
  <si>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</si>
  <si>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</si>
  <si>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</si>
  <si>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</si>
  <si>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</si>
  <si>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</si>
  <si>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</si>
  <si>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</si>
  <si>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</si>
  <si>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</si>
  <si>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</si>
  <si>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</si>
  <si>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</si>
  <si>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</si>
  <si>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</si>
  <si>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</si>
  <si>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</si>
  <si>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</si>
  <si>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</si>
  <si>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</si>
  <si>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</si>
  <si>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</si>
  <si>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</si>
  <si>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</si>
  <si>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</si>
  <si>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</si>
  <si>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</si>
  <si>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</si>
  <si>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</si>
  <si>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</si>
  <si>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</si>
  <si>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</si>
  <si>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</si>
  <si>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</si>
  <si>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</si>
  <si>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</si>
  <si>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</si>
  <si>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</si>
  <si>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</si>
  <si>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</si>
  <si>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</si>
  <si>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</si>
  <si>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</si>
  <si>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</si>
  <si>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</si>
  <si>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</si>
  <si>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</si>
  <si>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</si>
  <si>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</si>
  <si>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</si>
  <si>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</si>
  <si>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</si>
  <si>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</si>
  <si>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</si>
  <si>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</si>
  <si>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</si>
  <si>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</si>
  <si>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</si>
  <si>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</si>
  <si>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</si>
  <si>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</si>
  <si>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</si>
  <si>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</si>
  <si>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</si>
  <si>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</si>
  <si>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</si>
  <si>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</si>
  <si>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</si>
  <si>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</si>
  <si>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</si>
  <si>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</si>
  <si>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</si>
  <si>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</si>
  <si>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</si>
  <si>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</si>
  <si>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</si>
  <si>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</si>
  <si>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</si>
  <si>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</si>
  <si>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</si>
  <si>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</si>
  <si>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</si>
  <si>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</si>
  <si>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</si>
  <si>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</si>
  <si>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</si>
  <si>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</si>
  <si>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</si>
  <si>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</si>
  <si>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</si>
  <si>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</si>
  <si>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</si>
  <si>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</si>
  <si>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</si>
  <si>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</si>
  <si>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</si>
  <si>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</si>
  <si>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</si>
  <si>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</si>
  <si>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</si>
  <si>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</si>
  <si>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</si>
  <si>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</si>
  <si>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</si>
  <si>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</si>
  <si>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</si>
  <si>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</si>
  <si>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</si>
  <si>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</si>
  <si>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</si>
  <si>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</si>
  <si>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</si>
  <si>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</si>
  <si>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</si>
  <si>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</si>
  <si>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</si>
  <si>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</si>
  <si>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</si>
  <si>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</si>
  <si>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</si>
  <si>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</si>
  <si>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</si>
  <si>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</si>
  <si>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</si>
  <si>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</si>
  <si>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</si>
  <si>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</si>
  <si>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</si>
  <si>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</si>
  <si>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</si>
  <si>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</si>
  <si>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</si>
  <si>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</si>
  <si>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</si>
  <si>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</si>
  <si>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</si>
  <si>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</si>
  <si>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</si>
  <si>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</si>
  <si>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</si>
  <si>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</si>
  <si>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</si>
  <si>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</si>
  <si>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</si>
  <si>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</si>
  <si>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</si>
  <si>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</si>
  <si>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</si>
  <si>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</si>
  <si>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</si>
  <si>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</si>
  <si>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</si>
  <si>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</si>
  <si>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</si>
  <si>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</si>
  <si>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</si>
  <si>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</si>
  <si>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</si>
  <si>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</si>
  <si>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</si>
  <si>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</si>
  <si>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</si>
  <si>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</si>
  <si>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</si>
  <si>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</si>
  <si>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</si>
  <si>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</si>
  <si>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</si>
  <si>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</si>
  <si>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</si>
  <si>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</si>
  <si>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</si>
  <si>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</si>
  <si>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</si>
  <si>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</si>
  <si>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</si>
  <si>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</si>
  <si>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</si>
  <si>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</si>
  <si>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</si>
  <si>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</si>
  <si>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</si>
  <si>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</si>
  <si>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</si>
  <si>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</si>
  <si>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</si>
  <si>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</si>
  <si>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</si>
  <si>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</si>
  <si>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</si>
  <si>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</si>
  <si>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</si>
  <si>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</si>
  <si>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</si>
  <si>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</si>
  <si>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</si>
  <si>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</si>
  <si>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</si>
  <si>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</si>
  <si>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</si>
  <si>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</si>
  <si>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</si>
  <si>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</si>
  <si>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</si>
  <si>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</si>
  <si>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</si>
  <si>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</si>
  <si>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</si>
  <si>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</si>
  <si>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</si>
  <si>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</si>
  <si>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</si>
  <si>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</si>
  <si>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</si>
  <si>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</si>
  <si>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</si>
  <si>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</si>
  <si>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</si>
  <si>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</si>
  <si>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</si>
  <si>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</si>
  <si>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</si>
  <si>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</si>
  <si>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</si>
  <si>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</si>
  <si>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</si>
  <si>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</si>
  <si>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</si>
  <si>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</si>
  <si>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</si>
  <si>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</si>
  <si>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</si>
  <si>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</si>
  <si>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</si>
  <si>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</si>
  <si>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</si>
  <si>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</si>
  <si>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</si>
  <si>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</si>
  <si>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</si>
  <si>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</si>
  <si>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</si>
  <si>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</si>
  <si>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</si>
  <si>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</si>
  <si>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</si>
  <si>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</si>
  <si>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</si>
  <si>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</si>
  <si>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</si>
  <si>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</si>
  <si>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</si>
  <si>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</si>
  <si>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</si>
  <si>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</si>
  <si>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</si>
  <si>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</si>
  <si>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</si>
  <si>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</si>
  <si>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</si>
  <si>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</si>
  <si>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</si>
  <si>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</si>
  <si>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</si>
  <si>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</si>
  <si>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</si>
  <si>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</si>
  <si>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</si>
  <si>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</si>
  <si>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</si>
  <si>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</si>
  <si>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</si>
  <si>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</si>
  <si>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</si>
  <si>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</si>
  <si>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</si>
  <si>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</si>
  <si>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</si>
  <si>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</si>
  <si>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</si>
  <si>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</si>
  <si>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</si>
  <si>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</si>
  <si>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</si>
  <si>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</si>
  <si>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</si>
  <si>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</si>
  <si>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</si>
  <si>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</si>
  <si>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</si>
  <si>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</si>
  <si>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</si>
  <si>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</si>
  <si>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</si>
  <si>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</si>
  <si>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</si>
  <si>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</si>
  <si>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</si>
  <si>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</si>
  <si>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</si>
  <si>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</si>
  <si>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</si>
  <si>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</si>
  <si>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</si>
  <si>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</si>
  <si>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</si>
  <si>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</si>
  <si>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</si>
  <si>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</si>
  <si>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</si>
  <si>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</si>
  <si>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</si>
  <si>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</si>
  <si>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</si>
  <si>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</si>
  <si>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</si>
  <si>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</si>
  <si>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</si>
  <si>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</si>
  <si>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</si>
  <si>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</si>
  <si>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</si>
  <si>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</si>
  <si>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</si>
  <si>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</si>
  <si>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</si>
  <si>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</si>
  <si>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</si>
  <si>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</si>
  <si>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</si>
  <si>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</si>
  <si>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</si>
  <si>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</si>
  <si>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</si>
  <si>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</si>
  <si>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</si>
  <si>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</si>
  <si>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</si>
  <si>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</si>
  <si>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</si>
  <si>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</si>
  <si>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</si>
  <si>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</si>
  <si>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</si>
  <si>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</si>
  <si>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</si>
  <si>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</si>
  <si>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</si>
  <si>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</si>
  <si>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</si>
  <si>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</si>
  <si>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</si>
  <si>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</si>
  <si>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</si>
  <si>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</si>
  <si>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</si>
  <si>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</si>
  <si>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</si>
  <si>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</si>
  <si>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</si>
  <si>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</si>
  <si>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</si>
  <si>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</si>
  <si>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</si>
  <si>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</si>
  <si>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</si>
  <si>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</si>
  <si>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</si>
  <si>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</si>
  <si>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</si>
  <si>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</si>
  <si>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</si>
  <si>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</si>
  <si>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</si>
  <si>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</si>
  <si>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</si>
  <si>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</si>
  <si>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</si>
  <si>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</si>
  <si>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</si>
  <si>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</si>
  <si>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</si>
  <si>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</si>
  <si>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</si>
  <si>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</si>
  <si>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</si>
  <si>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</si>
  <si>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</si>
  <si>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</si>
  <si>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</si>
  <si>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</si>
  <si>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</si>
  <si>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</si>
  <si>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</si>
  <si>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</si>
  <si>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</si>
  <si>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</si>
  <si>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</si>
  <si>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</si>
  <si>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</si>
  <si>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</si>
  <si>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</si>
  <si>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</si>
  <si>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</si>
  <si>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</si>
  <si>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</si>
  <si>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</si>
  <si>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</si>
  <si>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</si>
  <si>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</si>
  <si>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</si>
  <si>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</si>
  <si>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</si>
  <si>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</si>
  <si>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</si>
  <si>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</si>
  <si>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</si>
  <si>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</si>
  <si>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</si>
  <si>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</si>
  <si>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</si>
  <si>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</si>
  <si>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</si>
  <si>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</si>
  <si>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</si>
  <si>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</si>
  <si>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</si>
  <si>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</si>
  <si>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</si>
  <si>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</si>
  <si>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</si>
  <si>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</si>
  <si>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</si>
  <si>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</si>
  <si>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</si>
  <si>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</si>
  <si>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</si>
  <si>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</si>
  <si>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</si>
  <si>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</si>
  <si>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</si>
  <si>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</si>
  <si>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</si>
  <si>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</si>
  <si>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</si>
  <si>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</si>
  <si>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</si>
  <si>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</si>
  <si>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</si>
  <si>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</si>
  <si>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</si>
  <si>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</si>
  <si>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</si>
  <si>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</si>
  <si>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</si>
  <si>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</si>
  <si>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</si>
  <si>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</si>
  <si>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</si>
  <si>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</si>
  <si>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</si>
  <si>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</si>
  <si>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</si>
  <si>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</si>
  <si>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</si>
  <si>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</si>
  <si>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</si>
  <si>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</si>
  <si>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</si>
  <si>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</si>
  <si>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</si>
  <si>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</si>
  <si>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</si>
  <si>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</si>
  <si>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</si>
  <si>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</si>
  <si>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</si>
  <si>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</si>
  <si>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</si>
  <si>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</si>
  <si>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</si>
  <si>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</si>
  <si>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</si>
  <si>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</si>
  <si>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</si>
  <si>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</si>
  <si>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</si>
  <si>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</si>
  <si>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</si>
  <si>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</si>
  <si>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</si>
  <si>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</si>
  <si>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</si>
  <si>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</si>
  <si>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</si>
  <si>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</si>
  <si>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</si>
  <si>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</si>
  <si>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</si>
  <si>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</si>
  <si>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</si>
  <si>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</si>
  <si>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</si>
  <si>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</si>
  <si>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</si>
  <si>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</si>
  <si>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</si>
  <si>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</si>
  <si>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</si>
  <si>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</si>
  <si>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</si>
  <si>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</si>
  <si>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</si>
  <si>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</si>
  <si>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</si>
  <si>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</si>
  <si>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</si>
  <si>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</si>
  <si>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</si>
  <si>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</si>
  <si>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</si>
  <si>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</si>
  <si>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</si>
  <si>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</si>
  <si>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</si>
  <si>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</si>
  <si>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</si>
  <si>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</si>
  <si>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</si>
  <si>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</si>
  <si>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</si>
  <si>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</si>
  <si>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</si>
  <si>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</si>
  <si>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</si>
  <si>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</si>
  <si>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</si>
  <si>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</si>
  <si>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</si>
  <si>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</si>
  <si>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</si>
  <si>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</si>
  <si>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</si>
  <si>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</si>
  <si>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</si>
  <si>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</si>
  <si>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</si>
  <si>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</si>
  <si>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</si>
  <si>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</si>
  <si>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</si>
  <si>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</si>
  <si>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</si>
  <si>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</si>
  <si>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</si>
  <si>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</si>
  <si>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</si>
  <si>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</si>
  <si>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</si>
  <si>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</si>
  <si>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</si>
  <si>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</si>
  <si>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</si>
  <si>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</si>
  <si>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</si>
  <si>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</si>
  <si>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</si>
  <si>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</si>
  <si>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</si>
  <si>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</si>
  <si>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</si>
  <si>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</si>
  <si>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</si>
  <si>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</si>
  <si>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</si>
  <si>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</si>
  <si>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</si>
  <si>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</si>
  <si>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</si>
  <si>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</si>
  <si>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</si>
  <si>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</si>
  <si>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</si>
  <si>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</si>
  <si>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</si>
  <si>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</si>
  <si>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</si>
  <si>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</si>
  <si>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</si>
  <si>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</si>
  <si>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</si>
  <si>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</si>
  <si>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</si>
  <si>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</si>
  <si>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</si>
  <si>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</si>
  <si>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</si>
  <si>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</si>
  <si>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</si>
  <si>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</si>
  <si>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</si>
  <si>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</si>
  <si>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</si>
  <si>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</si>
  <si>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</si>
  <si>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</si>
  <si>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</si>
  <si>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</si>
  <si>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</si>
  <si>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</si>
  <si>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</si>
  <si>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</si>
  <si>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</si>
  <si>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</si>
  <si>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</si>
  <si>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</si>
  <si>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</si>
  <si>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</si>
  <si>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</si>
  <si>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</si>
  <si>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</si>
  <si>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</si>
  <si>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</si>
  <si>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</si>
  <si>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</si>
  <si>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</si>
  <si>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</si>
  <si>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</si>
  <si>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</si>
  <si>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</si>
  <si>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</si>
  <si>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</si>
  <si>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</si>
  <si>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</si>
  <si>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</si>
  <si>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</si>
  <si>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</si>
  <si>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</si>
  <si>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</si>
  <si>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</si>
  <si>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</si>
  <si>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</si>
  <si>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</si>
  <si>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</si>
  <si>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</si>
  <si>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</si>
  <si>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</si>
  <si>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</si>
  <si>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</si>
  <si>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</si>
  <si>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</si>
  <si>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</si>
  <si>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</si>
  <si>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</si>
  <si>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</si>
  <si>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</si>
  <si>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</si>
  <si>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</si>
  <si>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</si>
  <si>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</si>
  <si>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</si>
  <si>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</si>
  <si>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</si>
  <si>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</si>
  <si>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</si>
  <si>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</si>
  <si>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</si>
  <si>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</si>
  <si>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</si>
  <si>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</si>
  <si>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</si>
  <si>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</si>
  <si>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</si>
  <si>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</si>
  <si>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</si>
  <si>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</si>
  <si>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</si>
  <si>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</si>
  <si>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</si>
  <si>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</si>
  <si>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</si>
  <si>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</si>
  <si>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</si>
  <si>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</si>
  <si>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</si>
  <si>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</si>
  <si>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</si>
  <si>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</si>
  <si>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</si>
  <si>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</si>
  <si>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</si>
  <si>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</si>
  <si>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</si>
  <si>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</si>
  <si>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</si>
  <si>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</si>
  <si>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</si>
  <si>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</si>
  <si>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</si>
  <si>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</si>
  <si>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</si>
  <si>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</si>
  <si>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</si>
  <si>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</si>
  <si>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</si>
  <si>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</si>
  <si>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</si>
  <si>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</si>
  <si>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</si>
  <si>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</si>
  <si>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</si>
  <si>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</si>
  <si>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</si>
  <si>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</si>
  <si>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</si>
  <si>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</si>
  <si>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</si>
  <si>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</si>
  <si>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</si>
  <si>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</si>
  <si>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</si>
  <si>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</si>
  <si>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</si>
  <si>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</si>
  <si>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</si>
  <si>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</si>
  <si>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</si>
  <si>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</si>
  <si>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</si>
  <si>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</si>
  <si>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</si>
  <si>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</si>
  <si>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</si>
  <si>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</si>
  <si>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</si>
  <si>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</si>
  <si>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</si>
  <si>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</si>
  <si>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</si>
  <si>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</si>
  <si>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</si>
  <si>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</si>
  <si>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</si>
  <si>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</si>
  <si>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</si>
  <si>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</si>
  <si>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</si>
  <si>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</si>
  <si>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</si>
  <si>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</si>
  <si>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</si>
  <si>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</si>
  <si>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</si>
  <si>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</si>
  <si>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</si>
  <si>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</si>
  <si>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</si>
  <si>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</si>
  <si>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</si>
  <si>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</si>
  <si>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</si>
  <si>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</si>
  <si>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</si>
  <si>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</si>
  <si>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</si>
  <si>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</si>
  <si>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</si>
  <si>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</si>
  <si>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</si>
  <si>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</si>
  <si>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</si>
  <si>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</si>
  <si>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</si>
  <si>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</si>
  <si>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</si>
  <si>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</si>
  <si>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</si>
  <si>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</si>
  <si>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</si>
  <si>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</si>
  <si>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</si>
  <si>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</si>
  <si>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</si>
  <si>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</si>
  <si>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</si>
  <si>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</si>
  <si>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</si>
  <si>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</si>
  <si>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</si>
  <si>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</si>
  <si>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</si>
  <si>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</si>
  <si>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</si>
  <si>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</si>
  <si>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</si>
  <si>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</si>
  <si>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</si>
  <si>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</si>
  <si>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</si>
  <si>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</si>
  <si>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</si>
  <si>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</si>
  <si>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</si>
  <si>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</si>
  <si>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</si>
  <si>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</si>
  <si>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</si>
  <si>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</si>
  <si>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</si>
  <si>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</si>
  <si>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</si>
  <si>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</si>
  <si>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</si>
  <si>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</si>
  <si>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</si>
  <si>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</si>
  <si>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</si>
  <si>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</si>
  <si>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</si>
  <si>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</si>
  <si>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</si>
  <si>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</si>
  <si>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</si>
  <si>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</si>
  <si>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</si>
  <si>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</si>
  <si>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</si>
  <si>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</si>
  <si>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</si>
  <si>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</si>
  <si>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</si>
  <si>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</si>
  <si>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</si>
  <si>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</si>
  <si>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</si>
  <si>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</si>
  <si>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</si>
  <si>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</si>
  <si>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</si>
  <si>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</si>
  <si>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</si>
  <si>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</si>
  <si>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</si>
  <si>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</si>
  <si>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</si>
  <si>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</si>
  <si>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</si>
  <si>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</si>
  <si>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</si>
  <si>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</si>
  <si>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</si>
  <si>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</si>
  <si>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</si>
  <si>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</si>
  <si>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</si>
  <si>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</si>
  <si>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</si>
  <si>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</si>
  <si>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</si>
  <si>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</si>
  <si>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</si>
  <si>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</si>
  <si>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</si>
  <si>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</si>
  <si>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</si>
  <si>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</si>
  <si>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</si>
  <si>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</si>
  <si>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</si>
  <si>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</si>
  <si>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</si>
  <si>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</si>
  <si>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</si>
  <si>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</si>
  <si>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</si>
  <si>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</si>
  <si>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</si>
  <si>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</si>
  <si>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</si>
  <si>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</si>
  <si>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</si>
  <si>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</si>
  <si>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</si>
  <si>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</si>
  <si>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</si>
  <si>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</si>
  <si>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</si>
  <si>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</si>
  <si>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</si>
  <si>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44013</t>
  </si>
  <si>
    <t>DESTELBERGEN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</si>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</sst>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133621.28575625052</c:v>
                </c:pt>
                <c:pt idx="1">
                  <c:v>35627.724703542139</c:v>
                </c:pt>
                <c:pt idx="2">
                  <c:v>1292.2349999999999</c:v>
                </c:pt>
                <c:pt idx="3">
                  <c:v>14563.975215461616</c:v>
                </c:pt>
                <c:pt idx="4">
                  <c:v>51799.807667672918</c:v>
                </c:pt>
                <c:pt idx="5">
                  <c:v>314478.44501306204</c:v>
                </c:pt>
                <c:pt idx="6">
                  <c:v>1328.5852384718175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133621.28575625052</c:v>
                </c:pt>
                <c:pt idx="1">
                  <c:v>35627.724703542139</c:v>
                </c:pt>
                <c:pt idx="2">
                  <c:v>1292.2349999999999</c:v>
                </c:pt>
                <c:pt idx="3">
                  <c:v>14563.975215461616</c:v>
                </c:pt>
                <c:pt idx="4">
                  <c:v>51799.807667672918</c:v>
                </c:pt>
                <c:pt idx="5">
                  <c:v>314478.44501306204</c:v>
                </c:pt>
                <c:pt idx="6">
                  <c:v>1328.5852384718175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27432.649689472095</c:v>
                </c:pt>
                <c:pt idx="2">
                  <c:v>6973.1298889734171</c:v>
                </c:pt>
                <c:pt idx="3">
                  <c:v>274.94721896925188</c:v>
                </c:pt>
                <c:pt idx="4">
                  <c:v>3303.088384727946</c:v>
                </c:pt>
                <c:pt idx="5">
                  <c:v>10526.46003504068</c:v>
                </c:pt>
                <c:pt idx="6">
                  <c:v>78914.028254996752</c:v>
                </c:pt>
                <c:pt idx="7">
                  <c:v>335.59429437403998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80544"/>
        <c:axId val="147186432"/>
      </c:barChart>
      <c:catAx>
        <c:axId val="147180544"/>
        <c:scaling>
          <c:orientation val="minMax"/>
        </c:scaling>
        <c:axPos val="b"/>
        <c:numFmt formatCode="General" sourceLinked="0"/>
        <c:tickLblPos val="nextTo"/>
        <c:crossAx val="147186432"/>
        <c:crosses val="autoZero"/>
        <c:auto val="1"/>
        <c:lblAlgn val="ctr"/>
        <c:lblOffset val="100"/>
      </c:catAx>
      <c:valAx>
        <c:axId val="147186432"/>
        <c:scaling>
          <c:orientation val="minMax"/>
        </c:scaling>
        <c:axPos val="l"/>
        <c:majorGridlines/>
        <c:numFmt formatCode="#,##0" sourceLinked="1"/>
        <c:tickLblPos val="nextTo"/>
        <c:crossAx val="1471805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27432.649689472095</c:v>
                </c:pt>
                <c:pt idx="2">
                  <c:v>6973.1298889734171</c:v>
                </c:pt>
                <c:pt idx="3">
                  <c:v>274.94721896925188</c:v>
                </c:pt>
                <c:pt idx="4">
                  <c:v>3303.088384727946</c:v>
                </c:pt>
                <c:pt idx="5">
                  <c:v>10526.46003504068</c:v>
                </c:pt>
                <c:pt idx="6">
                  <c:v>78914.028254996752</c:v>
                </c:pt>
                <c:pt idx="7">
                  <c:v>335.59429437403998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44013</v>
      </c>
      <c r="B6" s="416"/>
      <c r="C6" s="417"/>
    </row>
    <row r="7" spans="1:7" s="414" customFormat="1" ht="15.75" customHeight="1">
      <c r="A7" s="418" t="str">
        <f>txtMunicipality</f>
        <v>DESTELBERGEN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16713.510599999998</v>
      </c>
      <c r="D10" s="1025">
        <f ca="1">tertiair!C16</f>
        <v>0</v>
      </c>
      <c r="E10" s="1025">
        <f ca="1">tertiair!D16</f>
        <v>14758.322701198234</v>
      </c>
      <c r="F10" s="1025">
        <f>tertiair!E16</f>
        <v>172.29669048216374</v>
      </c>
      <c r="G10" s="1025">
        <f ca="1">tertiair!F16</f>
        <v>2515.6250995345636</v>
      </c>
      <c r="H10" s="1025">
        <f>tertiair!G16</f>
        <v>0</v>
      </c>
      <c r="I10" s="1025">
        <f>tertiair!H16</f>
        <v>0</v>
      </c>
      <c r="J10" s="1025">
        <f>tertiair!I16</f>
        <v>0</v>
      </c>
      <c r="K10" s="1025">
        <f>tertiair!J16</f>
        <v>0</v>
      </c>
      <c r="L10" s="1025">
        <f>tertiair!K16</f>
        <v>0</v>
      </c>
      <c r="M10" s="1025">
        <f ca="1">tertiair!L16</f>
        <v>0</v>
      </c>
      <c r="N10" s="1025">
        <f>tertiair!M16</f>
        <v>0</v>
      </c>
      <c r="O10" s="1025">
        <f ca="1">tertiair!N16</f>
        <v>2703.0046123271809</v>
      </c>
      <c r="P10" s="1025">
        <f>tertiair!O16</f>
        <v>0</v>
      </c>
      <c r="Q10" s="1026">
        <f>tertiair!P16</f>
        <v>57.2</v>
      </c>
      <c r="R10" s="701">
        <f ca="1">SUM(C10:Q10)</f>
        <v>36919.959703542139</v>
      </c>
      <c r="S10" s="67"/>
    </row>
    <row r="11" spans="1:19" s="474" customFormat="1">
      <c r="A11" s="810" t="s">
        <v>225</v>
      </c>
      <c r="B11" s="815"/>
      <c r="C11" s="1025">
        <f>huishoudens!B8</f>
        <v>37529.778886763459</v>
      </c>
      <c r="D11" s="1025">
        <f>huishoudens!C8</f>
        <v>0</v>
      </c>
      <c r="E11" s="1025">
        <f>huishoudens!D8</f>
        <v>62401.965973765975</v>
      </c>
      <c r="F11" s="1025">
        <f>huishoudens!E8</f>
        <v>1888.3301398010392</v>
      </c>
      <c r="G11" s="1025">
        <f>huishoudens!F8</f>
        <v>23717.984213021533</v>
      </c>
      <c r="H11" s="1025">
        <f>huishoudens!G8</f>
        <v>0</v>
      </c>
      <c r="I11" s="1025">
        <f>huishoudens!H8</f>
        <v>0</v>
      </c>
      <c r="J11" s="1025">
        <f>huishoudens!I8</f>
        <v>0</v>
      </c>
      <c r="K11" s="1025">
        <f>huishoudens!J8</f>
        <v>228.63245439010581</v>
      </c>
      <c r="L11" s="1025">
        <f>huishoudens!K8</f>
        <v>0</v>
      </c>
      <c r="M11" s="1025">
        <f>huishoudens!L8</f>
        <v>0</v>
      </c>
      <c r="N11" s="1025">
        <f>huishoudens!M8</f>
        <v>0</v>
      </c>
      <c r="O11" s="1025">
        <f>huishoudens!N8</f>
        <v>6959.3207551751029</v>
      </c>
      <c r="P11" s="1025">
        <f>huishoudens!O8</f>
        <v>247.00666666666669</v>
      </c>
      <c r="Q11" s="1026">
        <f>huishoudens!P8</f>
        <v>648.26666666666665</v>
      </c>
      <c r="R11" s="701">
        <f>SUM(C11:Q11)</f>
        <v>133621.28575625052</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19099.700799999999</v>
      </c>
      <c r="D13" s="1025">
        <f>industrie!C18</f>
        <v>0</v>
      </c>
      <c r="E13" s="1025">
        <f>industrie!D18</f>
        <v>11170.258422378705</v>
      </c>
      <c r="F13" s="1025">
        <f>industrie!E18</f>
        <v>957.44071887308928</v>
      </c>
      <c r="G13" s="1025">
        <f>industrie!F18</f>
        <v>14686.344041055287</v>
      </c>
      <c r="H13" s="1025">
        <f>industrie!G18</f>
        <v>0</v>
      </c>
      <c r="I13" s="1025">
        <f>industrie!H18</f>
        <v>0</v>
      </c>
      <c r="J13" s="1025">
        <f>industrie!I18</f>
        <v>0</v>
      </c>
      <c r="K13" s="1025">
        <f>industrie!J18</f>
        <v>191.11741757197572</v>
      </c>
      <c r="L13" s="1025">
        <f>industrie!K18</f>
        <v>0</v>
      </c>
      <c r="M13" s="1025">
        <f>industrie!L18</f>
        <v>0</v>
      </c>
      <c r="N13" s="1025">
        <f>industrie!M18</f>
        <v>0</v>
      </c>
      <c r="O13" s="1025">
        <f>industrie!N18</f>
        <v>5694.9462677938591</v>
      </c>
      <c r="P13" s="1025">
        <f>industrie!O18</f>
        <v>0</v>
      </c>
      <c r="Q13" s="1026">
        <f>industrie!P18</f>
        <v>0</v>
      </c>
      <c r="R13" s="701">
        <f>SUM(C13:Q13)</f>
        <v>51799.807667672918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73342.990286763466</v>
      </c>
      <c r="D16" s="733">
        <f t="shared" ref="D16:R16" ca="1" si="0">SUM(D9:D15)</f>
        <v>0</v>
      </c>
      <c r="E16" s="733">
        <f t="shared" ca="1" si="0"/>
        <v>88330.547097342904</v>
      </c>
      <c r="F16" s="733">
        <f t="shared" si="0"/>
        <v>3018.0675491562924</v>
      </c>
      <c r="G16" s="733">
        <f t="shared" ca="1" si="0"/>
        <v>40919.953353611381</v>
      </c>
      <c r="H16" s="733">
        <f t="shared" si="0"/>
        <v>0</v>
      </c>
      <c r="I16" s="733">
        <f t="shared" si="0"/>
        <v>0</v>
      </c>
      <c r="J16" s="733">
        <f t="shared" si="0"/>
        <v>0</v>
      </c>
      <c r="K16" s="733">
        <f t="shared" si="0"/>
        <v>419.74987196208156</v>
      </c>
      <c r="L16" s="733">
        <f t="shared" si="0"/>
        <v>0</v>
      </c>
      <c r="M16" s="733">
        <f t="shared" ca="1" si="0"/>
        <v>0</v>
      </c>
      <c r="N16" s="733">
        <f t="shared" si="0"/>
        <v>0</v>
      </c>
      <c r="O16" s="733">
        <f t="shared" ca="1" si="0"/>
        <v>15357.271635296143</v>
      </c>
      <c r="P16" s="733">
        <f t="shared" si="0"/>
        <v>247.00666666666669</v>
      </c>
      <c r="Q16" s="733">
        <f t="shared" si="0"/>
        <v>705.4666666666667</v>
      </c>
      <c r="R16" s="733">
        <f t="shared" ca="1" si="0"/>
        <v>222341.0531274656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1256.9074695656927</v>
      </c>
      <c r="I19" s="1025">
        <f>transport!H54</f>
        <v>0</v>
      </c>
      <c r="J19" s="1025">
        <f>transport!I54</f>
        <v>0</v>
      </c>
      <c r="K19" s="1025">
        <f>transport!J54</f>
        <v>0</v>
      </c>
      <c r="L19" s="1025">
        <f>transport!K54</f>
        <v>0</v>
      </c>
      <c r="M19" s="1025">
        <f>transport!L54</f>
        <v>0</v>
      </c>
      <c r="N19" s="1025">
        <f>transport!M54</f>
        <v>71.677768906124811</v>
      </c>
      <c r="O19" s="1025">
        <f>transport!N54</f>
        <v>0</v>
      </c>
      <c r="P19" s="1025">
        <f>transport!O54</f>
        <v>0</v>
      </c>
      <c r="Q19" s="1026">
        <f>transport!P54</f>
        <v>0</v>
      </c>
      <c r="R19" s="701">
        <f>SUM(C19:Q19)</f>
        <v>1328.5852384718175</v>
      </c>
      <c r="S19" s="67"/>
    </row>
    <row r="20" spans="1:19" s="474" customFormat="1">
      <c r="A20" s="810" t="s">
        <v>307</v>
      </c>
      <c r="B20" s="815"/>
      <c r="C20" s="1025">
        <f>transport!B14</f>
        <v>38.639118056583328</v>
      </c>
      <c r="D20" s="1025">
        <f>transport!C14</f>
        <v>0</v>
      </c>
      <c r="E20" s="1025">
        <f>transport!D14</f>
        <v>99.364256012541944</v>
      </c>
      <c r="F20" s="1025">
        <f>transport!E14</f>
        <v>756.56072494137186</v>
      </c>
      <c r="G20" s="1025">
        <f>transport!F14</f>
        <v>0</v>
      </c>
      <c r="H20" s="1025">
        <f>transport!G14</f>
        <v>258529.40506653991</v>
      </c>
      <c r="I20" s="1025">
        <f>transport!H14</f>
        <v>38902.18892090083</v>
      </c>
      <c r="J20" s="1025">
        <f>transport!I14</f>
        <v>0</v>
      </c>
      <c r="K20" s="1025">
        <f>transport!J14</f>
        <v>0</v>
      </c>
      <c r="L20" s="1025">
        <f>transport!K14</f>
        <v>0</v>
      </c>
      <c r="M20" s="1025">
        <f>transport!L14</f>
        <v>0</v>
      </c>
      <c r="N20" s="1025">
        <f>transport!M14</f>
        <v>16152.286926610812</v>
      </c>
      <c r="O20" s="1025">
        <f>transport!N14</f>
        <v>0</v>
      </c>
      <c r="P20" s="1025">
        <f>transport!O14</f>
        <v>0</v>
      </c>
      <c r="Q20" s="1026">
        <f>transport!P14</f>
        <v>0</v>
      </c>
      <c r="R20" s="701">
        <f>SUM(C20:Q20)</f>
        <v>314478.44501306204</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38.639118056583328</v>
      </c>
      <c r="D22" s="813">
        <f t="shared" ref="D22:R22" si="1">SUM(D18:D21)</f>
        <v>0</v>
      </c>
      <c r="E22" s="813">
        <f t="shared" si="1"/>
        <v>99.364256012541944</v>
      </c>
      <c r="F22" s="813">
        <f t="shared" si="1"/>
        <v>756.56072494137186</v>
      </c>
      <c r="G22" s="813">
        <f t="shared" si="1"/>
        <v>0</v>
      </c>
      <c r="H22" s="813">
        <f t="shared" si="1"/>
        <v>259786.3125361056</v>
      </c>
      <c r="I22" s="813">
        <f t="shared" si="1"/>
        <v>38902.18892090083</v>
      </c>
      <c r="J22" s="813">
        <f t="shared" si="1"/>
        <v>0</v>
      </c>
      <c r="K22" s="813">
        <f t="shared" si="1"/>
        <v>0</v>
      </c>
      <c r="L22" s="813">
        <f t="shared" si="1"/>
        <v>0</v>
      </c>
      <c r="M22" s="813">
        <f t="shared" si="1"/>
        <v>0</v>
      </c>
      <c r="N22" s="813">
        <f t="shared" si="1"/>
        <v>16223.964695516937</v>
      </c>
      <c r="O22" s="813">
        <f t="shared" si="1"/>
        <v>0</v>
      </c>
      <c r="P22" s="813">
        <f t="shared" si="1"/>
        <v>0</v>
      </c>
      <c r="Q22" s="813">
        <f t="shared" si="1"/>
        <v>0</v>
      </c>
      <c r="R22" s="813">
        <f t="shared" si="1"/>
        <v>315807.03025153384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1812.8883000000001</v>
      </c>
      <c r="D24" s="1025">
        <f>+landbouw!C8</f>
        <v>0</v>
      </c>
      <c r="E24" s="1025">
        <f>+landbouw!D8</f>
        <v>7856.7162044703828</v>
      </c>
      <c r="F24" s="1025">
        <f>+landbouw!E8</f>
        <v>16.791730742017034</v>
      </c>
      <c r="G24" s="1025">
        <f>+landbouw!F8</f>
        <v>4599.6429719667394</v>
      </c>
      <c r="H24" s="1025">
        <f>+landbouw!G8</f>
        <v>0</v>
      </c>
      <c r="I24" s="1025">
        <f>+landbouw!H8</f>
        <v>0</v>
      </c>
      <c r="J24" s="1025">
        <f>+landbouw!I8</f>
        <v>0</v>
      </c>
      <c r="K24" s="1025">
        <f>+landbouw!J8</f>
        <v>277.93600828247668</v>
      </c>
      <c r="L24" s="1025">
        <f>+landbouw!K8</f>
        <v>0</v>
      </c>
      <c r="M24" s="1025">
        <f>+landbouw!L8</f>
        <v>0</v>
      </c>
      <c r="N24" s="1025">
        <f>+landbouw!M8</f>
        <v>0</v>
      </c>
      <c r="O24" s="1025">
        <f>+landbouw!N8</f>
        <v>0</v>
      </c>
      <c r="P24" s="1025">
        <f>+landbouw!O8</f>
        <v>0</v>
      </c>
      <c r="Q24" s="1026">
        <f>+landbouw!P8</f>
        <v>0</v>
      </c>
      <c r="R24" s="701">
        <f>SUM(C24:Q24)</f>
        <v>14563.975215461616</v>
      </c>
      <c r="S24" s="67"/>
    </row>
    <row r="25" spans="1:19" s="474" customFormat="1" ht="15" thickBot="1">
      <c r="A25" s="832" t="s">
        <v>864</v>
      </c>
      <c r="B25" s="1028"/>
      <c r="C25" s="1029">
        <f>IF(Onbekend_ele_kWh="---",0,Onbekend_ele_kWh)/1000+IF(REST_rest_ele_kWh="---",0,REST_rest_ele_kWh)/1000</f>
        <v>2203.5569999999998</v>
      </c>
      <c r="D25" s="1029"/>
      <c r="E25" s="1029">
        <f>IF(onbekend_gas_kWh="---",0,onbekend_gas_kWh)/1000+IF(REST_rest_gas_kWh="---",0,REST_rest_gas_kWh)/1000</f>
        <v>4732.0267923176907</v>
      </c>
      <c r="F25" s="1029"/>
      <c r="G25" s="1029"/>
      <c r="H25" s="1029"/>
      <c r="I25" s="1029"/>
      <c r="J25" s="1029"/>
      <c r="K25" s="1029"/>
      <c r="L25" s="1029"/>
      <c r="M25" s="1029"/>
      <c r="N25" s="1029"/>
      <c r="O25" s="1029"/>
      <c r="P25" s="1029"/>
      <c r="Q25" s="1030"/>
      <c r="R25" s="701">
        <f>SUM(C25:Q25)</f>
        <v>6935.5837923176905</v>
      </c>
      <c r="S25" s="67"/>
    </row>
    <row r="26" spans="1:19" s="474" customFormat="1" ht="15.75" thickBot="1">
      <c r="A26" s="706" t="s">
        <v>865</v>
      </c>
      <c r="B26" s="818"/>
      <c r="C26" s="813">
        <f>SUM(C24:C25)</f>
        <v>4016.4452999999999</v>
      </c>
      <c r="D26" s="813">
        <f t="shared" ref="D26:R26" si="2">SUM(D24:D25)</f>
        <v>0</v>
      </c>
      <c r="E26" s="813">
        <f t="shared" si="2"/>
        <v>12588.742996788074</v>
      </c>
      <c r="F26" s="813">
        <f t="shared" si="2"/>
        <v>16.791730742017034</v>
      </c>
      <c r="G26" s="813">
        <f t="shared" si="2"/>
        <v>4599.6429719667394</v>
      </c>
      <c r="H26" s="813">
        <f t="shared" si="2"/>
        <v>0</v>
      </c>
      <c r="I26" s="813">
        <f t="shared" si="2"/>
        <v>0</v>
      </c>
      <c r="J26" s="813">
        <f t="shared" si="2"/>
        <v>0</v>
      </c>
      <c r="K26" s="813">
        <f t="shared" si="2"/>
        <v>277.93600828247668</v>
      </c>
      <c r="L26" s="813">
        <f t="shared" si="2"/>
        <v>0</v>
      </c>
      <c r="M26" s="813">
        <f t="shared" si="2"/>
        <v>0</v>
      </c>
      <c r="N26" s="813">
        <f t="shared" si="2"/>
        <v>0</v>
      </c>
      <c r="O26" s="813">
        <f t="shared" si="2"/>
        <v>0</v>
      </c>
      <c r="P26" s="813">
        <f t="shared" si="2"/>
        <v>0</v>
      </c>
      <c r="Q26" s="813">
        <f t="shared" si="2"/>
        <v>0</v>
      </c>
      <c r="R26" s="813">
        <f t="shared" si="2"/>
        <v>21499.559007779306</v>
      </c>
      <c r="S26" s="67"/>
    </row>
    <row r="27" spans="1:19" s="474" customFormat="1" ht="17.25" thickTop="1" thickBot="1">
      <c r="A27" s="707" t="s">
        <v>116</v>
      </c>
      <c r="B27" s="806"/>
      <c r="C27" s="708">
        <f ca="1">C22+C16+C26</f>
        <v>77398.074704820057</v>
      </c>
      <c r="D27" s="708">
        <f t="shared" ref="D27:R27" ca="1" si="3">D22+D16+D26</f>
        <v>0</v>
      </c>
      <c r="E27" s="708">
        <f t="shared" ca="1" si="3"/>
        <v>101018.65435014352</v>
      </c>
      <c r="F27" s="708">
        <f t="shared" si="3"/>
        <v>3791.4200048396815</v>
      </c>
      <c r="G27" s="708">
        <f t="shared" ca="1" si="3"/>
        <v>45519.596325578124</v>
      </c>
      <c r="H27" s="708">
        <f t="shared" si="3"/>
        <v>259786.3125361056</v>
      </c>
      <c r="I27" s="708">
        <f t="shared" si="3"/>
        <v>38902.18892090083</v>
      </c>
      <c r="J27" s="708">
        <f t="shared" si="3"/>
        <v>0</v>
      </c>
      <c r="K27" s="708">
        <f t="shared" si="3"/>
        <v>697.68588024455823</v>
      </c>
      <c r="L27" s="708">
        <f t="shared" si="3"/>
        <v>0</v>
      </c>
      <c r="M27" s="708">
        <f t="shared" ca="1" si="3"/>
        <v>0</v>
      </c>
      <c r="N27" s="708">
        <f t="shared" si="3"/>
        <v>16223.964695516937</v>
      </c>
      <c r="O27" s="708">
        <f t="shared" ca="1" si="3"/>
        <v>15357.271635296143</v>
      </c>
      <c r="P27" s="708">
        <f t="shared" si="3"/>
        <v>247.00666666666669</v>
      </c>
      <c r="Q27" s="708">
        <f t="shared" si="3"/>
        <v>705.4666666666667</v>
      </c>
      <c r="R27" s="708">
        <f t="shared" ca="1" si="3"/>
        <v>559647.64238677884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3556.1126719854456</v>
      </c>
      <c r="D40" s="1025">
        <f ca="1">tertiair!C20</f>
        <v>0</v>
      </c>
      <c r="E40" s="1025">
        <f ca="1">tertiair!D20</f>
        <v>2981.1811856420436</v>
      </c>
      <c r="F40" s="1025">
        <f>tertiair!E20</f>
        <v>39.111348739451174</v>
      </c>
      <c r="G40" s="1025">
        <f ca="1">tertiair!F20</f>
        <v>671.6719015757285</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7248.0771079426686</v>
      </c>
    </row>
    <row r="41" spans="1:18">
      <c r="A41" s="823" t="s">
        <v>225</v>
      </c>
      <c r="B41" s="830"/>
      <c r="C41" s="1025">
        <f ca="1">huishoudens!B12</f>
        <v>7985.163947305683</v>
      </c>
      <c r="D41" s="1025">
        <f ca="1">huishoudens!C12</f>
        <v>0</v>
      </c>
      <c r="E41" s="1025">
        <f>huishoudens!D12</f>
        <v>12605.197126700728</v>
      </c>
      <c r="F41" s="1025">
        <f>huishoudens!E12</f>
        <v>428.6509417348359</v>
      </c>
      <c r="G41" s="1025">
        <f>huishoudens!F12</f>
        <v>6332.70178487675</v>
      </c>
      <c r="H41" s="1025">
        <f>huishoudens!G12</f>
        <v>0</v>
      </c>
      <c r="I41" s="1025">
        <f>huishoudens!H12</f>
        <v>0</v>
      </c>
      <c r="J41" s="1025">
        <f>huishoudens!I12</f>
        <v>0</v>
      </c>
      <c r="K41" s="1025">
        <f>huishoudens!J12</f>
        <v>80.935888854097456</v>
      </c>
      <c r="L41" s="1025">
        <f>huishoudens!K12</f>
        <v>0</v>
      </c>
      <c r="M41" s="1025">
        <f>huishoudens!L12</f>
        <v>0</v>
      </c>
      <c r="N41" s="1025">
        <f>huishoudens!M12</f>
        <v>0</v>
      </c>
      <c r="O41" s="1025">
        <f>huishoudens!N12</f>
        <v>0</v>
      </c>
      <c r="P41" s="1025">
        <f>huishoudens!O12</f>
        <v>0</v>
      </c>
      <c r="Q41" s="775">
        <f>huishoudens!P12</f>
        <v>0</v>
      </c>
      <c r="R41" s="851">
        <f t="shared" ca="1" si="4"/>
        <v>27432.649689472095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4063.8193657537486</v>
      </c>
      <c r="D43" s="1025">
        <f ca="1">industrie!C22</f>
        <v>0</v>
      </c>
      <c r="E43" s="1025">
        <f>industrie!D22</f>
        <v>2256.3922013204988</v>
      </c>
      <c r="F43" s="1025">
        <f>industrie!E22</f>
        <v>217.33904318419127</v>
      </c>
      <c r="G43" s="1025">
        <f>industrie!F22</f>
        <v>3921.2538589617616</v>
      </c>
      <c r="H43" s="1025">
        <f>industrie!G22</f>
        <v>0</v>
      </c>
      <c r="I43" s="1025">
        <f>industrie!H22</f>
        <v>0</v>
      </c>
      <c r="J43" s="1025">
        <f>industrie!I22</f>
        <v>0</v>
      </c>
      <c r="K43" s="1025">
        <f>industrie!J22</f>
        <v>67.655565820479396</v>
      </c>
      <c r="L43" s="1025">
        <f>industrie!K22</f>
        <v>0</v>
      </c>
      <c r="M43" s="1025">
        <f>industrie!L22</f>
        <v>0</v>
      </c>
      <c r="N43" s="1025">
        <f>industrie!M22</f>
        <v>0</v>
      </c>
      <c r="O43" s="1025">
        <f>industrie!N22</f>
        <v>0</v>
      </c>
      <c r="P43" s="1025">
        <f>industrie!O22</f>
        <v>0</v>
      </c>
      <c r="Q43" s="775">
        <f>industrie!P22</f>
        <v>0</v>
      </c>
      <c r="R43" s="850">
        <f t="shared" ca="1" si="4"/>
        <v>10526.46003504068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15605.095985044878</v>
      </c>
      <c r="D46" s="733">
        <f t="shared" ref="D46:Q46" ca="1" si="5">SUM(D39:D45)</f>
        <v>0</v>
      </c>
      <c r="E46" s="733">
        <f t="shared" ca="1" si="5"/>
        <v>17842.770513663269</v>
      </c>
      <c r="F46" s="733">
        <f t="shared" si="5"/>
        <v>685.10133365847832</v>
      </c>
      <c r="G46" s="733">
        <f t="shared" ca="1" si="5"/>
        <v>10925.62754541424</v>
      </c>
      <c r="H46" s="733">
        <f t="shared" si="5"/>
        <v>0</v>
      </c>
      <c r="I46" s="733">
        <f t="shared" si="5"/>
        <v>0</v>
      </c>
      <c r="J46" s="733">
        <f t="shared" si="5"/>
        <v>0</v>
      </c>
      <c r="K46" s="733">
        <f t="shared" si="5"/>
        <v>148.59145467457685</v>
      </c>
      <c r="L46" s="733">
        <f t="shared" si="5"/>
        <v>0</v>
      </c>
      <c r="M46" s="733">
        <f t="shared" ca="1" si="5"/>
        <v>0</v>
      </c>
      <c r="N46" s="733">
        <f t="shared" si="5"/>
        <v>0</v>
      </c>
      <c r="O46" s="733">
        <f t="shared" ca="1" si="5"/>
        <v>0</v>
      </c>
      <c r="P46" s="733">
        <f t="shared" si="5"/>
        <v>0</v>
      </c>
      <c r="Q46" s="733">
        <f t="shared" si="5"/>
        <v>0</v>
      </c>
      <c r="R46" s="733">
        <f ca="1">SUM(R39:R45)</f>
        <v>45207.186832455438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335.59429437403998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335.59429437403998</v>
      </c>
    </row>
    <row r="50" spans="1:18">
      <c r="A50" s="826" t="s">
        <v>307</v>
      </c>
      <c r="B50" s="836"/>
      <c r="C50" s="704">
        <f ca="1">transport!B18</f>
        <v>8.2211966500537379</v>
      </c>
      <c r="D50" s="704">
        <f>transport!C18</f>
        <v>0</v>
      </c>
      <c r="E50" s="704">
        <f>transport!D18</f>
        <v>20.071579714533474</v>
      </c>
      <c r="F50" s="704">
        <f>transport!E18</f>
        <v>171.73928456169142</v>
      </c>
      <c r="G50" s="704">
        <f>transport!F18</f>
        <v>0</v>
      </c>
      <c r="H50" s="704">
        <f>transport!G18</f>
        <v>69027.351152766161</v>
      </c>
      <c r="I50" s="704">
        <f>transport!H18</f>
        <v>9686.6450413043058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78914.028254996752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8.2211966500537379</v>
      </c>
      <c r="D52" s="733">
        <f t="shared" ref="D52:Q52" ca="1" si="6">SUM(D48:D51)</f>
        <v>0</v>
      </c>
      <c r="E52" s="733">
        <f t="shared" si="6"/>
        <v>20.071579714533474</v>
      </c>
      <c r="F52" s="733">
        <f t="shared" si="6"/>
        <v>171.73928456169142</v>
      </c>
      <c r="G52" s="733">
        <f t="shared" si="6"/>
        <v>0</v>
      </c>
      <c r="H52" s="733">
        <f t="shared" si="6"/>
        <v>69362.945447140199</v>
      </c>
      <c r="I52" s="733">
        <f t="shared" si="6"/>
        <v>9686.6450413043058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79249.62254937079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385.7259680993742</v>
      </c>
      <c r="D54" s="704">
        <f ca="1">+landbouw!C12</f>
        <v>0</v>
      </c>
      <c r="E54" s="704">
        <f>+landbouw!D12</f>
        <v>1587.0566733030175</v>
      </c>
      <c r="F54" s="704">
        <f>+landbouw!E12</f>
        <v>3.8117228784378669</v>
      </c>
      <c r="G54" s="704">
        <f>+landbouw!F12</f>
        <v>1228.1046735151194</v>
      </c>
      <c r="H54" s="704">
        <f>+landbouw!G12</f>
        <v>0</v>
      </c>
      <c r="I54" s="704">
        <f>+landbouw!H12</f>
        <v>0</v>
      </c>
      <c r="J54" s="704">
        <f>+landbouw!I12</f>
        <v>0</v>
      </c>
      <c r="K54" s="704">
        <f>+landbouw!J12</f>
        <v>98.389346931996741</v>
      </c>
      <c r="L54" s="704">
        <f>+landbouw!K12</f>
        <v>0</v>
      </c>
      <c r="M54" s="704">
        <f>+landbouw!L12</f>
        <v>0</v>
      </c>
      <c r="N54" s="704">
        <f>+landbouw!M12</f>
        <v>0</v>
      </c>
      <c r="O54" s="704">
        <f>+landbouw!N12</f>
        <v>0</v>
      </c>
      <c r="P54" s="704">
        <f>+landbouw!O12</f>
        <v>0</v>
      </c>
      <c r="Q54" s="705">
        <f>+landbouw!P12</f>
        <v>0</v>
      </c>
      <c r="R54" s="732">
        <f ca="1">SUM(C54:Q54)</f>
        <v>3303.088384727946</v>
      </c>
    </row>
    <row r="55" spans="1:18" ht="15" thickBot="1">
      <c r="A55" s="826" t="s">
        <v>864</v>
      </c>
      <c r="B55" s="836"/>
      <c r="C55" s="704">
        <f ca="1">C25*'EF ele_warmte'!B12</f>
        <v>468.84805704088478</v>
      </c>
      <c r="D55" s="704"/>
      <c r="E55" s="704">
        <f>E25*EF_CO2_aardgas</f>
        <v>955.86941204817356</v>
      </c>
      <c r="F55" s="704"/>
      <c r="G55" s="704"/>
      <c r="H55" s="704"/>
      <c r="I55" s="704"/>
      <c r="J55" s="704"/>
      <c r="K55" s="704"/>
      <c r="L55" s="704"/>
      <c r="M55" s="704"/>
      <c r="N55" s="704"/>
      <c r="O55" s="704"/>
      <c r="P55" s="704"/>
      <c r="Q55" s="705"/>
      <c r="R55" s="732">
        <f ca="1">SUM(C55:Q55)</f>
        <v>1424.7174690890583</v>
      </c>
    </row>
    <row r="56" spans="1:18" ht="15.75" thickBot="1">
      <c r="A56" s="824" t="s">
        <v>865</v>
      </c>
      <c r="B56" s="837"/>
      <c r="C56" s="733">
        <f ca="1">SUM(C54:C55)</f>
        <v>854.57402514025898</v>
      </c>
      <c r="D56" s="733">
        <f t="shared" ref="D56:Q56" ca="1" si="7">SUM(D54:D55)</f>
        <v>0</v>
      </c>
      <c r="E56" s="733">
        <f t="shared" si="7"/>
        <v>2542.926085351191</v>
      </c>
      <c r="F56" s="733">
        <f t="shared" si="7"/>
        <v>3.8117228784378669</v>
      </c>
      <c r="G56" s="733">
        <f t="shared" si="7"/>
        <v>1228.1046735151194</v>
      </c>
      <c r="H56" s="733">
        <f t="shared" si="7"/>
        <v>0</v>
      </c>
      <c r="I56" s="733">
        <f t="shared" si="7"/>
        <v>0</v>
      </c>
      <c r="J56" s="733">
        <f t="shared" si="7"/>
        <v>0</v>
      </c>
      <c r="K56" s="733">
        <f t="shared" si="7"/>
        <v>98.389346931996741</v>
      </c>
      <c r="L56" s="733">
        <f t="shared" si="7"/>
        <v>0</v>
      </c>
      <c r="M56" s="733">
        <f t="shared" si="7"/>
        <v>0</v>
      </c>
      <c r="N56" s="733">
        <f t="shared" si="7"/>
        <v>0</v>
      </c>
      <c r="O56" s="733">
        <f t="shared" si="7"/>
        <v>0</v>
      </c>
      <c r="P56" s="733">
        <f t="shared" si="7"/>
        <v>0</v>
      </c>
      <c r="Q56" s="734">
        <f t="shared" si="7"/>
        <v>0</v>
      </c>
      <c r="R56" s="735">
        <f ca="1">SUM(R54:R55)</f>
        <v>4727.8058538170044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16467.891206835193</v>
      </c>
      <c r="D61" s="741">
        <f t="shared" ref="D61:Q61" ca="1" si="8">D46+D52+D56</f>
        <v>0</v>
      </c>
      <c r="E61" s="741">
        <f t="shared" ca="1" si="8"/>
        <v>20405.768178728995</v>
      </c>
      <c r="F61" s="741">
        <f t="shared" si="8"/>
        <v>860.65234109860762</v>
      </c>
      <c r="G61" s="741">
        <f t="shared" ca="1" si="8"/>
        <v>12153.732218929359</v>
      </c>
      <c r="H61" s="741">
        <f t="shared" si="8"/>
        <v>69362.945447140199</v>
      </c>
      <c r="I61" s="741">
        <f t="shared" si="8"/>
        <v>9686.6450413043058</v>
      </c>
      <c r="J61" s="741">
        <f t="shared" si="8"/>
        <v>0</v>
      </c>
      <c r="K61" s="741">
        <f t="shared" si="8"/>
        <v>246.98080160657361</v>
      </c>
      <c r="L61" s="741">
        <f t="shared" si="8"/>
        <v>0</v>
      </c>
      <c r="M61" s="741">
        <f t="shared" ca="1" si="8"/>
        <v>0</v>
      </c>
      <c r="N61" s="741">
        <f t="shared" si="8"/>
        <v>0</v>
      </c>
      <c r="O61" s="741">
        <f t="shared" ca="1" si="8"/>
        <v>0</v>
      </c>
      <c r="P61" s="741">
        <f t="shared" si="8"/>
        <v>0</v>
      </c>
      <c r="Q61" s="741">
        <f t="shared" si="8"/>
        <v>0</v>
      </c>
      <c r="R61" s="741">
        <f ca="1">R46+R52+R56</f>
        <v>129184.61523564323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0.2127687448252461</v>
      </c>
      <c r="D63" s="782">
        <f t="shared" ca="1" si="9"/>
        <v>0</v>
      </c>
      <c r="E63" s="1036">
        <f t="shared" ca="1" si="9"/>
        <v>0.20200000000000004</v>
      </c>
      <c r="F63" s="782">
        <f t="shared" si="9"/>
        <v>0.22699999999999998</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2882.7298775114868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2882.7298775114868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37529.778886763459</v>
      </c>
      <c r="C4" s="478">
        <f>huishoudens!C8</f>
        <v>0</v>
      </c>
      <c r="D4" s="478">
        <f>huishoudens!D8</f>
        <v>62401.965973765975</v>
      </c>
      <c r="E4" s="478">
        <f>huishoudens!E8</f>
        <v>1888.3301398010392</v>
      </c>
      <c r="F4" s="478">
        <f>huishoudens!F8</f>
        <v>23717.984213021533</v>
      </c>
      <c r="G4" s="478">
        <f>huishoudens!G8</f>
        <v>0</v>
      </c>
      <c r="H4" s="478">
        <f>huishoudens!H8</f>
        <v>0</v>
      </c>
      <c r="I4" s="478">
        <f>huishoudens!I8</f>
        <v>0</v>
      </c>
      <c r="J4" s="478">
        <f>huishoudens!J8</f>
        <v>228.63245439010581</v>
      </c>
      <c r="K4" s="478">
        <f>huishoudens!K8</f>
        <v>0</v>
      </c>
      <c r="L4" s="478">
        <f>huishoudens!L8</f>
        <v>0</v>
      </c>
      <c r="M4" s="478">
        <f>huishoudens!M8</f>
        <v>0</v>
      </c>
      <c r="N4" s="478">
        <f>huishoudens!N8</f>
        <v>6959.3207551751029</v>
      </c>
      <c r="O4" s="478">
        <f>huishoudens!O8</f>
        <v>247.00666666666669</v>
      </c>
      <c r="P4" s="479">
        <f>huishoudens!P8</f>
        <v>648.26666666666665</v>
      </c>
      <c r="Q4" s="480">
        <f>SUM(B4:P4)</f>
        <v>133621.28575625052</v>
      </c>
    </row>
    <row r="5" spans="1:17">
      <c r="A5" s="477" t="s">
        <v>156</v>
      </c>
      <c r="B5" s="478">
        <f ca="1">tertiair!B16</f>
        <v>15421.275599999999</v>
      </c>
      <c r="C5" s="478">
        <f ca="1">tertiair!C16</f>
        <v>0</v>
      </c>
      <c r="D5" s="478">
        <f ca="1">tertiair!D16</f>
        <v>14758.322701198234</v>
      </c>
      <c r="E5" s="478">
        <f>tertiair!E16</f>
        <v>172.29669048216374</v>
      </c>
      <c r="F5" s="478">
        <f ca="1">tertiair!F16</f>
        <v>2515.6250995345636</v>
      </c>
      <c r="G5" s="478">
        <f>tertiair!G16</f>
        <v>0</v>
      </c>
      <c r="H5" s="478">
        <f>tertiair!H16</f>
        <v>0</v>
      </c>
      <c r="I5" s="478">
        <f>tertiair!I16</f>
        <v>0</v>
      </c>
      <c r="J5" s="478">
        <f>tertiair!J16</f>
        <v>0</v>
      </c>
      <c r="K5" s="478">
        <f>tertiair!K16</f>
        <v>0</v>
      </c>
      <c r="L5" s="478">
        <f ca="1">tertiair!L16</f>
        <v>0</v>
      </c>
      <c r="M5" s="478">
        <f>tertiair!M16</f>
        <v>0</v>
      </c>
      <c r="N5" s="478">
        <f ca="1">tertiair!N16</f>
        <v>2703.0046123271809</v>
      </c>
      <c r="O5" s="478">
        <f>tertiair!O16</f>
        <v>0</v>
      </c>
      <c r="P5" s="479">
        <f>tertiair!P16</f>
        <v>57.2</v>
      </c>
      <c r="Q5" s="477">
        <f t="shared" ref="Q5:Q14" ca="1" si="0">SUM(B5:P5)</f>
        <v>35627.724703542139</v>
      </c>
    </row>
    <row r="6" spans="1:17">
      <c r="A6" s="477" t="s">
        <v>194</v>
      </c>
      <c r="B6" s="478">
        <f>'openbare verlichting'!B8</f>
        <v>1292.2349999999999</v>
      </c>
      <c r="C6" s="478"/>
      <c r="D6" s="478"/>
      <c r="E6" s="478"/>
      <c r="F6" s="478"/>
      <c r="G6" s="478"/>
      <c r="H6" s="478"/>
      <c r="I6" s="478"/>
      <c r="J6" s="478"/>
      <c r="K6" s="478"/>
      <c r="L6" s="478"/>
      <c r="M6" s="478"/>
      <c r="N6" s="478"/>
      <c r="O6" s="478"/>
      <c r="P6" s="479"/>
      <c r="Q6" s="477">
        <f t="shared" si="0"/>
        <v>1292.2349999999999</v>
      </c>
    </row>
    <row r="7" spans="1:17">
      <c r="A7" s="477" t="s">
        <v>112</v>
      </c>
      <c r="B7" s="478">
        <f>landbouw!B8</f>
        <v>1812.8883000000001</v>
      </c>
      <c r="C7" s="478">
        <f>landbouw!C8</f>
        <v>0</v>
      </c>
      <c r="D7" s="478">
        <f>landbouw!D8</f>
        <v>7856.7162044703828</v>
      </c>
      <c r="E7" s="478">
        <f>landbouw!E8</f>
        <v>16.791730742017034</v>
      </c>
      <c r="F7" s="478">
        <f>landbouw!F8</f>
        <v>4599.6429719667394</v>
      </c>
      <c r="G7" s="478">
        <f>landbouw!G8</f>
        <v>0</v>
      </c>
      <c r="H7" s="478">
        <f>landbouw!H8</f>
        <v>0</v>
      </c>
      <c r="I7" s="478">
        <f>landbouw!I8</f>
        <v>0</v>
      </c>
      <c r="J7" s="478">
        <f>landbouw!J8</f>
        <v>277.93600828247668</v>
      </c>
      <c r="K7" s="478">
        <f>landbouw!K8</f>
        <v>0</v>
      </c>
      <c r="L7" s="478">
        <f>landbouw!L8</f>
        <v>0</v>
      </c>
      <c r="M7" s="478">
        <f>landbouw!M8</f>
        <v>0</v>
      </c>
      <c r="N7" s="478">
        <f>landbouw!N8</f>
        <v>0</v>
      </c>
      <c r="O7" s="478">
        <f>landbouw!O8</f>
        <v>0</v>
      </c>
      <c r="P7" s="479">
        <f>landbouw!P8</f>
        <v>0</v>
      </c>
      <c r="Q7" s="477">
        <f t="shared" si="0"/>
        <v>14563.975215461616</v>
      </c>
    </row>
    <row r="8" spans="1:17">
      <c r="A8" s="477" t="s">
        <v>650</v>
      </c>
      <c r="B8" s="478">
        <f>industrie!B18</f>
        <v>19099.700799999999</v>
      </c>
      <c r="C8" s="478">
        <f>industrie!C18</f>
        <v>0</v>
      </c>
      <c r="D8" s="478">
        <f>industrie!D18</f>
        <v>11170.258422378705</v>
      </c>
      <c r="E8" s="478">
        <f>industrie!E18</f>
        <v>957.44071887308928</v>
      </c>
      <c r="F8" s="478">
        <f>industrie!F18</f>
        <v>14686.344041055287</v>
      </c>
      <c r="G8" s="478">
        <f>industrie!G18</f>
        <v>0</v>
      </c>
      <c r="H8" s="478">
        <f>industrie!H18</f>
        <v>0</v>
      </c>
      <c r="I8" s="478">
        <f>industrie!I18</f>
        <v>0</v>
      </c>
      <c r="J8" s="478">
        <f>industrie!J18</f>
        <v>191.11741757197572</v>
      </c>
      <c r="K8" s="478">
        <f>industrie!K18</f>
        <v>0</v>
      </c>
      <c r="L8" s="478">
        <f>industrie!L18</f>
        <v>0</v>
      </c>
      <c r="M8" s="478">
        <f>industrie!M18</f>
        <v>0</v>
      </c>
      <c r="N8" s="478">
        <f>industrie!N18</f>
        <v>5694.9462677938591</v>
      </c>
      <c r="O8" s="478">
        <f>industrie!O18</f>
        <v>0</v>
      </c>
      <c r="P8" s="479">
        <f>industrie!P18</f>
        <v>0</v>
      </c>
      <c r="Q8" s="477">
        <f t="shared" si="0"/>
        <v>51799.807667672918</v>
      </c>
    </row>
    <row r="9" spans="1:17" s="483" customFormat="1">
      <c r="A9" s="481" t="s">
        <v>571</v>
      </c>
      <c r="B9" s="482">
        <f>transport!B14</f>
        <v>38.639118056583328</v>
      </c>
      <c r="C9" s="482">
        <f>transport!C14</f>
        <v>0</v>
      </c>
      <c r="D9" s="482">
        <f>transport!D14</f>
        <v>99.364256012541944</v>
      </c>
      <c r="E9" s="482">
        <f>transport!E14</f>
        <v>756.56072494137186</v>
      </c>
      <c r="F9" s="482">
        <f>transport!F14</f>
        <v>0</v>
      </c>
      <c r="G9" s="482">
        <f>transport!G14</f>
        <v>258529.40506653991</v>
      </c>
      <c r="H9" s="482">
        <f>transport!H14</f>
        <v>38902.18892090083</v>
      </c>
      <c r="I9" s="482">
        <f>transport!I14</f>
        <v>0</v>
      </c>
      <c r="J9" s="482">
        <f>transport!J14</f>
        <v>0</v>
      </c>
      <c r="K9" s="482">
        <f>transport!K14</f>
        <v>0</v>
      </c>
      <c r="L9" s="482">
        <f>transport!L14</f>
        <v>0</v>
      </c>
      <c r="M9" s="482">
        <f>transport!M14</f>
        <v>16152.286926610812</v>
      </c>
      <c r="N9" s="482">
        <f>transport!N14</f>
        <v>0</v>
      </c>
      <c r="O9" s="482">
        <f>transport!O14</f>
        <v>0</v>
      </c>
      <c r="P9" s="482">
        <f>transport!P14</f>
        <v>0</v>
      </c>
      <c r="Q9" s="481">
        <f>SUM(B9:P9)</f>
        <v>314478.44501306204</v>
      </c>
    </row>
    <row r="10" spans="1:17">
      <c r="A10" s="477" t="s">
        <v>561</v>
      </c>
      <c r="B10" s="478">
        <f>transport!B54</f>
        <v>0</v>
      </c>
      <c r="C10" s="478">
        <f>transport!C54</f>
        <v>0</v>
      </c>
      <c r="D10" s="478">
        <f>transport!D54</f>
        <v>0</v>
      </c>
      <c r="E10" s="478">
        <f>transport!E54</f>
        <v>0</v>
      </c>
      <c r="F10" s="478">
        <f>transport!F54</f>
        <v>0</v>
      </c>
      <c r="G10" s="478">
        <f>transport!G54</f>
        <v>1256.9074695656927</v>
      </c>
      <c r="H10" s="478">
        <f>transport!H54</f>
        <v>0</v>
      </c>
      <c r="I10" s="478">
        <f>transport!I54</f>
        <v>0</v>
      </c>
      <c r="J10" s="478">
        <f>transport!J54</f>
        <v>0</v>
      </c>
      <c r="K10" s="478">
        <f>transport!K54</f>
        <v>0</v>
      </c>
      <c r="L10" s="478">
        <f>transport!L54</f>
        <v>0</v>
      </c>
      <c r="M10" s="478">
        <f>transport!M54</f>
        <v>71.677768906124811</v>
      </c>
      <c r="N10" s="478">
        <f>transport!N54</f>
        <v>0</v>
      </c>
      <c r="O10" s="478">
        <f>transport!O54</f>
        <v>0</v>
      </c>
      <c r="P10" s="479">
        <f>transport!P54</f>
        <v>0</v>
      </c>
      <c r="Q10" s="477">
        <f t="shared" si="0"/>
        <v>1328.5852384718175</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2203.5569999999998</v>
      </c>
      <c r="C14" s="485"/>
      <c r="D14" s="485">
        <f>'SEAP template'!E25</f>
        <v>4732.0267923176907</v>
      </c>
      <c r="E14" s="485"/>
      <c r="F14" s="485"/>
      <c r="G14" s="485"/>
      <c r="H14" s="485"/>
      <c r="I14" s="485"/>
      <c r="J14" s="485"/>
      <c r="K14" s="485"/>
      <c r="L14" s="485"/>
      <c r="M14" s="485"/>
      <c r="N14" s="485"/>
      <c r="O14" s="485"/>
      <c r="P14" s="486"/>
      <c r="Q14" s="477">
        <f t="shared" si="0"/>
        <v>6935.5837923176905</v>
      </c>
    </row>
    <row r="15" spans="1:17" s="487" customFormat="1">
      <c r="A15" s="1051" t="s">
        <v>565</v>
      </c>
      <c r="B15" s="991">
        <f ca="1">SUM(B4:B14)</f>
        <v>77398.074704820043</v>
      </c>
      <c r="C15" s="991">
        <f t="shared" ref="C15:Q15" ca="1" si="1">SUM(C4:C14)</f>
        <v>0</v>
      </c>
      <c r="D15" s="991">
        <f t="shared" ca="1" si="1"/>
        <v>101018.65435014354</v>
      </c>
      <c r="E15" s="991">
        <f t="shared" si="1"/>
        <v>3791.4200048396815</v>
      </c>
      <c r="F15" s="991">
        <f t="shared" ca="1" si="1"/>
        <v>45519.596325578124</v>
      </c>
      <c r="G15" s="991">
        <f t="shared" si="1"/>
        <v>259786.3125361056</v>
      </c>
      <c r="H15" s="991">
        <f t="shared" si="1"/>
        <v>38902.18892090083</v>
      </c>
      <c r="I15" s="991">
        <f t="shared" si="1"/>
        <v>0</v>
      </c>
      <c r="J15" s="991">
        <f t="shared" si="1"/>
        <v>697.68588024455823</v>
      </c>
      <c r="K15" s="991">
        <f t="shared" si="1"/>
        <v>0</v>
      </c>
      <c r="L15" s="991">
        <f t="shared" ca="1" si="1"/>
        <v>0</v>
      </c>
      <c r="M15" s="991">
        <f t="shared" si="1"/>
        <v>16223.964695516937</v>
      </c>
      <c r="N15" s="991">
        <f t="shared" ca="1" si="1"/>
        <v>15357.271635296143</v>
      </c>
      <c r="O15" s="991">
        <f t="shared" si="1"/>
        <v>247.00666666666669</v>
      </c>
      <c r="P15" s="991">
        <f t="shared" si="1"/>
        <v>705.4666666666667</v>
      </c>
      <c r="Q15" s="991">
        <f t="shared" ca="1" si="1"/>
        <v>559647.64238677872</v>
      </c>
    </row>
    <row r="17" spans="1:17">
      <c r="A17" s="488" t="s">
        <v>566</v>
      </c>
      <c r="B17" s="787">
        <f ca="1">huishoudens!B10</f>
        <v>0.2127687448252461</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7985.163947305683</v>
      </c>
      <c r="C22" s="478">
        <f t="shared" ref="C22:C32" ca="1" si="3">C4*$C$17</f>
        <v>0</v>
      </c>
      <c r="D22" s="478">
        <f t="shared" ref="D22:D32" si="4">D4*$D$17</f>
        <v>12605.197126700728</v>
      </c>
      <c r="E22" s="478">
        <f t="shared" ref="E22:E32" si="5">E4*$E$17</f>
        <v>428.6509417348359</v>
      </c>
      <c r="F22" s="478">
        <f t="shared" ref="F22:F32" si="6">F4*$F$17</f>
        <v>6332.70178487675</v>
      </c>
      <c r="G22" s="478">
        <f t="shared" ref="G22:G32" si="7">G4*$G$17</f>
        <v>0</v>
      </c>
      <c r="H22" s="478">
        <f t="shared" ref="H22:H32" si="8">H4*$H$17</f>
        <v>0</v>
      </c>
      <c r="I22" s="478">
        <f t="shared" ref="I22:I32" si="9">I4*$I$17</f>
        <v>0</v>
      </c>
      <c r="J22" s="478">
        <f t="shared" ref="J22:J32" si="10">J4*$J$17</f>
        <v>80.935888854097456</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27432.649689472095</v>
      </c>
    </row>
    <row r="23" spans="1:17">
      <c r="A23" s="477" t="s">
        <v>156</v>
      </c>
      <c r="B23" s="478">
        <f t="shared" ca="1" si="2"/>
        <v>3281.1654530161936</v>
      </c>
      <c r="C23" s="478">
        <f t="shared" ca="1" si="3"/>
        <v>0</v>
      </c>
      <c r="D23" s="478">
        <f t="shared" ca="1" si="4"/>
        <v>2981.1811856420436</v>
      </c>
      <c r="E23" s="478">
        <f t="shared" si="5"/>
        <v>39.111348739451174</v>
      </c>
      <c r="F23" s="478">
        <f t="shared" ca="1" si="6"/>
        <v>671.6719015757285</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6973.1298889734171</v>
      </c>
    </row>
    <row r="24" spans="1:17">
      <c r="A24" s="477" t="s">
        <v>194</v>
      </c>
      <c r="B24" s="478">
        <f t="shared" ca="1" si="2"/>
        <v>274.94721896925188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274.94721896925188</v>
      </c>
    </row>
    <row r="25" spans="1:17">
      <c r="A25" s="477" t="s">
        <v>112</v>
      </c>
      <c r="B25" s="478">
        <f t="shared" ca="1" si="2"/>
        <v>385.7259680993742</v>
      </c>
      <c r="C25" s="478">
        <f t="shared" ca="1" si="3"/>
        <v>0</v>
      </c>
      <c r="D25" s="478">
        <f t="shared" si="4"/>
        <v>1587.0566733030175</v>
      </c>
      <c r="E25" s="478">
        <f t="shared" si="5"/>
        <v>3.8117228784378669</v>
      </c>
      <c r="F25" s="478">
        <f t="shared" si="6"/>
        <v>1228.1046735151194</v>
      </c>
      <c r="G25" s="478">
        <f t="shared" si="7"/>
        <v>0</v>
      </c>
      <c r="H25" s="478">
        <f t="shared" si="8"/>
        <v>0</v>
      </c>
      <c r="I25" s="478">
        <f t="shared" si="9"/>
        <v>0</v>
      </c>
      <c r="J25" s="478">
        <f t="shared" si="10"/>
        <v>98.389346931996741</v>
      </c>
      <c r="K25" s="478">
        <f t="shared" si="11"/>
        <v>0</v>
      </c>
      <c r="L25" s="478">
        <f t="shared" si="12"/>
        <v>0</v>
      </c>
      <c r="M25" s="478">
        <f t="shared" si="13"/>
        <v>0</v>
      </c>
      <c r="N25" s="478">
        <f t="shared" si="14"/>
        <v>0</v>
      </c>
      <c r="O25" s="478">
        <f t="shared" si="15"/>
        <v>0</v>
      </c>
      <c r="P25" s="479">
        <f t="shared" si="16"/>
        <v>0</v>
      </c>
      <c r="Q25" s="477">
        <f t="shared" ca="1" si="17"/>
        <v>3303.088384727946</v>
      </c>
    </row>
    <row r="26" spans="1:17">
      <c r="A26" s="477" t="s">
        <v>650</v>
      </c>
      <c r="B26" s="478">
        <f t="shared" ca="1" si="2"/>
        <v>4063.8193657537486</v>
      </c>
      <c r="C26" s="478">
        <f t="shared" ca="1" si="3"/>
        <v>0</v>
      </c>
      <c r="D26" s="478">
        <f t="shared" si="4"/>
        <v>2256.3922013204988</v>
      </c>
      <c r="E26" s="478">
        <f t="shared" si="5"/>
        <v>217.33904318419127</v>
      </c>
      <c r="F26" s="478">
        <f t="shared" si="6"/>
        <v>3921.2538589617616</v>
      </c>
      <c r="G26" s="478">
        <f t="shared" si="7"/>
        <v>0</v>
      </c>
      <c r="H26" s="478">
        <f t="shared" si="8"/>
        <v>0</v>
      </c>
      <c r="I26" s="478">
        <f t="shared" si="9"/>
        <v>0</v>
      </c>
      <c r="J26" s="478">
        <f t="shared" si="10"/>
        <v>67.655565820479396</v>
      </c>
      <c r="K26" s="478">
        <f t="shared" si="11"/>
        <v>0</v>
      </c>
      <c r="L26" s="478">
        <f t="shared" si="12"/>
        <v>0</v>
      </c>
      <c r="M26" s="478">
        <f t="shared" si="13"/>
        <v>0</v>
      </c>
      <c r="N26" s="478">
        <f t="shared" si="14"/>
        <v>0</v>
      </c>
      <c r="O26" s="478">
        <f t="shared" si="15"/>
        <v>0</v>
      </c>
      <c r="P26" s="479">
        <f t="shared" si="16"/>
        <v>0</v>
      </c>
      <c r="Q26" s="477">
        <f t="shared" ca="1" si="17"/>
        <v>10526.46003504068</v>
      </c>
    </row>
    <row r="27" spans="1:17" s="483" customFormat="1">
      <c r="A27" s="481" t="s">
        <v>571</v>
      </c>
      <c r="B27" s="781">
        <f t="shared" ca="1" si="2"/>
        <v>8.2211966500537379</v>
      </c>
      <c r="C27" s="482">
        <f t="shared" ca="1" si="3"/>
        <v>0</v>
      </c>
      <c r="D27" s="482">
        <f t="shared" si="4"/>
        <v>20.071579714533474</v>
      </c>
      <c r="E27" s="482">
        <f t="shared" si="5"/>
        <v>171.73928456169142</v>
      </c>
      <c r="F27" s="482">
        <f t="shared" si="6"/>
        <v>0</v>
      </c>
      <c r="G27" s="482">
        <f t="shared" si="7"/>
        <v>69027.351152766161</v>
      </c>
      <c r="H27" s="482">
        <f t="shared" si="8"/>
        <v>9686.6450413043058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78914.028254996752</v>
      </c>
    </row>
    <row r="28" spans="1:17">
      <c r="A28" s="477" t="s">
        <v>561</v>
      </c>
      <c r="B28" s="478">
        <f t="shared" ca="1" si="2"/>
        <v>0</v>
      </c>
      <c r="C28" s="478">
        <f t="shared" ca="1" si="3"/>
        <v>0</v>
      </c>
      <c r="D28" s="478">
        <f t="shared" si="4"/>
        <v>0</v>
      </c>
      <c r="E28" s="478">
        <f t="shared" si="5"/>
        <v>0</v>
      </c>
      <c r="F28" s="478">
        <f t="shared" si="6"/>
        <v>0</v>
      </c>
      <c r="G28" s="478">
        <f t="shared" si="7"/>
        <v>335.59429437403998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335.59429437403998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468.84805704088478</v>
      </c>
      <c r="C32" s="478">
        <f t="shared" ca="1" si="3"/>
        <v>0</v>
      </c>
      <c r="D32" s="478">
        <f t="shared" si="4"/>
        <v>955.86941204817356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1424.7174690890583</v>
      </c>
    </row>
    <row r="33" spans="1:17" s="487" customFormat="1">
      <c r="A33" s="1051" t="s">
        <v>565</v>
      </c>
      <c r="B33" s="991">
        <f ca="1">SUM(B22:B32)</f>
        <v>16467.891206835189</v>
      </c>
      <c r="C33" s="991">
        <f t="shared" ref="C33:Q33" ca="1" si="18">SUM(C22:C32)</f>
        <v>0</v>
      </c>
      <c r="D33" s="991">
        <f t="shared" ca="1" si="18"/>
        <v>20405.768178728995</v>
      </c>
      <c r="E33" s="991">
        <f t="shared" si="18"/>
        <v>860.65234109860762</v>
      </c>
      <c r="F33" s="991">
        <f t="shared" ca="1" si="18"/>
        <v>12153.732218929359</v>
      </c>
      <c r="G33" s="991">
        <f t="shared" si="18"/>
        <v>69362.945447140199</v>
      </c>
      <c r="H33" s="991">
        <f t="shared" si="18"/>
        <v>9686.6450413043058</v>
      </c>
      <c r="I33" s="991">
        <f t="shared" si="18"/>
        <v>0</v>
      </c>
      <c r="J33" s="991">
        <f t="shared" si="18"/>
        <v>246.98080160657361</v>
      </c>
      <c r="K33" s="991">
        <f t="shared" si="18"/>
        <v>0</v>
      </c>
      <c r="L33" s="991">
        <f t="shared" ca="1" si="18"/>
        <v>0</v>
      </c>
      <c r="M33" s="991">
        <f t="shared" si="18"/>
        <v>0</v>
      </c>
      <c r="N33" s="991">
        <f t="shared" ca="1" si="18"/>
        <v>0</v>
      </c>
      <c r="O33" s="991">
        <f t="shared" si="18"/>
        <v>0</v>
      </c>
      <c r="P33" s="991">
        <f t="shared" si="18"/>
        <v>0</v>
      </c>
      <c r="Q33" s="991">
        <f t="shared" ca="1" si="18"/>
        <v>129184.61523564323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2882.7298775114868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2882.7298775114868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0.2127687448252461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0.2127687448252461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0.2127687448252461</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0.2127687448252461</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7401</v>
      </c>
      <c r="C9" s="342">
        <v>7823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850</v>
      </c>
    </row>
    <row r="15" spans="1:6">
      <c r="A15" s="348" t="s">
        <v>184</v>
      </c>
      <c r="B15" s="334">
        <v>5</v>
      </c>
    </row>
    <row r="16" spans="1:6">
      <c r="A16" s="348" t="s">
        <v>6</v>
      </c>
      <c r="B16" s="334">
        <v>171</v>
      </c>
    </row>
    <row r="17" spans="1:6">
      <c r="A17" s="348" t="s">
        <v>7</v>
      </c>
      <c r="B17" s="334">
        <v>94</v>
      </c>
    </row>
    <row r="18" spans="1:6">
      <c r="A18" s="348" t="s">
        <v>8</v>
      </c>
      <c r="B18" s="334">
        <v>138</v>
      </c>
    </row>
    <row r="19" spans="1:6">
      <c r="A19" s="348" t="s">
        <v>9</v>
      </c>
      <c r="B19" s="334">
        <v>127</v>
      </c>
    </row>
    <row r="20" spans="1:6">
      <c r="A20" s="348" t="s">
        <v>10</v>
      </c>
      <c r="B20" s="334">
        <v>129</v>
      </c>
    </row>
    <row r="21" spans="1:6">
      <c r="A21" s="348" t="s">
        <v>11</v>
      </c>
      <c r="B21" s="334">
        <v>556</v>
      </c>
    </row>
    <row r="22" spans="1:6">
      <c r="A22" s="348" t="s">
        <v>12</v>
      </c>
      <c r="B22" s="334">
        <v>780</v>
      </c>
    </row>
    <row r="23" spans="1:6">
      <c r="A23" s="348" t="s">
        <v>13</v>
      </c>
      <c r="B23" s="334">
        <v>14</v>
      </c>
    </row>
    <row r="24" spans="1:6">
      <c r="A24" s="348" t="s">
        <v>14</v>
      </c>
      <c r="B24" s="334">
        <v>1</v>
      </c>
    </row>
    <row r="25" spans="1:6">
      <c r="A25" s="348" t="s">
        <v>15</v>
      </c>
      <c r="B25" s="334">
        <v>120</v>
      </c>
    </row>
    <row r="26" spans="1:6">
      <c r="A26" s="348" t="s">
        <v>16</v>
      </c>
      <c r="B26" s="334">
        <v>21</v>
      </c>
    </row>
    <row r="27" spans="1:6">
      <c r="A27" s="348" t="s">
        <v>17</v>
      </c>
      <c r="B27" s="334">
        <v>9</v>
      </c>
    </row>
    <row r="28" spans="1:6" s="356" customFormat="1">
      <c r="A28" s="355" t="s">
        <v>18</v>
      </c>
      <c r="B28" s="355">
        <v>39962</v>
      </c>
    </row>
    <row r="29" spans="1:6">
      <c r="A29" s="355" t="s">
        <v>901</v>
      </c>
      <c r="B29" s="355">
        <v>201</v>
      </c>
      <c r="C29" s="356"/>
      <c r="D29" s="356"/>
      <c r="E29" s="356"/>
      <c r="F29" s="356"/>
    </row>
    <row r="30" spans="1:6">
      <c r="A30" s="341" t="s">
        <v>902</v>
      </c>
      <c r="B30" s="341">
        <v>31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13959.9313290276</v>
      </c>
      <c r="E38" s="334">
        <v>4</v>
      </c>
      <c r="F38" s="334">
        <v>26075.75</v>
      </c>
    </row>
    <row r="39" spans="1:6">
      <c r="A39" s="348" t="s">
        <v>30</v>
      </c>
      <c r="B39" s="348" t="s">
        <v>31</v>
      </c>
      <c r="C39" s="334">
        <v>4479</v>
      </c>
      <c r="D39" s="334">
        <v>69181780.458720595</v>
      </c>
      <c r="E39" s="334">
        <v>7174</v>
      </c>
      <c r="F39" s="334">
        <v>35020624</v>
      </c>
    </row>
    <row r="40" spans="1:6">
      <c r="A40" s="348" t="s">
        <v>30</v>
      </c>
      <c r="B40" s="348" t="s">
        <v>29</v>
      </c>
      <c r="C40" s="334">
        <v>0</v>
      </c>
      <c r="D40" s="334">
        <v>0</v>
      </c>
      <c r="E40" s="334">
        <v>0</v>
      </c>
      <c r="F40" s="334">
        <v>0</v>
      </c>
    </row>
    <row r="41" spans="1:6">
      <c r="A41" s="348" t="s">
        <v>32</v>
      </c>
      <c r="B41" s="348" t="s">
        <v>33</v>
      </c>
      <c r="C41" s="334">
        <v>65</v>
      </c>
      <c r="D41" s="334">
        <v>1133823.01664313</v>
      </c>
      <c r="E41" s="334">
        <v>132</v>
      </c>
      <c r="F41" s="334">
        <v>1018498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34749.482176921701</v>
      </c>
      <c r="E44" s="334">
        <v>16</v>
      </c>
      <c r="F44" s="334">
        <v>142237.79999999999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22</v>
      </c>
      <c r="D48" s="334">
        <v>2974385.0990744601</v>
      </c>
      <c r="E48" s="334">
        <v>36</v>
      </c>
      <c r="F48" s="334">
        <v>12069177</v>
      </c>
    </row>
    <row r="49" spans="1:6">
      <c r="A49" s="348" t="s">
        <v>32</v>
      </c>
      <c r="B49" s="348" t="s">
        <v>40</v>
      </c>
      <c r="C49" s="334">
        <v>0</v>
      </c>
      <c r="D49" s="334">
        <v>0</v>
      </c>
      <c r="E49" s="334">
        <v>0</v>
      </c>
      <c r="F49" s="334">
        <v>0</v>
      </c>
    </row>
    <row r="50" spans="1:6">
      <c r="A50" s="348" t="s">
        <v>32</v>
      </c>
      <c r="B50" s="348" t="s">
        <v>41</v>
      </c>
      <c r="C50" s="334">
        <v>8</v>
      </c>
      <c r="D50" s="334">
        <v>8240920.9191550501</v>
      </c>
      <c r="E50" s="334">
        <v>17</v>
      </c>
      <c r="F50" s="334">
        <v>5869788</v>
      </c>
    </row>
    <row r="51" spans="1:6">
      <c r="A51" s="348" t="s">
        <v>42</v>
      </c>
      <c r="B51" s="348" t="s">
        <v>43</v>
      </c>
      <c r="C51" s="334">
        <v>22</v>
      </c>
      <c r="D51" s="334">
        <v>8667660.4511528797</v>
      </c>
      <c r="E51" s="334">
        <v>69</v>
      </c>
      <c r="F51" s="334">
        <v>1647877</v>
      </c>
    </row>
    <row r="52" spans="1:6">
      <c r="A52" s="348" t="s">
        <v>42</v>
      </c>
      <c r="B52" s="348" t="s">
        <v>29</v>
      </c>
      <c r="C52" s="334">
        <v>2</v>
      </c>
      <c r="D52" s="334">
        <v>42667.935177920903</v>
      </c>
      <c r="E52" s="334">
        <v>12</v>
      </c>
      <c r="F52" s="334">
        <v>165011.29999999999</v>
      </c>
    </row>
    <row r="53" spans="1:6">
      <c r="A53" s="348" t="s">
        <v>44</v>
      </c>
      <c r="B53" s="348" t="s">
        <v>45</v>
      </c>
      <c r="C53" s="334">
        <v>115</v>
      </c>
      <c r="D53" s="334">
        <v>4732026.7923176903</v>
      </c>
      <c r="E53" s="334">
        <v>301</v>
      </c>
      <c r="F53" s="334">
        <v>2203557</v>
      </c>
    </row>
    <row r="54" spans="1:6">
      <c r="A54" s="348" t="s">
        <v>46</v>
      </c>
      <c r="B54" s="348" t="s">
        <v>47</v>
      </c>
      <c r="C54" s="334">
        <v>0</v>
      </c>
      <c r="D54" s="334">
        <v>0</v>
      </c>
      <c r="E54" s="334">
        <v>2</v>
      </c>
      <c r="F54" s="334">
        <v>1292235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2627855.63449169</v>
      </c>
      <c r="E57" s="334">
        <v>93</v>
      </c>
      <c r="F57" s="334">
        <v>3407736</v>
      </c>
    </row>
    <row r="58" spans="1:6">
      <c r="A58" s="348" t="s">
        <v>49</v>
      </c>
      <c r="B58" s="348" t="s">
        <v>51</v>
      </c>
      <c r="C58" s="334">
        <v>28</v>
      </c>
      <c r="D58" s="334">
        <v>963215.04336619098</v>
      </c>
      <c r="E58" s="334">
        <v>45</v>
      </c>
      <c r="F58" s="334">
        <v>642806.4</v>
      </c>
    </row>
    <row r="59" spans="1:6">
      <c r="A59" s="348" t="s">
        <v>49</v>
      </c>
      <c r="B59" s="348" t="s">
        <v>52</v>
      </c>
      <c r="C59" s="334">
        <v>53</v>
      </c>
      <c r="D59" s="334">
        <v>1378001.13021823</v>
      </c>
      <c r="E59" s="334">
        <v>162</v>
      </c>
      <c r="F59" s="334">
        <v>3791109</v>
      </c>
    </row>
    <row r="60" spans="1:6">
      <c r="A60" s="348" t="s">
        <v>49</v>
      </c>
      <c r="B60" s="348" t="s">
        <v>53</v>
      </c>
      <c r="C60" s="334">
        <v>46</v>
      </c>
      <c r="D60" s="334">
        <v>1690169.6373240801</v>
      </c>
      <c r="E60" s="334">
        <v>71</v>
      </c>
      <c r="F60" s="334">
        <v>2058245</v>
      </c>
    </row>
    <row r="61" spans="1:6">
      <c r="A61" s="348" t="s">
        <v>49</v>
      </c>
      <c r="B61" s="348" t="s">
        <v>54</v>
      </c>
      <c r="C61" s="334">
        <v>143</v>
      </c>
      <c r="D61" s="334">
        <v>6069028.8014074899</v>
      </c>
      <c r="E61" s="334">
        <v>260</v>
      </c>
      <c r="F61" s="334">
        <v>2555474</v>
      </c>
    </row>
    <row r="62" spans="1:6">
      <c r="A62" s="348" t="s">
        <v>49</v>
      </c>
      <c r="B62" s="348" t="s">
        <v>55</v>
      </c>
      <c r="C62" s="334">
        <v>4</v>
      </c>
      <c r="D62" s="334">
        <v>357138.000144638</v>
      </c>
      <c r="E62" s="334">
        <v>10</v>
      </c>
      <c r="F62" s="334">
        <v>147467.20000000001</v>
      </c>
    </row>
    <row r="63" spans="1:6">
      <c r="A63" s="348" t="s">
        <v>49</v>
      </c>
      <c r="B63" s="348" t="s">
        <v>29</v>
      </c>
      <c r="C63" s="334">
        <v>92</v>
      </c>
      <c r="D63" s="334">
        <v>3276368.5836443901</v>
      </c>
      <c r="E63" s="334">
        <v>112</v>
      </c>
      <c r="F63" s="334">
        <v>2818438</v>
      </c>
    </row>
    <row r="64" spans="1:6">
      <c r="A64" s="348" t="s">
        <v>56</v>
      </c>
      <c r="B64" s="348" t="s">
        <v>57</v>
      </c>
      <c r="C64" s="334">
        <v>0</v>
      </c>
      <c r="D64" s="334">
        <v>0</v>
      </c>
      <c r="E64" s="334">
        <v>0</v>
      </c>
      <c r="F64" s="334">
        <v>0</v>
      </c>
    </row>
    <row r="65" spans="1:6">
      <c r="A65" s="348" t="s">
        <v>56</v>
      </c>
      <c r="B65" s="348" t="s">
        <v>29</v>
      </c>
      <c r="C65" s="334">
        <v>1</v>
      </c>
      <c r="D65" s="334">
        <v>10404.7619430266</v>
      </c>
      <c r="E65" s="334">
        <v>4</v>
      </c>
      <c r="F65" s="334">
        <v>649467.69999999995</v>
      </c>
    </row>
    <row r="66" spans="1:6">
      <c r="A66" s="348" t="s">
        <v>56</v>
      </c>
      <c r="B66" s="348" t="s">
        <v>58</v>
      </c>
      <c r="C66" s="334">
        <v>0</v>
      </c>
      <c r="D66" s="334">
        <v>0</v>
      </c>
      <c r="E66" s="334">
        <v>8</v>
      </c>
      <c r="F66" s="334">
        <v>961989</v>
      </c>
    </row>
    <row r="67" spans="1:6">
      <c r="A67" s="355" t="s">
        <v>56</v>
      </c>
      <c r="B67" s="355" t="s">
        <v>59</v>
      </c>
      <c r="C67" s="334">
        <v>0</v>
      </c>
      <c r="D67" s="334">
        <v>0</v>
      </c>
      <c r="E67" s="334">
        <v>0</v>
      </c>
      <c r="F67" s="334">
        <v>0</v>
      </c>
    </row>
    <row r="68" spans="1:6">
      <c r="A68" s="341" t="s">
        <v>56</v>
      </c>
      <c r="B68" s="341" t="s">
        <v>60</v>
      </c>
      <c r="C68" s="334">
        <v>7</v>
      </c>
      <c r="D68" s="334">
        <v>1572953.9001308801</v>
      </c>
      <c r="E68" s="334">
        <v>10</v>
      </c>
      <c r="F68" s="334">
        <v>103206.2</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35332854</v>
      </c>
      <c r="E73" s="476">
        <v>32477234.427563343</v>
      </c>
    </row>
    <row r="74" spans="1:6">
      <c r="A74" s="348" t="s">
        <v>64</v>
      </c>
      <c r="B74" s="348" t="s">
        <v>714</v>
      </c>
      <c r="C74" s="1311" t="s">
        <v>716</v>
      </c>
      <c r="D74" s="476">
        <v>3632761.1524544563</v>
      </c>
      <c r="E74" s="476">
        <v>3013651.0616716626</v>
      </c>
    </row>
    <row r="75" spans="1:6">
      <c r="A75" s="348" t="s">
        <v>65</v>
      </c>
      <c r="B75" s="348" t="s">
        <v>713</v>
      </c>
      <c r="C75" s="1311" t="s">
        <v>717</v>
      </c>
      <c r="D75" s="476">
        <v>27137236</v>
      </c>
      <c r="E75" s="476">
        <v>24280381.602005038</v>
      </c>
    </row>
    <row r="76" spans="1:6">
      <c r="A76" s="348" t="s">
        <v>65</v>
      </c>
      <c r="B76" s="348" t="s">
        <v>714</v>
      </c>
      <c r="C76" s="1311" t="s">
        <v>718</v>
      </c>
      <c r="D76" s="476">
        <v>1205138.1524544561</v>
      </c>
      <c r="E76" s="476">
        <v>1052390.6973732954</v>
      </c>
    </row>
    <row r="77" spans="1:6">
      <c r="A77" s="348" t="s">
        <v>66</v>
      </c>
      <c r="B77" s="348" t="s">
        <v>713</v>
      </c>
      <c r="C77" s="1311" t="s">
        <v>719</v>
      </c>
      <c r="D77" s="476">
        <v>219457129</v>
      </c>
      <c r="E77" s="476">
        <v>242722650.53801656</v>
      </c>
    </row>
    <row r="78" spans="1:6">
      <c r="A78" s="341" t="s">
        <v>66</v>
      </c>
      <c r="B78" s="341" t="s">
        <v>714</v>
      </c>
      <c r="C78" s="341" t="s">
        <v>720</v>
      </c>
      <c r="D78" s="1307">
        <v>41002825</v>
      </c>
      <c r="E78" s="1307">
        <v>42123481.355088621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355029.69509108772</v>
      </c>
      <c r="C83" s="476">
        <v>360218.72685017565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2509.1548867634542</v>
      </c>
    </row>
    <row r="92" spans="1:6">
      <c r="A92" s="341" t="s">
        <v>69</v>
      </c>
      <c r="B92" s="342">
        <v>373.57499074803275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2414</v>
      </c>
    </row>
    <row r="98" spans="1:6">
      <c r="A98" s="348" t="s">
        <v>72</v>
      </c>
      <c r="B98" s="334">
        <v>0</v>
      </c>
    </row>
    <row r="99" spans="1:6">
      <c r="A99" s="348" t="s">
        <v>73</v>
      </c>
      <c r="B99" s="334">
        <v>71</v>
      </c>
    </row>
    <row r="100" spans="1:6">
      <c r="A100" s="348" t="s">
        <v>74</v>
      </c>
      <c r="B100" s="334">
        <v>936</v>
      </c>
    </row>
    <row r="101" spans="1:6">
      <c r="A101" s="348" t="s">
        <v>75</v>
      </c>
      <c r="B101" s="334">
        <v>69</v>
      </c>
    </row>
    <row r="102" spans="1:6">
      <c r="A102" s="348" t="s">
        <v>76</v>
      </c>
      <c r="B102" s="334">
        <v>106</v>
      </c>
    </row>
    <row r="103" spans="1:6">
      <c r="A103" s="348" t="s">
        <v>77</v>
      </c>
      <c r="B103" s="334">
        <v>213</v>
      </c>
    </row>
    <row r="104" spans="1:6">
      <c r="A104" s="348" t="s">
        <v>78</v>
      </c>
      <c r="B104" s="334">
        <v>2822</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54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104</v>
      </c>
    </row>
    <row r="130" spans="1:6">
      <c r="A130" s="348" t="s">
        <v>295</v>
      </c>
      <c r="B130" s="334">
        <v>0</v>
      </c>
    </row>
    <row r="131" spans="1:6">
      <c r="A131" s="348" t="s">
        <v>296</v>
      </c>
      <c r="B131" s="334">
        <v>3</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77398.074704820057</v>
      </c>
      <c r="C3" s="43" t="s">
        <v>170</v>
      </c>
      <c r="D3" s="43"/>
      <c r="E3" s="154"/>
      <c r="F3" s="43"/>
      <c r="G3" s="43"/>
      <c r="H3" s="43"/>
      <c r="I3" s="43"/>
      <c r="J3" s="43"/>
      <c r="K3" s="96"/>
    </row>
    <row r="4" spans="1:11">
      <c r="A4" s="384" t="s">
        <v>171</v>
      </c>
      <c r="B4" s="49">
        <f>IF(ISERROR('SEAP template'!B78+'SEAP template'!C78),0,'SEAP template'!B78+'SEAP template'!C78)</f>
        <v>2882.7298775114868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0.2127687448252461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1292.2349999999999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1292.2349999999999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0.2127687448252461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274.94721896925188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35020.624000000003</v>
      </c>
      <c r="C5" s="17">
        <f>IF(ISERROR('Eigen informatie GS &amp; warmtenet'!B57),0,'Eigen informatie GS &amp; warmtenet'!B57)</f>
        <v>0</v>
      </c>
      <c r="D5" s="30">
        <f>(SUM(HH_hh_gas_kWh,HH_rest_gas_kWh)/1000)*0.902</f>
        <v>62401.965973765975</v>
      </c>
      <c r="E5" s="17">
        <f>B46*B57</f>
        <v>1888.3301398010392</v>
      </c>
      <c r="F5" s="17">
        <f>B51*B62</f>
        <v>23717.984213021533</v>
      </c>
      <c r="G5" s="18"/>
      <c r="H5" s="17"/>
      <c r="I5" s="17"/>
      <c r="J5" s="17">
        <f>B50*B61+C50*C61</f>
        <v>228.63245439010581</v>
      </c>
      <c r="K5" s="17"/>
      <c r="L5" s="17"/>
      <c r="M5" s="17"/>
      <c r="N5" s="17">
        <f>B48*B59+C48*C59</f>
        <v>6959.3207551751029</v>
      </c>
      <c r="O5" s="17">
        <f>B69*B70*B71</f>
        <v>247.00666666666669</v>
      </c>
      <c r="P5" s="17">
        <f>B77*B78*B79/1000-B77*B78*B79/1000/B80</f>
        <v>648.26666666666665</v>
      </c>
    </row>
    <row r="6" spans="1:16">
      <c r="A6" s="16" t="s">
        <v>631</v>
      </c>
      <c r="B6" s="789">
        <f>kWh_PV_kleiner_dan_10kW</f>
        <v>2509.1548867634542</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37529.778886763459</v>
      </c>
      <c r="C8" s="21">
        <f>C5</f>
        <v>0</v>
      </c>
      <c r="D8" s="21">
        <f>D5</f>
        <v>62401.965973765975</v>
      </c>
      <c r="E8" s="21">
        <f>E5</f>
        <v>1888.3301398010392</v>
      </c>
      <c r="F8" s="21">
        <f>F5</f>
        <v>23717.984213021533</v>
      </c>
      <c r="G8" s="21"/>
      <c r="H8" s="21"/>
      <c r="I8" s="21"/>
      <c r="J8" s="21">
        <f>J5</f>
        <v>228.63245439010581</v>
      </c>
      <c r="K8" s="21"/>
      <c r="L8" s="21">
        <f>L5</f>
        <v>0</v>
      </c>
      <c r="M8" s="21">
        <f>M5</f>
        <v>0</v>
      </c>
      <c r="N8" s="21">
        <f>N5</f>
        <v>6959.3207551751029</v>
      </c>
      <c r="O8" s="21">
        <f>O5</f>
        <v>247.00666666666669</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0.2127687448252461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7985.163947305683</v>
      </c>
      <c r="C12" s="23">
        <f ca="1">C10*C8</f>
        <v>0</v>
      </c>
      <c r="D12" s="23">
        <f>D8*D10</f>
        <v>12605.197126700728</v>
      </c>
      <c r="E12" s="23">
        <f>E10*E8</f>
        <v>428.6509417348359</v>
      </c>
      <c r="F12" s="23">
        <f>F10*F8</f>
        <v>6332.70178487675</v>
      </c>
      <c r="G12" s="23"/>
      <c r="H12" s="23"/>
      <c r="I12" s="23"/>
      <c r="J12" s="23">
        <f>J10*J8</f>
        <v>80.935888854097456</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2414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6.5985130111524164</v>
      </c>
      <c r="D20" s="229"/>
      <c r="E20" s="15"/>
    </row>
    <row r="21" spans="1:7">
      <c r="A21" s="171" t="s">
        <v>74</v>
      </c>
      <c r="B21" s="37">
        <f>aantalw2001_elektriciteit</f>
        <v>936</v>
      </c>
      <c r="C21" s="167">
        <f>IF(ISERROR(B21/SUM($B$20,$B$21,$B$22)*100),0,B21/SUM($B$20,$B$21,$B$22)*100)</f>
        <v>86.988847583643121</v>
      </c>
      <c r="D21" s="229"/>
      <c r="E21" s="15"/>
    </row>
    <row r="22" spans="1:7">
      <c r="A22" s="171" t="s">
        <v>75</v>
      </c>
      <c r="B22" s="37">
        <f>aantalw2001_hout</f>
        <v>69</v>
      </c>
      <c r="C22" s="167">
        <f>IF(ISERROR(B22/SUM($B$20,$B$21,$B$22)*100),0,B22/SUM($B$20,$B$21,$B$22)*100)</f>
        <v>6.4126394052044606</v>
      </c>
      <c r="D22" s="229"/>
      <c r="E22" s="15"/>
    </row>
    <row r="23" spans="1:7">
      <c r="A23" s="171" t="s">
        <v>76</v>
      </c>
      <c r="B23" s="37">
        <f>aantalw2001_niet_gespec</f>
        <v>106</v>
      </c>
      <c r="C23" s="166" t="s">
        <v>111</v>
      </c>
      <c r="D23" s="228"/>
      <c r="E23" s="15"/>
    </row>
    <row r="24" spans="1:7">
      <c r="A24" s="171" t="s">
        <v>77</v>
      </c>
      <c r="B24" s="37">
        <f>aantalw2001_steenkool</f>
        <v>213</v>
      </c>
      <c r="C24" s="166" t="s">
        <v>111</v>
      </c>
      <c r="D24" s="229"/>
      <c r="E24" s="15"/>
    </row>
    <row r="25" spans="1:7">
      <c r="A25" s="171" t="s">
        <v>78</v>
      </c>
      <c r="B25" s="37">
        <f>aantalw2001_stookolie</f>
        <v>2822</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7401</v>
      </c>
      <c r="C28" s="36"/>
      <c r="D28" s="228"/>
    </row>
    <row r="29" spans="1:7" s="15" customFormat="1">
      <c r="A29" s="230" t="s">
        <v>741</v>
      </c>
      <c r="B29" s="37">
        <f>SUM(HH_hh_gas_aantal,HH_rest_gas_aantal)</f>
        <v>4479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4479</v>
      </c>
      <c r="C32" s="167">
        <f>IF(ISERROR(B32/SUM($B$32,$B$34,$B$35,$B$36,$B$38,$B$39)*100),0,B32/SUM($B$32,$B$34,$B$35,$B$36,$B$38,$B$39)*100)</f>
        <v>60.798153929686436</v>
      </c>
      <c r="D32" s="233"/>
      <c r="G32" s="15"/>
    </row>
    <row r="33" spans="1:7">
      <c r="A33" s="171" t="s">
        <v>72</v>
      </c>
      <c r="B33" s="34" t="s">
        <v>111</v>
      </c>
      <c r="C33" s="167"/>
      <c r="D33" s="233"/>
      <c r="G33" s="15"/>
    </row>
    <row r="34" spans="1:7">
      <c r="A34" s="171" t="s">
        <v>73</v>
      </c>
      <c r="B34" s="33">
        <f>IF((($B$28-$B$32-$B$39-$B$77-$B$38)*C20/100)&lt;0,0,($B$28-$B$32-$B$39-$B$77-$B$38)*C20/100)</f>
        <v>126.55947955390334</v>
      </c>
      <c r="C34" s="167">
        <f>IF(ISERROR(B34/SUM($B$32,$B$34,$B$35,$B$36,$B$38,$B$39)*100),0,B34/SUM($B$32,$B$34,$B$35,$B$36,$B$38,$B$39)*100)</f>
        <v>1.7179242507656216</v>
      </c>
      <c r="D34" s="233"/>
      <c r="G34" s="15"/>
    </row>
    <row r="35" spans="1:7">
      <c r="A35" s="171" t="s">
        <v>74</v>
      </c>
      <c r="B35" s="33">
        <f>IF((($B$28-$B$32-$B$39-$B$77-$B$38)*C21/100)&lt;0,0,($B$28-$B$32-$B$39-$B$77-$B$38)*C21/100)</f>
        <v>1668.4460966542749</v>
      </c>
      <c r="C35" s="167">
        <f>IF(ISERROR(B35/SUM($B$32,$B$34,$B$35,$B$36,$B$38,$B$39)*100),0,B35/SUM($B$32,$B$34,$B$35,$B$36,$B$38,$B$39)*100)</f>
        <v>22.647564770656643</v>
      </c>
      <c r="D35" s="233"/>
      <c r="G35" s="15"/>
    </row>
    <row r="36" spans="1:7">
      <c r="A36" s="171" t="s">
        <v>75</v>
      </c>
      <c r="B36" s="33">
        <f>IF((($B$28-$B$32-$B$39-$B$77-$B$38)*C22/100)&lt;0,0,($B$28-$B$32-$B$39-$B$77-$B$38)*C22/100)</f>
        <v>122.99442379182156</v>
      </c>
      <c r="C36" s="167">
        <f>IF(ISERROR(B36/SUM($B$32,$B$34,$B$35,$B$36,$B$38,$B$39)*100),0,B36/SUM($B$32,$B$34,$B$35,$B$36,$B$38,$B$39)*100)</f>
        <v>1.6695320183496887</v>
      </c>
      <c r="D36" s="233"/>
      <c r="G36" s="15"/>
    </row>
    <row r="37" spans="1:7">
      <c r="A37" s="171" t="s">
        <v>76</v>
      </c>
      <c r="B37" s="34" t="s">
        <v>111</v>
      </c>
      <c r="C37" s="167"/>
      <c r="D37" s="173"/>
      <c r="G37" s="15"/>
    </row>
    <row r="38" spans="1:7">
      <c r="A38" s="171" t="s">
        <v>77</v>
      </c>
      <c r="B38" s="33">
        <f>IF((B24-(B29-B18)*0.1)&lt;0,0,B24-(B29-B18)*0.1)</f>
        <v>6.5</v>
      </c>
      <c r="C38" s="167">
        <f>IF(ISERROR(B38/SUM($B$32,$B$34,$B$35,$B$36,$B$38,$B$39)*100),0,B38/SUM($B$32,$B$34,$B$35,$B$36,$B$38,$B$39)*100)</f>
        <v>8.8231301751051983E-2</v>
      </c>
      <c r="D38" s="234"/>
      <c r="G38" s="15"/>
    </row>
    <row r="39" spans="1:7">
      <c r="A39" s="171" t="s">
        <v>78</v>
      </c>
      <c r="B39" s="33">
        <f>IF((B25-(B29-B18))&lt;0,0,B25-(B29-B18)*0.9)</f>
        <v>963.5</v>
      </c>
      <c r="C39" s="167">
        <f>IF(ISERROR(B39/SUM($B$32,$B$34,$B$35,$B$36,$B$38,$B$39)*100),0,B39/SUM($B$32,$B$34,$B$35,$B$36,$B$38,$B$39)*100)</f>
        <v>13.078593728790553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4479</v>
      </c>
      <c r="C44" s="34" t="s">
        <v>111</v>
      </c>
      <c r="D44" s="174"/>
    </row>
    <row r="45" spans="1:7">
      <c r="A45" s="171" t="s">
        <v>72</v>
      </c>
      <c r="B45" s="33" t="str">
        <f t="shared" si="0"/>
        <v>-</v>
      </c>
      <c r="C45" s="34" t="s">
        <v>111</v>
      </c>
      <c r="D45" s="174"/>
    </row>
    <row r="46" spans="1:7">
      <c r="A46" s="171" t="s">
        <v>73</v>
      </c>
      <c r="B46" s="33">
        <f t="shared" si="0"/>
        <v>126.55947955390334</v>
      </c>
      <c r="C46" s="34" t="s">
        <v>111</v>
      </c>
      <c r="D46" s="174"/>
    </row>
    <row r="47" spans="1:7">
      <c r="A47" s="171" t="s">
        <v>74</v>
      </c>
      <c r="B47" s="33">
        <f t="shared" si="0"/>
        <v>1668.4460966542749</v>
      </c>
      <c r="C47" s="34" t="s">
        <v>111</v>
      </c>
      <c r="D47" s="174"/>
    </row>
    <row r="48" spans="1:7">
      <c r="A48" s="171" t="s">
        <v>75</v>
      </c>
      <c r="B48" s="33">
        <f t="shared" si="0"/>
        <v>122.99442379182156</v>
      </c>
      <c r="C48" s="33">
        <f>B48*10</f>
        <v>1229.9442379182155</v>
      </c>
      <c r="D48" s="234"/>
    </row>
    <row r="49" spans="1:6">
      <c r="A49" s="171" t="s">
        <v>76</v>
      </c>
      <c r="B49" s="33" t="str">
        <f t="shared" si="0"/>
        <v>-</v>
      </c>
      <c r="C49" s="34" t="s">
        <v>111</v>
      </c>
      <c r="D49" s="234"/>
    </row>
    <row r="50" spans="1:6">
      <c r="A50" s="171" t="s">
        <v>77</v>
      </c>
      <c r="B50" s="33">
        <f t="shared" si="0"/>
        <v>6.5</v>
      </c>
      <c r="C50" s="33">
        <f>B50*2</f>
        <v>13</v>
      </c>
      <c r="D50" s="234"/>
    </row>
    <row r="51" spans="1:6">
      <c r="A51" s="171" t="s">
        <v>78</v>
      </c>
      <c r="B51" s="33">
        <f t="shared" si="0"/>
        <v>963.5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15421.275599999999</v>
      </c>
      <c r="C5" s="17">
        <f>IF(ISERROR('Eigen informatie GS &amp; warmtenet'!B58),0,'Eigen informatie GS &amp; warmtenet'!B58)</f>
        <v>0</v>
      </c>
      <c r="D5" s="30">
        <f>SUM(D6:D12)</f>
        <v>14758.322701198234</v>
      </c>
      <c r="E5" s="17">
        <f>SUM(E6:E12)</f>
        <v>172.29669048216374</v>
      </c>
      <c r="F5" s="17">
        <f>SUM(F6:F12)</f>
        <v>2515.6250995345636</v>
      </c>
      <c r="G5" s="18"/>
      <c r="H5" s="17"/>
      <c r="I5" s="17"/>
      <c r="J5" s="17">
        <f>SUM(J6:J12)</f>
        <v>0</v>
      </c>
      <c r="K5" s="17"/>
      <c r="L5" s="17"/>
      <c r="M5" s="17"/>
      <c r="N5" s="17">
        <f>SUM(N6:N12)</f>
        <v>2703.0046123271809</v>
      </c>
      <c r="O5" s="17">
        <f>B38*B39*B40</f>
        <v>0</v>
      </c>
      <c r="P5" s="17">
        <f>B46*B47*B48/1000-B46*B47*B48/1000/B49</f>
        <v>57.2</v>
      </c>
      <c r="R5" s="32"/>
    </row>
    <row r="6" spans="1:18">
      <c r="A6" s="32" t="s">
        <v>54</v>
      </c>
      <c r="B6" s="37">
        <f>B26</f>
        <v>2555.4740000000002</v>
      </c>
      <c r="C6" s="33"/>
      <c r="D6" s="37">
        <f>IF(ISERROR(TER_kantoor_gas_kWh/1000),0,TER_kantoor_gas_kWh/1000)*0.902</f>
        <v>5474.263978869556</v>
      </c>
      <c r="E6" s="33">
        <f>$C$26*'E Balans VL '!I12/100/3.6*1000000</f>
        <v>7.4035831191996868</v>
      </c>
      <c r="F6" s="33">
        <f>$C$26*('E Balans VL '!L12+'E Balans VL '!N12)/100/3.6*1000000</f>
        <v>289.22335534259605</v>
      </c>
      <c r="G6" s="34"/>
      <c r="H6" s="33"/>
      <c r="I6" s="33"/>
      <c r="J6" s="33">
        <f>$C$26*('E Balans VL '!D12+'E Balans VL '!E12)/100/3.6*1000000</f>
        <v>0</v>
      </c>
      <c r="K6" s="33"/>
      <c r="L6" s="33"/>
      <c r="M6" s="33"/>
      <c r="N6" s="33">
        <f>$C$26*'E Balans VL '!Y12/100/3.6*1000000</f>
        <v>25.578411782685077</v>
      </c>
      <c r="O6" s="33"/>
      <c r="P6" s="33"/>
      <c r="R6" s="32"/>
    </row>
    <row r="7" spans="1:18">
      <c r="A7" s="32" t="s">
        <v>53</v>
      </c>
      <c r="B7" s="37">
        <f t="shared" ref="B7:B12" si="0">B27</f>
        <v>2058.2449999999999</v>
      </c>
      <c r="C7" s="33"/>
      <c r="D7" s="37">
        <f>IF(ISERROR(TER_horeca_gas_kWh/1000),0,TER_horeca_gas_kWh/1000)*0.902</f>
        <v>1524.5330128663204</v>
      </c>
      <c r="E7" s="33">
        <f>$C$27*'E Balans VL '!I9/100/3.6*1000000</f>
        <v>86.39937447712434</v>
      </c>
      <c r="F7" s="33">
        <f>$C$27*('E Balans VL '!L9+'E Balans VL '!N9)/100/3.6*1000000</f>
        <v>442.25614653902613</v>
      </c>
      <c r="G7" s="34"/>
      <c r="H7" s="33"/>
      <c r="I7" s="33"/>
      <c r="J7" s="33">
        <f>$C$27*('E Balans VL '!D9+'E Balans VL '!E9)/100/3.6*1000000</f>
        <v>0</v>
      </c>
      <c r="K7" s="33"/>
      <c r="L7" s="33"/>
      <c r="M7" s="33"/>
      <c r="N7" s="33">
        <f>$C$27*'E Balans VL '!Y9/100/3.6*1000000</f>
        <v>0.53039173649448312</v>
      </c>
      <c r="O7" s="33"/>
      <c r="P7" s="33"/>
      <c r="R7" s="32"/>
    </row>
    <row r="8" spans="1:18">
      <c r="A8" s="6" t="s">
        <v>52</v>
      </c>
      <c r="B8" s="37">
        <f t="shared" si="0"/>
        <v>3791.1089999999999</v>
      </c>
      <c r="C8" s="33"/>
      <c r="D8" s="37">
        <f>IF(ISERROR(TER_handel_gas_kWh/1000),0,TER_handel_gas_kWh/1000)*0.902</f>
        <v>1242.9570194568435</v>
      </c>
      <c r="E8" s="33">
        <f>$C$28*'E Balans VL '!I13/100/3.6*1000000</f>
        <v>40.719665910327691</v>
      </c>
      <c r="F8" s="33">
        <f>$C$28*('E Balans VL '!L13+'E Balans VL '!N13)/100/3.6*1000000</f>
        <v>490.7903663827484</v>
      </c>
      <c r="G8" s="34"/>
      <c r="H8" s="33"/>
      <c r="I8" s="33"/>
      <c r="J8" s="33">
        <f>$C$28*('E Balans VL '!D13+'E Balans VL '!E13)/100/3.6*1000000</f>
        <v>0</v>
      </c>
      <c r="K8" s="33"/>
      <c r="L8" s="33"/>
      <c r="M8" s="33"/>
      <c r="N8" s="33">
        <f>$C$28*'E Balans VL '!Y13/100/3.6*1000000</f>
        <v>30.753683211551817</v>
      </c>
      <c r="O8" s="33"/>
      <c r="P8" s="33"/>
      <c r="R8" s="32"/>
    </row>
    <row r="9" spans="1:18">
      <c r="A9" s="32" t="s">
        <v>51</v>
      </c>
      <c r="B9" s="37">
        <f t="shared" si="0"/>
        <v>642.80640000000005</v>
      </c>
      <c r="C9" s="33"/>
      <c r="D9" s="37">
        <f>IF(ISERROR(TER_gezond_gas_kWh/1000),0,TER_gezond_gas_kWh/1000)*0.902</f>
        <v>868.81996911630438</v>
      </c>
      <c r="E9" s="33">
        <f>$C$29*'E Balans VL '!I10/100/3.6*1000000</f>
        <v>0.51171547000410866</v>
      </c>
      <c r="F9" s="33">
        <f>$C$29*('E Balans VL '!L10+'E Balans VL '!N10)/100/3.6*1000000</f>
        <v>78.142407309179063</v>
      </c>
      <c r="G9" s="34"/>
      <c r="H9" s="33"/>
      <c r="I9" s="33"/>
      <c r="J9" s="33">
        <f>$C$29*('E Balans VL '!D10+'E Balans VL '!E10)/100/3.6*1000000</f>
        <v>0</v>
      </c>
      <c r="K9" s="33"/>
      <c r="L9" s="33"/>
      <c r="M9" s="33"/>
      <c r="N9" s="33">
        <f>$C$29*'E Balans VL '!Y10/100/3.6*1000000</f>
        <v>5.1924197988336847</v>
      </c>
      <c r="O9" s="33"/>
      <c r="P9" s="33"/>
      <c r="R9" s="32"/>
    </row>
    <row r="10" spans="1:18">
      <c r="A10" s="32" t="s">
        <v>50</v>
      </c>
      <c r="B10" s="37">
        <f t="shared" si="0"/>
        <v>3407.7359999999999</v>
      </c>
      <c r="C10" s="33"/>
      <c r="D10" s="37">
        <f>IF(ISERROR(TER_ander_gas_kWh/1000),0,TER_ander_gas_kWh/1000)*0.902</f>
        <v>2370.3257823115046</v>
      </c>
      <c r="E10" s="33">
        <f>$C$30*'E Balans VL '!I14/100/3.6*1000000</f>
        <v>11.678490291501653</v>
      </c>
      <c r="F10" s="33">
        <f>$C$30*('E Balans VL '!L14+'E Balans VL '!N14)/100/3.6*1000000</f>
        <v>761.14974832072198</v>
      </c>
      <c r="G10" s="34"/>
      <c r="H10" s="33"/>
      <c r="I10" s="33"/>
      <c r="J10" s="33">
        <f>$C$30*('E Balans VL '!D14+'E Balans VL '!E14)/100/3.6*1000000</f>
        <v>0</v>
      </c>
      <c r="K10" s="33"/>
      <c r="L10" s="33"/>
      <c r="M10" s="33"/>
      <c r="N10" s="33">
        <f>$C$30*'E Balans VL '!Y14/100/3.6*1000000</f>
        <v>2400.4278544978738</v>
      </c>
      <c r="O10" s="33"/>
      <c r="P10" s="33"/>
      <c r="R10" s="32"/>
    </row>
    <row r="11" spans="1:18">
      <c r="A11" s="32" t="s">
        <v>55</v>
      </c>
      <c r="B11" s="37">
        <f t="shared" si="0"/>
        <v>147.46720000000002</v>
      </c>
      <c r="C11" s="33"/>
      <c r="D11" s="37">
        <f>IF(ISERROR(TER_onderwijs_gas_kWh/1000),0,TER_onderwijs_gas_kWh/1000)*0.902</f>
        <v>322.13847613046346</v>
      </c>
      <c r="E11" s="33">
        <f>$C$31*'E Balans VL '!I11/100/3.6*1000000</f>
        <v>0.10193953372767209</v>
      </c>
      <c r="F11" s="33">
        <f>$C$31*('E Balans VL '!L11+'E Balans VL '!N11)/100/3.6*1000000</f>
        <v>38.602629328491382</v>
      </c>
      <c r="G11" s="34"/>
      <c r="H11" s="33"/>
      <c r="I11" s="33"/>
      <c r="J11" s="33">
        <f>$C$31*('E Balans VL '!D11+'E Balans VL '!E11)/100/3.6*1000000</f>
        <v>0</v>
      </c>
      <c r="K11" s="33"/>
      <c r="L11" s="33"/>
      <c r="M11" s="33"/>
      <c r="N11" s="33">
        <f>$C$31*'E Balans VL '!Y11/100/3.6*1000000</f>
        <v>0.14679103732370929</v>
      </c>
      <c r="O11" s="33"/>
      <c r="P11" s="33"/>
      <c r="R11" s="32"/>
    </row>
    <row r="12" spans="1:18">
      <c r="A12" s="32" t="s">
        <v>260</v>
      </c>
      <c r="B12" s="37">
        <f t="shared" si="0"/>
        <v>2818.4380000000001</v>
      </c>
      <c r="C12" s="33"/>
      <c r="D12" s="37">
        <f>IF(ISERROR(TER_rest_gas_kWh/1000),0,TER_rest_gas_kWh/1000)*0.902</f>
        <v>2955.28446244724</v>
      </c>
      <c r="E12" s="33">
        <f>$C$32*'E Balans VL '!I8/100/3.6*1000000</f>
        <v>25.481921680278621</v>
      </c>
      <c r="F12" s="33">
        <f>$C$32*('E Balans VL '!L8+'E Balans VL '!N8)/100/3.6*1000000</f>
        <v>415.46044631180098</v>
      </c>
      <c r="G12" s="34"/>
      <c r="H12" s="33"/>
      <c r="I12" s="33"/>
      <c r="J12" s="33">
        <f>$C$32*('E Balans VL '!D8+'E Balans VL '!E8)/100/3.6*1000000</f>
        <v>0</v>
      </c>
      <c r="K12" s="33"/>
      <c r="L12" s="33"/>
      <c r="M12" s="33"/>
      <c r="N12" s="33">
        <f>$C$32*'E Balans VL '!Y8/100/3.6*1000000</f>
        <v>240.37506026241849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15421.275599999999</v>
      </c>
      <c r="C16" s="21">
        <f t="shared" ca="1" si="1"/>
        <v>0</v>
      </c>
      <c r="D16" s="21">
        <f t="shared" ca="1" si="1"/>
        <v>14758.322701198234</v>
      </c>
      <c r="E16" s="21">
        <f t="shared" si="1"/>
        <v>172.29669048216374</v>
      </c>
      <c r="F16" s="21">
        <f t="shared" ca="1" si="1"/>
        <v>2515.6250995345636</v>
      </c>
      <c r="G16" s="21">
        <f t="shared" si="1"/>
        <v>0</v>
      </c>
      <c r="H16" s="21">
        <f t="shared" si="1"/>
        <v>0</v>
      </c>
      <c r="I16" s="21">
        <f t="shared" si="1"/>
        <v>0</v>
      </c>
      <c r="J16" s="21">
        <f t="shared" si="1"/>
        <v>0</v>
      </c>
      <c r="K16" s="21">
        <f t="shared" si="1"/>
        <v>0</v>
      </c>
      <c r="L16" s="21">
        <f t="shared" ca="1" si="1"/>
        <v>0</v>
      </c>
      <c r="M16" s="21">
        <f t="shared" si="1"/>
        <v>0</v>
      </c>
      <c r="N16" s="21">
        <f t="shared" ca="1" si="1"/>
        <v>2703.0046123271809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0.2127687448252461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3281.1654530161936</v>
      </c>
      <c r="C20" s="23">
        <f t="shared" ref="C20:P20" ca="1" si="2">C16*C18</f>
        <v>0</v>
      </c>
      <c r="D20" s="23">
        <f t="shared" ca="1" si="2"/>
        <v>2981.1811856420436</v>
      </c>
      <c r="E20" s="23">
        <f t="shared" si="2"/>
        <v>39.111348739451174</v>
      </c>
      <c r="F20" s="23">
        <f t="shared" ca="1" si="2"/>
        <v>671.6719015757285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2555.4740000000002</v>
      </c>
      <c r="C26" s="39">
        <f>IF(ISERROR(B26*3.6/1000000/'E Balans VL '!Z12*100),0,B26*3.6/1000000/'E Balans VL '!Z12*100)</f>
        <v>5.6133940833791862E-2</v>
      </c>
      <c r="D26" s="237" t="s">
        <v>692</v>
      </c>
      <c r="F26" s="6"/>
    </row>
    <row r="27" spans="1:18">
      <c r="A27" s="231" t="s">
        <v>53</v>
      </c>
      <c r="B27" s="33">
        <f>IF(ISERROR(TER_horeca_ele_kWh/1000),0,TER_horeca_ele_kWh/1000)</f>
        <v>2058.2449999999999</v>
      </c>
      <c r="C27" s="39">
        <f>IF(ISERROR(B27*3.6/1000000/'E Balans VL '!Z9*100),0,B27*3.6/1000000/'E Balans VL '!Z9*100)</f>
        <v>0.1654005025784859</v>
      </c>
      <c r="D27" s="237" t="s">
        <v>692</v>
      </c>
      <c r="F27" s="6"/>
    </row>
    <row r="28" spans="1:18">
      <c r="A28" s="171" t="s">
        <v>52</v>
      </c>
      <c r="B28" s="33">
        <f>IF(ISERROR(TER_handel_ele_kWh/1000),0,TER_handel_ele_kWh/1000)</f>
        <v>3791.1089999999999</v>
      </c>
      <c r="C28" s="39">
        <f>IF(ISERROR(B28*3.6/1000000/'E Balans VL '!Z13*100),0,B28*3.6/1000000/'E Balans VL '!Z13*100)</f>
        <v>0.11210044460564267</v>
      </c>
      <c r="D28" s="237" t="s">
        <v>692</v>
      </c>
      <c r="F28" s="6"/>
    </row>
    <row r="29" spans="1:18">
      <c r="A29" s="231" t="s">
        <v>51</v>
      </c>
      <c r="B29" s="33">
        <f>IF(ISERROR(TER_gezond_ele_kWh/1000),0,TER_gezond_ele_kWh/1000)</f>
        <v>642.80640000000005</v>
      </c>
      <c r="C29" s="39">
        <f>IF(ISERROR(B29*3.6/1000000/'E Balans VL '!Z10*100),0,B29*3.6/1000000/'E Balans VL '!Z10*100)</f>
        <v>7.242768548167533E-2</v>
      </c>
      <c r="D29" s="237" t="s">
        <v>692</v>
      </c>
      <c r="F29" s="6"/>
    </row>
    <row r="30" spans="1:18">
      <c r="A30" s="231" t="s">
        <v>50</v>
      </c>
      <c r="B30" s="33">
        <f>IF(ISERROR(TER_ander_ele_kWh/1000),0,TER_ander_ele_kWh/1000)</f>
        <v>3407.7359999999999</v>
      </c>
      <c r="C30" s="39">
        <f>IF(ISERROR(B30*3.6/1000000/'E Balans VL '!Z14*100),0,B30*3.6/1000000/'E Balans VL '!Z14*100)</f>
        <v>0.25772124841843541</v>
      </c>
      <c r="D30" s="237" t="s">
        <v>692</v>
      </c>
      <c r="F30" s="6"/>
    </row>
    <row r="31" spans="1:18">
      <c r="A31" s="231" t="s">
        <v>55</v>
      </c>
      <c r="B31" s="33">
        <f>IF(ISERROR(TER_onderwijs_ele_kWh/1000),0,TER_onderwijs_ele_kWh/1000)</f>
        <v>147.46720000000002</v>
      </c>
      <c r="C31" s="39">
        <f>IF(ISERROR(B31*3.6/1000000/'E Balans VL '!Z11*100),0,B31*3.6/1000000/'E Balans VL '!Z11*100)</f>
        <v>3.0610767415915896E-2</v>
      </c>
      <c r="D31" s="237" t="s">
        <v>692</v>
      </c>
    </row>
    <row r="32" spans="1:18">
      <c r="A32" s="231" t="s">
        <v>260</v>
      </c>
      <c r="B32" s="33">
        <f>IF(ISERROR(TER_rest_ele_kWh/1000),0,TER_rest_ele_kWh/1000)</f>
        <v>2818.4380000000001</v>
      </c>
      <c r="C32" s="39">
        <f>IF(ISERROR(B32*3.6/1000000/'E Balans VL '!Z8*100),0,B32*3.6/1000000/'E Balans VL '!Z8*100)</f>
        <v>2.3743682119073226E-2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3</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19099.700799999999</v>
      </c>
      <c r="C5" s="17">
        <f>IF(ISERROR('Eigen informatie GS &amp; warmtenet'!B59),0,'Eigen informatie GS &amp; warmtenet'!B59)</f>
        <v>0</v>
      </c>
      <c r="D5" s="30">
        <f>SUM(D6:D15)</f>
        <v>11170.258422378705</v>
      </c>
      <c r="E5" s="17">
        <f>SUM(E6:E15)</f>
        <v>957.44071887308928</v>
      </c>
      <c r="F5" s="17">
        <f>SUM(F6:F15)</f>
        <v>14686.344041055287</v>
      </c>
      <c r="G5" s="18"/>
      <c r="H5" s="17"/>
      <c r="I5" s="17"/>
      <c r="J5" s="17">
        <f>SUM(J6:J15)</f>
        <v>191.11741757197572</v>
      </c>
      <c r="K5" s="17"/>
      <c r="L5" s="17"/>
      <c r="M5" s="17"/>
      <c r="N5" s="17">
        <f>SUM(N6:N15)</f>
        <v>5694.9462677938591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142.23779999999999</v>
      </c>
      <c r="C8" s="33"/>
      <c r="D8" s="37">
        <f>IF( ISERROR(IND_metaal_Gas_kWH/1000),0,IND_metaal_Gas_kWH/1000)*0.902</f>
        <v>31.344032923583377</v>
      </c>
      <c r="E8" s="33">
        <f>C30*'E Balans VL '!I18/100/3.6*1000000</f>
        <v>3.5597143123651329</v>
      </c>
      <c r="F8" s="33">
        <f>C30*'E Balans VL '!L18/100/3.6*1000000+C30*'E Balans VL '!N18/100/3.6*1000000</f>
        <v>44.578034047203879</v>
      </c>
      <c r="G8" s="34"/>
      <c r="H8" s="33"/>
      <c r="I8" s="33"/>
      <c r="J8" s="40">
        <f>C30*'E Balans VL '!D18/100/3.6*1000000+C30*'E Balans VL '!E18/100/3.6*1000000</f>
        <v>0</v>
      </c>
      <c r="K8" s="33"/>
      <c r="L8" s="33"/>
      <c r="M8" s="33"/>
      <c r="N8" s="33">
        <f>C30*'E Balans VL '!Y18/100/3.6*1000000</f>
        <v>3.5733826752801927</v>
      </c>
      <c r="O8" s="33"/>
      <c r="P8" s="33"/>
      <c r="R8" s="32"/>
    </row>
    <row r="9" spans="1:18">
      <c r="A9" s="6" t="s">
        <v>33</v>
      </c>
      <c r="B9" s="37">
        <f t="shared" si="0"/>
        <v>1018.498</v>
      </c>
      <c r="C9" s="33"/>
      <c r="D9" s="37">
        <f>IF( ISERROR(IND_andere_gas_kWh/1000),0,IND_andere_gas_kWh/1000)*0.902</f>
        <v>1022.7083610121032</v>
      </c>
      <c r="E9" s="33">
        <f>C31*'E Balans VL '!I19/100/3.6*1000000</f>
        <v>280.04517624790742</v>
      </c>
      <c r="F9" s="33">
        <f>C31*'E Balans VL '!L19/100/3.6*1000000+C31*'E Balans VL '!N19/100/3.6*1000000</f>
        <v>802.75365537685138</v>
      </c>
      <c r="G9" s="34"/>
      <c r="H9" s="33"/>
      <c r="I9" s="33"/>
      <c r="J9" s="40">
        <f>C31*'E Balans VL '!D19/100/3.6*1000000+C31*'E Balans VL '!E19/100/3.6*1000000</f>
        <v>0</v>
      </c>
      <c r="K9" s="33"/>
      <c r="L9" s="33"/>
      <c r="M9" s="33"/>
      <c r="N9" s="33">
        <f>C31*'E Balans VL '!Y19/100/3.6*1000000</f>
        <v>329.71468644847982</v>
      </c>
      <c r="O9" s="33"/>
      <c r="P9" s="33"/>
      <c r="R9" s="32"/>
    </row>
    <row r="10" spans="1:18">
      <c r="A10" s="6" t="s">
        <v>41</v>
      </c>
      <c r="B10" s="37">
        <f t="shared" si="0"/>
        <v>5869.7879999999996</v>
      </c>
      <c r="C10" s="33"/>
      <c r="D10" s="37">
        <f>IF( ISERROR(IND_voed_gas_kWh/1000),0,IND_voed_gas_kWh/1000)*0.902</f>
        <v>7433.3106690778559</v>
      </c>
      <c r="E10" s="33">
        <f>C32*'E Balans VL '!I20/100/3.6*1000000</f>
        <v>59.839254975339308</v>
      </c>
      <c r="F10" s="33">
        <f>C32*'E Balans VL '!L20/100/3.6*1000000+C32*'E Balans VL '!N20/100/3.6*1000000</f>
        <v>11087.992820019903</v>
      </c>
      <c r="G10" s="34"/>
      <c r="H10" s="33"/>
      <c r="I10" s="33"/>
      <c r="J10" s="40">
        <f>C32*'E Balans VL '!D20/100/3.6*1000000+C32*'E Balans VL '!E20/100/3.6*1000000</f>
        <v>140.48323287328935</v>
      </c>
      <c r="K10" s="33"/>
      <c r="L10" s="33"/>
      <c r="M10" s="33"/>
      <c r="N10" s="33">
        <f>C32*'E Balans VL '!Y20/100/3.6*1000000</f>
        <v>3094.0543926697628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12069.177</v>
      </c>
      <c r="C15" s="33"/>
      <c r="D15" s="37">
        <f>IF( ISERROR(IND_rest_gas_kWh/1000),0,IND_rest_gas_kWh/1000)*0.902</f>
        <v>2682.8953593651631</v>
      </c>
      <c r="E15" s="33">
        <f>C37*'E Balans VL '!I15/100/3.6*1000000</f>
        <v>613.99657333747734</v>
      </c>
      <c r="F15" s="33">
        <f>C37*'E Balans VL '!L15/100/3.6*1000000+C37*'E Balans VL '!N15/100/3.6*1000000</f>
        <v>2751.0195316113281</v>
      </c>
      <c r="G15" s="34"/>
      <c r="H15" s="33"/>
      <c r="I15" s="33"/>
      <c r="J15" s="40">
        <f>C37*'E Balans VL '!D15/100/3.6*1000000+C37*'E Balans VL '!E15/100/3.6*1000000</f>
        <v>50.634184698686362</v>
      </c>
      <c r="K15" s="33"/>
      <c r="L15" s="33"/>
      <c r="M15" s="33"/>
      <c r="N15" s="33">
        <f>C37*'E Balans VL '!Y15/100/3.6*1000000</f>
        <v>2267.6038060003357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19099.700799999999</v>
      </c>
      <c r="C18" s="21">
        <f>C5+C16</f>
        <v>0</v>
      </c>
      <c r="D18" s="21">
        <f>MAX((D5+D16),0)</f>
        <v>11170.258422378705</v>
      </c>
      <c r="E18" s="21">
        <f>MAX((E5+E16),0)</f>
        <v>957.44071887308928</v>
      </c>
      <c r="F18" s="21">
        <f>MAX((F5+F16),0)</f>
        <v>14686.344041055287</v>
      </c>
      <c r="G18" s="21"/>
      <c r="H18" s="21"/>
      <c r="I18" s="21"/>
      <c r="J18" s="21">
        <f>MAX((J5+J16),0)</f>
        <v>191.11741757197572</v>
      </c>
      <c r="K18" s="21"/>
      <c r="L18" s="21">
        <f>MAX((L5+L16),0)</f>
        <v>0</v>
      </c>
      <c r="M18" s="21"/>
      <c r="N18" s="21">
        <f>MAX((N5+N16),0)</f>
        <v>5694.9462677938591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0.2127687448252461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4063.8193657537486</v>
      </c>
      <c r="C22" s="23">
        <f ca="1">C18*C20</f>
        <v>0</v>
      </c>
      <c r="D22" s="23">
        <f>D18*D20</f>
        <v>2256.3922013204988</v>
      </c>
      <c r="E22" s="23">
        <f>E18*E20</f>
        <v>217.33904318419127</v>
      </c>
      <c r="F22" s="23">
        <f>F18*F20</f>
        <v>3921.2538589617616</v>
      </c>
      <c r="G22" s="23"/>
      <c r="H22" s="23"/>
      <c r="I22" s="23"/>
      <c r="J22" s="23">
        <f>J18*J20</f>
        <v>67.655565820479396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142.23779999999999</v>
      </c>
      <c r="C30" s="39">
        <f>IF(ISERROR(B30*3.6/1000000/'E Balans VL '!Z18*100),0,B30*3.6/1000000/'E Balans VL '!Z18*100)</f>
        <v>1.9908551872949369E-2</v>
      </c>
      <c r="D30" s="237" t="s">
        <v>692</v>
      </c>
    </row>
    <row r="31" spans="1:18">
      <c r="A31" s="6" t="s">
        <v>33</v>
      </c>
      <c r="B31" s="37">
        <f>IF( ISERROR(IND_ander_ele_kWh/1000),0,IND_ander_ele_kWh/1000)</f>
        <v>1018.498</v>
      </c>
      <c r="C31" s="39">
        <f>IF(ISERROR(B31*3.6/1000000/'E Balans VL '!Z19*100),0,B31*3.6/1000000/'E Balans VL '!Z19*100)</f>
        <v>4.4579492236150334E-2</v>
      </c>
      <c r="D31" s="237" t="s">
        <v>692</v>
      </c>
    </row>
    <row r="32" spans="1:18">
      <c r="A32" s="171" t="s">
        <v>41</v>
      </c>
      <c r="B32" s="37">
        <f>IF( ISERROR(IND_voed_ele_kWh/1000),0,IND_voed_ele_kWh/1000)</f>
        <v>5869.7879999999996</v>
      </c>
      <c r="C32" s="39">
        <f>IF(ISERROR(B32*3.6/1000000/'E Balans VL '!Z20*100),0,B32*3.6/1000000/'E Balans VL '!Z20*100)</f>
        <v>1.4531645827553408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12069.177</v>
      </c>
      <c r="C37" s="39">
        <f>IF(ISERROR(B37*3.6/1000000/'E Balans VL '!Z15*100),0,B37*3.6/1000000/'E Balans VL '!Z15*100)</f>
        <v>8.9490881124457841E-2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1812.8883000000001</v>
      </c>
      <c r="C5" s="17">
        <f>'Eigen informatie GS &amp; warmtenet'!B60</f>
        <v>0</v>
      </c>
      <c r="D5" s="30">
        <f>IF(ISERROR(SUM(LB_lb_gas_kWh,LB_rest_gas_kWh)/1000),0,SUM(LB_lb_gas_kWh,LB_rest_gas_kWh)/1000)*0.902</f>
        <v>7856.7162044703828</v>
      </c>
      <c r="E5" s="17">
        <f>B17*'E Balans VL '!I25/3.6*1000000/100</f>
        <v>16.791730742017034</v>
      </c>
      <c r="F5" s="17">
        <f>B17*('E Balans VL '!L25/3.6*1000000+'E Balans VL '!N25/3.6*1000000)/100</f>
        <v>4599.6429719667394</v>
      </c>
      <c r="G5" s="18"/>
      <c r="H5" s="17"/>
      <c r="I5" s="17"/>
      <c r="J5" s="17">
        <f>('E Balans VL '!D25+'E Balans VL '!E25)/3.6*1000000*landbouw!B17/100</f>
        <v>277.93600828247668</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1812.8883000000001</v>
      </c>
      <c r="C8" s="21">
        <f>C5+C6</f>
        <v>0</v>
      </c>
      <c r="D8" s="21">
        <f>MAX((D5+D6),0)</f>
        <v>7856.7162044703828</v>
      </c>
      <c r="E8" s="21">
        <f>MAX((E5+E6),0)</f>
        <v>16.791730742017034</v>
      </c>
      <c r="F8" s="21">
        <f>MAX((F5+F6),0)</f>
        <v>4599.6429719667394</v>
      </c>
      <c r="G8" s="21"/>
      <c r="H8" s="21"/>
      <c r="I8" s="21"/>
      <c r="J8" s="21">
        <f>MAX((J5+J6),0)</f>
        <v>277.93600828247668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0.2127687448252461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385.7259680993742</v>
      </c>
      <c r="C12" s="23">
        <f ca="1">C8*C10</f>
        <v>0</v>
      </c>
      <c r="D12" s="23">
        <f>D8*D10</f>
        <v>1587.0566733030175</v>
      </c>
      <c r="E12" s="23">
        <f>E8*E10</f>
        <v>3.8117228784378669</v>
      </c>
      <c r="F12" s="23">
        <f>F8*F10</f>
        <v>1228.1046735151194</v>
      </c>
      <c r="G12" s="23"/>
      <c r="H12" s="23"/>
      <c r="I12" s="23"/>
      <c r="J12" s="23">
        <f>J8*J10</f>
        <v>98.389346931996741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0.2577542763837431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56.252011662558765</v>
      </c>
      <c r="C26" s="247">
        <f>B26*'GWP N2O_CH4'!B5</f>
        <v>1181.2922449137341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15.924156934670489</v>
      </c>
      <c r="C27" s="247">
        <f>B27*'GWP N2O_CH4'!B5</f>
        <v>334.40729562808025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0.71090871705269132</v>
      </c>
      <c r="C28" s="247">
        <f>B28*'GWP N2O_CH4'!B4</f>
        <v>220.3817022863343</v>
      </c>
      <c r="D28" s="50"/>
    </row>
    <row r="29" spans="1:4">
      <c r="A29" s="41" t="s">
        <v>277</v>
      </c>
      <c r="B29" s="247">
        <f>B34*'ha_N2O bodem landbouw'!B4</f>
        <v>5.626819075450971</v>
      </c>
      <c r="C29" s="247">
        <f>B29*'GWP N2O_CH4'!B4</f>
        <v>1744.313913389801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1.2619963892056252E-3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1.3910082500369998E-4</v>
      </c>
      <c r="C5" s="464" t="s">
        <v>211</v>
      </c>
      <c r="D5" s="449">
        <f>SUM(D6:D11)</f>
        <v>3.5771132164515103E-4</v>
      </c>
      <c r="E5" s="449">
        <f>SUM(E6:E11)</f>
        <v>2.7236186097889387E-3</v>
      </c>
      <c r="F5" s="462" t="s">
        <v>211</v>
      </c>
      <c r="G5" s="449">
        <f>SUM(G6:G11)</f>
        <v>0.93070585823954366</v>
      </c>
      <c r="H5" s="449">
        <f>SUM(H6:H11)</f>
        <v>0.140047880115243</v>
      </c>
      <c r="I5" s="464" t="s">
        <v>211</v>
      </c>
      <c r="J5" s="464" t="s">
        <v>211</v>
      </c>
      <c r="K5" s="464" t="s">
        <v>211</v>
      </c>
      <c r="L5" s="464" t="s">
        <v>211</v>
      </c>
      <c r="M5" s="449">
        <f>SUM(M6:M11)</f>
        <v>5.8148232935798919E-2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1.7432971383778595E-5</v>
      </c>
      <c r="C6" s="450"/>
      <c r="D6" s="893">
        <f>vkm_2011_GW_PW*SUMIFS(TableVerdeelsleutelVkm[CNG],TableVerdeelsleutelVkm[Voertuigtype],"Lichte voertuigen")*SUMIFS(TableECFTransport[EnergieConsumptieFactor (PJ per km)],TableECFTransport[Index],CONCATENATE($A6,"_CNG_CNG"))</f>
        <v>4.0324382101323227E-5</v>
      </c>
      <c r="E6" s="893">
        <f>vkm_2011_GW_PW*SUMIFS(TableVerdeelsleutelVkm[LPG],TableVerdeelsleutelVkm[Voertuigtype],"Lichte voertuigen")*SUMIFS(TableECFTransport[EnergieConsumptieFactor (PJ per km)],TableECFTransport[Index],CONCATENATE($A6,"_LPG_LPG"))</f>
        <v>2.6256802503156007E-4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5.4546564651187242E-2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1.5375549336732318E-2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3.6285952445025641E-3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3.3889463787107672E-2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1.1589581153858854E-5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1.9606975742824159E-3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1.3389313487748437E-5</v>
      </c>
      <c r="C8" s="450"/>
      <c r="D8" s="452">
        <f>vkm_2011_NGW_PW*SUMIFS(TableVerdeelsleutelVkm[CNG],TableVerdeelsleutelVkm[Voertuigtype],"Lichte voertuigen")*SUMIFS(TableECFTransport[EnergieConsumptieFactor (PJ per km)],TableECFTransport[Index],CONCATENATE($A8,"_CNG_CNG"))</f>
        <v>5.4778570442506094E-5</v>
      </c>
      <c r="E8" s="452">
        <f>vkm_2011_NGW_PW*SUMIFS(TableVerdeelsleutelVkm[LPG],TableVerdeelsleutelVkm[Voertuigtype],"Lichte voertuigen")*SUMIFS(TableECFTransport[EnergieConsumptieFactor (PJ per km)],TableECFTransport[Index],CONCATENATE($A8,"_LPG_LPG"))</f>
        <v>3.2918311934381021E-4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6.39268781853254E-2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2.0196140858447172E-2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4.3196043607079005E-3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1.434253366157856E-2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4.6410768212340471E-6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8.2978874803515718E-4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1.0827854013217295E-4</v>
      </c>
      <c r="C10" s="450"/>
      <c r="D10" s="452">
        <f>vkm_2011_SW_PW*SUMIFS(TableVerdeelsleutelVkm[CNG],TableVerdeelsleutelVkm[Voertuigtype],"Lichte voertuigen")*SUMIFS(TableECFTransport[EnergieConsumptieFactor (PJ per km)],TableECFTransport[Index],CONCATENATE($A10,"_CNG_CNG"))</f>
        <v>2.6260836910132172E-4</v>
      </c>
      <c r="E10" s="452">
        <f>vkm_2011_SW_PW*SUMIFS(TableVerdeelsleutelVkm[LPG],TableVerdeelsleutelVkm[Voertuigtype],"Lichte voertuigen")*SUMIFS(TableECFTransport[EnergieConsumptieFactor (PJ per km)],TableECFTransport[Index],CONCATENATE($A10,"_LPG_LPG"))</f>
        <v>2.1318674654135683E-3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0.39872042724476447</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0.10432533084220394</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2.6275730140736264E-2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0.36527999070958028</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1.3462841988449371E-4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2.1133816867534613E-2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38.639118056583328</v>
      </c>
      <c r="C14" s="21"/>
      <c r="D14" s="21">
        <f t="shared" ref="D14:M14" si="0">((D5)*10^9/3600)+D12</f>
        <v>99.364256012541944</v>
      </c>
      <c r="E14" s="21">
        <f t="shared" si="0"/>
        <v>756.56072494137186</v>
      </c>
      <c r="F14" s="21"/>
      <c r="G14" s="21">
        <f t="shared" si="0"/>
        <v>258529.40506653991</v>
      </c>
      <c r="H14" s="21">
        <f t="shared" si="0"/>
        <v>38902.18892090083</v>
      </c>
      <c r="I14" s="21"/>
      <c r="J14" s="21"/>
      <c r="K14" s="21"/>
      <c r="L14" s="21"/>
      <c r="M14" s="21">
        <f t="shared" si="0"/>
        <v>16152.286926610812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0.2127687448252461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8.2211966500537379</v>
      </c>
      <c r="C18" s="23"/>
      <c r="D18" s="23">
        <f t="shared" ref="D18:M18" si="1">D14*D16</f>
        <v>20.071579714533474</v>
      </c>
      <c r="E18" s="23">
        <f t="shared" si="1"/>
        <v>171.73928456169142</v>
      </c>
      <c r="F18" s="23"/>
      <c r="G18" s="23">
        <f t="shared" si="1"/>
        <v>69027.351152766161</v>
      </c>
      <c r="H18" s="23">
        <f t="shared" si="1"/>
        <v>9686.6450413043058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4.5248668904364934E-3</v>
      </c>
      <c r="H50" s="321">
        <f t="shared" si="2"/>
        <v>0</v>
      </c>
      <c r="I50" s="321">
        <f t="shared" si="2"/>
        <v>0</v>
      </c>
      <c r="J50" s="321">
        <f t="shared" si="2"/>
        <v>0</v>
      </c>
      <c r="K50" s="321">
        <f t="shared" si="2"/>
        <v>0</v>
      </c>
      <c r="L50" s="321">
        <f t="shared" si="2"/>
        <v>0</v>
      </c>
      <c r="M50" s="321">
        <f t="shared" si="2"/>
        <v>2.5803996806204931E-4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4.5248668904364934E-3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2.5803996806204931E-4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1256.9074695656927</v>
      </c>
      <c r="H54" s="21">
        <f t="shared" si="3"/>
        <v>0</v>
      </c>
      <c r="I54" s="21">
        <f t="shared" si="3"/>
        <v>0</v>
      </c>
      <c r="J54" s="21">
        <f t="shared" si="3"/>
        <v>0</v>
      </c>
      <c r="K54" s="21">
        <f t="shared" si="3"/>
        <v>0</v>
      </c>
      <c r="L54" s="21">
        <f t="shared" si="3"/>
        <v>0</v>
      </c>
      <c r="M54" s="21">
        <f t="shared" si="3"/>
        <v>71.677768906124811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0.2127687448252461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335.59429437403998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2882.7298775114868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2882.7298775114868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2019-08-12T08:09:39Z</dcterms:modified>
</cp:coreProperties>
</file>