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N78" l="1"/>
  <c r="N9" i="59"/>
  <c r="N10" s="1"/>
  <c r="L90" i="14"/>
  <c r="L18" i="59"/>
  <c r="H90" i="14"/>
  <c r="H18" i="59"/>
  <c r="D14" i="48"/>
  <c r="K10" i="18"/>
  <c r="K78" i="14"/>
  <c r="B20" i="18"/>
  <c r="G10" i="59"/>
  <c r="L10"/>
  <c r="D22" i="14"/>
  <c r="L22"/>
  <c r="E10" i="59"/>
  <c r="L20"/>
  <c r="B8" i="18"/>
  <c r="F13" i="15"/>
  <c r="G77" i="14"/>
  <c r="G9" i="59" s="1"/>
  <c r="P28" i="48"/>
  <c r="I77" i="14"/>
  <c r="I9" i="59" s="1"/>
  <c r="O10"/>
  <c r="H20"/>
  <c r="B98" i="18"/>
  <c r="D102" s="1"/>
  <c r="K20" i="59"/>
  <c r="P22" i="14"/>
  <c r="L78"/>
  <c r="H9" i="18"/>
  <c r="M77" i="14" s="1"/>
  <c r="M9" i="59" s="1"/>
  <c r="Q22" i="14"/>
  <c r="B13" i="15"/>
  <c r="B10" i="18"/>
  <c r="N13" i="15"/>
  <c r="L13"/>
  <c r="F77" i="14"/>
  <c r="F9" i="59" s="1"/>
  <c r="I101" i="18"/>
  <c r="H8" s="1"/>
  <c r="E101"/>
  <c r="E8" s="1"/>
  <c r="F101"/>
  <c r="H101"/>
  <c r="D101"/>
  <c r="G101"/>
  <c r="C101"/>
  <c r="B101"/>
  <c r="C8" s="1"/>
  <c r="O9"/>
  <c r="I102"/>
  <c r="H17" s="1"/>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E102" i="18" l="1"/>
  <c r="E17" s="1"/>
  <c r="F87" i="14" s="1"/>
  <c r="C102" i="18"/>
  <c r="F102"/>
  <c r="I17" s="1"/>
  <c r="B89" i="14"/>
  <c r="B19" i="59" s="1"/>
  <c r="H102" i="18"/>
  <c r="I8"/>
  <c r="H78" i="14"/>
  <c r="H9" i="59"/>
  <c r="H10" s="1"/>
  <c r="O90" i="14"/>
  <c r="O18" i="59"/>
  <c r="O20" s="1"/>
  <c r="N90" i="14"/>
  <c r="N18" i="59"/>
  <c r="N20" s="1"/>
  <c r="D10"/>
  <c r="Q14" i="48"/>
  <c r="Q77" i="14"/>
  <c r="P9" i="59" s="1"/>
  <c r="C77" i="14"/>
  <c r="C9" i="59" s="1"/>
  <c r="H20" i="18"/>
  <c r="M87" i="14"/>
  <c r="F76"/>
  <c r="E10" i="18"/>
  <c r="C20"/>
  <c r="D87" i="14"/>
  <c r="D17" i="59" s="1"/>
  <c r="D20" s="1"/>
  <c r="H10" i="18"/>
  <c r="M76" i="14"/>
  <c r="B88"/>
  <c r="B18" i="59" s="1"/>
  <c r="D76" i="14"/>
  <c r="D8" i="59" s="1"/>
  <c r="C10" i="18"/>
  <c r="J8"/>
  <c r="O8" s="1"/>
  <c r="O10" s="1"/>
  <c r="C88" i="14"/>
  <c r="C18" i="59" s="1"/>
  <c r="I10" i="18"/>
  <c r="I76" i="14"/>
  <c r="I8" i="59" s="1"/>
  <c r="I10" s="1"/>
  <c r="B77" i="14"/>
  <c r="B9" i="59" s="1"/>
  <c r="Q88" i="14"/>
  <c r="P18" i="59" s="1"/>
  <c r="H14" i="15"/>
  <c r="H16" s="1"/>
  <c r="G14"/>
  <c r="G16" s="1"/>
  <c r="F90" i="14" l="1"/>
  <c r="F17" i="59"/>
  <c r="F20" s="1"/>
  <c r="O17" i="18"/>
  <c r="O20" s="1"/>
  <c r="G5" i="48"/>
  <c r="H10" i="14"/>
  <c r="H16" s="1"/>
  <c r="M78"/>
  <c r="M8" i="59"/>
  <c r="M10" s="1"/>
  <c r="M90" i="14"/>
  <c r="M17" i="59"/>
  <c r="M20" s="1"/>
  <c r="F78" i="14"/>
  <c r="F8" i="59"/>
  <c r="F10" s="1"/>
  <c r="H5" i="48"/>
  <c r="I10" i="14"/>
  <c r="I16" s="1"/>
  <c r="E20" i="18"/>
  <c r="J17"/>
  <c r="Q76" i="14"/>
  <c r="D78"/>
  <c r="I78"/>
  <c r="B76"/>
  <c r="J10" i="18"/>
  <c r="J76" i="14"/>
  <c r="I87"/>
  <c r="I17" i="59" s="1"/>
  <c r="I20" s="1"/>
  <c r="I20" i="18"/>
  <c r="Q87" i="14"/>
  <c r="D90"/>
  <c r="A31" i="23"/>
  <c r="A32"/>
  <c r="A33"/>
  <c r="B78" i="14" l="1"/>
  <c r="B8" i="59"/>
  <c r="B10" s="1"/>
  <c r="J78" i="14"/>
  <c r="J8" i="59"/>
  <c r="J10" s="1"/>
  <c r="J20" i="18"/>
  <c r="J87" i="14"/>
  <c r="Q90"/>
  <c r="B17" i="6" s="1"/>
  <c r="P17" i="59"/>
  <c r="P20" s="1"/>
  <c r="Q78" i="14"/>
  <c r="B9" i="6" s="1"/>
  <c r="P8" i="59"/>
  <c r="P10" s="1"/>
  <c r="I90" i="14"/>
  <c r="C76"/>
  <c r="B11" i="44"/>
  <c r="B25"/>
  <c r="B24"/>
  <c r="J90" i="14" l="1"/>
  <c r="J17" i="59"/>
  <c r="J20" s="1"/>
  <c r="C87" i="14"/>
  <c r="C78"/>
  <c r="B4" i="6" s="1"/>
  <c r="C8" i="59"/>
  <c r="C10" s="1"/>
  <c r="B87" i="14"/>
  <c r="A6" i="23"/>
  <c r="A5"/>
  <c r="C90" i="14" l="1"/>
  <c r="C17" i="59"/>
  <c r="C20" s="1"/>
  <c r="B90" i="14"/>
  <c r="B17" i="59"/>
  <c r="B2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9"/>
  <c r="K25"/>
  <c r="K31"/>
  <c r="K24"/>
  <c r="K26"/>
  <c r="K22"/>
  <c r="C24" i="14"/>
  <c r="C26" s="1"/>
  <c r="B7" i="48"/>
  <c r="J30"/>
  <c r="J27"/>
  <c r="J24"/>
  <c r="J32"/>
  <c r="J28"/>
  <c r="J29"/>
  <c r="J31"/>
  <c r="Q11" i="14"/>
  <c r="P4" i="48"/>
  <c r="O4"/>
  <c r="P11" i="14"/>
  <c r="I32" i="48"/>
  <c r="I28"/>
  <c r="I22"/>
  <c r="I29"/>
  <c r="I24"/>
  <c r="I25"/>
  <c r="I31"/>
  <c r="I27"/>
  <c r="I26"/>
  <c r="I30"/>
  <c r="E11" i="14"/>
  <c r="D4" i="48"/>
  <c r="D22" s="1"/>
  <c r="H32"/>
  <c r="H29"/>
  <c r="H28"/>
  <c r="H26"/>
  <c r="H22"/>
  <c r="H24"/>
  <c r="H25"/>
  <c r="H30"/>
  <c r="H23"/>
  <c r="C4"/>
  <c r="D11" i="14"/>
  <c r="G30" i="48"/>
  <c r="G24"/>
  <c r="G22"/>
  <c r="G25"/>
  <c r="G29"/>
  <c r="G26"/>
  <c r="G32"/>
  <c r="G23"/>
  <c r="C11" i="14"/>
  <c r="B4" i="48"/>
  <c r="F30"/>
  <c r="F27"/>
  <c r="F24"/>
  <c r="F32"/>
  <c r="F29"/>
  <c r="F28"/>
  <c r="F31"/>
  <c r="N32"/>
  <c r="N29"/>
  <c r="N27"/>
  <c r="N31"/>
  <c r="N24"/>
  <c r="N30"/>
  <c r="N28"/>
  <c r="C19" i="14"/>
  <c r="B10" i="48"/>
  <c r="E32"/>
  <c r="E31"/>
  <c r="E28"/>
  <c r="E30"/>
  <c r="E24"/>
  <c r="E29"/>
  <c r="M32"/>
  <c r="M26"/>
  <c r="M25"/>
  <c r="M24"/>
  <c r="M29"/>
  <c r="M22"/>
  <c r="M30"/>
  <c r="M23"/>
  <c r="L10" i="14"/>
  <c r="L16" s="1"/>
  <c r="L27" s="1"/>
  <c r="K5" i="48"/>
  <c r="D30"/>
  <c r="D29"/>
  <c r="D28"/>
  <c r="D24"/>
  <c r="D31"/>
  <c r="D32"/>
  <c r="L32"/>
  <c r="L29"/>
  <c r="L28"/>
  <c r="L24"/>
  <c r="L31"/>
  <c r="L27"/>
  <c r="L22"/>
  <c r="L30"/>
  <c r="P5"/>
  <c r="P23" s="1"/>
  <c r="Q10" i="14"/>
  <c r="N46"/>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P8" i="48"/>
  <c r="P26" s="1"/>
  <c r="Q13" i="14"/>
  <c r="I5" i="48"/>
  <c r="J10" i="14"/>
  <c r="J16" s="1"/>
  <c r="J27" s="1"/>
  <c r="F20"/>
  <c r="F22" s="1"/>
  <c r="E9" i="48"/>
  <c r="E27" s="1"/>
  <c r="P22"/>
  <c r="P33" s="1"/>
  <c r="P15"/>
  <c r="E20" i="14"/>
  <c r="E22" s="1"/>
  <c r="D9" i="48"/>
  <c r="D27" s="1"/>
  <c r="P10" i="14"/>
  <c r="O5" i="48"/>
  <c r="O23" s="1"/>
  <c r="K24" i="14"/>
  <c r="K26" s="1"/>
  <c r="J7" i="48"/>
  <c r="J25" s="1"/>
  <c r="O22"/>
  <c r="B9"/>
  <c r="C20" i="14"/>
  <c r="G11"/>
  <c r="F4" i="48"/>
  <c r="F22" s="1"/>
  <c r="Q16" i="14"/>
  <c r="Q27" s="1"/>
  <c r="J63"/>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M10" i="48"/>
  <c r="M28" s="1"/>
  <c r="N19" i="14"/>
  <c r="O22" i="16"/>
  <c r="P43" i="14" s="1"/>
  <c r="P46" s="1"/>
  <c r="P61" s="1"/>
  <c r="P13"/>
  <c r="O8" i="48"/>
  <c r="G10"/>
  <c r="H19" i="14"/>
  <c r="R19" s="1"/>
  <c r="E12" i="13"/>
  <c r="F41" i="14" s="1"/>
  <c r="F11"/>
  <c r="E4" i="48"/>
  <c r="I23"/>
  <c r="I33" s="1"/>
  <c r="I15"/>
  <c r="Q13"/>
  <c r="G31"/>
  <c r="K11" i="14"/>
  <c r="J4" i="48"/>
  <c r="F24" i="14"/>
  <c r="F26" s="1"/>
  <c r="E7" i="48"/>
  <c r="E25" s="1"/>
  <c r="P16" i="14"/>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13"/>
  <c r="J8" i="48"/>
  <c r="R20" i="14"/>
  <c r="R22" s="1"/>
  <c r="I22"/>
  <c r="I27" s="1"/>
  <c r="I63"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<sst xmlns="http://schemas.openxmlformats.org/spreadsheetml/2006/main" count="2419" uniqueCount="907">
  <si>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</si>
  <si>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</si>
  <si>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</si>
  <si>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</si>
  <si>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</si>
  <si>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</si>
  <si>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</si>
  <si>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</si>
  <si>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</si>
  <si>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</si>
  <si>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</si>
  <si>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</si>
  <si>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</si>
  <si>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</si>
  <si>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</si>
  <si>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</si>
  <si>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</si>
  <si>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</si>
  <si>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</si>
  <si>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</si>
  <si>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</si>
  <si>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</si>
  <si>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</si>
  <si>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</si>
  <si>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</si>
  <si>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</si>
  <si>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</si>
  <si>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</si>
  <si>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</si>
  <si>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</si>
  <si>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</si>
  <si>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</si>
  <si>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</si>
  <si>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</si>
  <si>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</si>
  <si>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</si>
  <si>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</si>
  <si>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</si>
  <si>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</si>
  <si>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</si>
  <si>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</si>
  <si>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</si>
  <si>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</si>
  <si>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</si>
  <si>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</si>
  <si>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</si>
  <si>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</si>
  <si>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</si>
  <si>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</si>
  <si>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</si>
  <si>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</si>
  <si>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</si>
  <si>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</si>
  <si>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</si>
  <si>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</si>
  <si>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</si>
  <si>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</si>
  <si>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</si>
  <si>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</si>
  <si>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</si>
  <si>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</si>
  <si>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</si>
  <si>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</si>
  <si>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</si>
  <si>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</si>
  <si>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</si>
  <si>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</si>
  <si>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</si>
  <si>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</si>
  <si>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</si>
  <si>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</si>
  <si>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</si>
  <si>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</si>
  <si>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</si>
  <si>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</si>
  <si>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</si>
  <si>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</si>
  <si>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</si>
  <si>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</si>
  <si>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</si>
  <si>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</si>
  <si>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</si>
  <si>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</si>
  <si>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</si>
  <si>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</si>
  <si>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</si>
  <si>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</si>
  <si>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</si>
  <si>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</si>
  <si>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</si>
  <si>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</si>
  <si>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</si>
  <si>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</si>
  <si>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</si>
  <si>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</si>
  <si>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</si>
  <si>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</si>
  <si>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</si>
  <si>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</si>
  <si>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</si>
  <si>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</si>
  <si>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</si>
  <si>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</si>
  <si>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</si>
  <si>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</si>
  <si>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</si>
  <si>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</si>
  <si>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</si>
  <si>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</si>
  <si>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</si>
  <si>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</si>
  <si>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</si>
  <si>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</si>
  <si>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</si>
  <si>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</si>
  <si>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</si>
  <si>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</si>
  <si>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</si>
  <si>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</si>
  <si>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</si>
  <si>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</si>
  <si>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</si>
  <si>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</si>
  <si>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</si>
  <si>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</si>
  <si>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</si>
  <si>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</si>
  <si>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</si>
  <si>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</si>
  <si>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</si>
  <si>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</si>
  <si>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</si>
  <si>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</si>
  <si>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</si>
  <si>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</si>
  <si>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</si>
  <si>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</si>
  <si>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</si>
  <si>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</si>
  <si>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</si>
  <si>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</si>
  <si>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</si>
  <si>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</si>
  <si>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</si>
  <si>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</si>
  <si>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</si>
  <si>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</si>
  <si>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</si>
  <si>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</si>
  <si>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</si>
  <si>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</si>
  <si>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</si>
  <si>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</si>
  <si>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</si>
  <si>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</si>
  <si>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</si>
  <si>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</si>
  <si>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</si>
  <si>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</si>
  <si>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</si>
  <si>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</si>
  <si>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</si>
  <si>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</si>
  <si>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</si>
  <si>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</si>
  <si>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</si>
  <si>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</si>
  <si>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</si>
  <si>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</si>
  <si>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</si>
  <si>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</si>
  <si>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</si>
  <si>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</si>
  <si>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</si>
  <si>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</si>
  <si>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</si>
  <si>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</si>
  <si>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</si>
  <si>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</si>
  <si>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</si>
  <si>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</si>
  <si>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</si>
  <si>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</si>
  <si>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</si>
  <si>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</si>
  <si>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</si>
  <si>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</si>
  <si>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</si>
  <si>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</si>
  <si>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</si>
  <si>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</si>
  <si>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</si>
  <si>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</si>
  <si>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</si>
  <si>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</si>
  <si>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</si>
  <si>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</si>
  <si>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</si>
  <si>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</si>
  <si>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</si>
  <si>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</si>
  <si>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</si>
  <si>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</si>
  <si>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</si>
  <si>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</si>
  <si>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</si>
  <si>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</si>
  <si>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</si>
  <si>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</si>
  <si>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</si>
  <si>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</si>
  <si>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</si>
  <si>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</si>
  <si>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</si>
  <si>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</si>
  <si>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</si>
  <si>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</si>
  <si>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</si>
  <si>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</si>
  <si>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</si>
  <si>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</si>
  <si>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</si>
  <si>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</si>
  <si>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</si>
  <si>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</si>
  <si>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</si>
  <si>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</si>
  <si>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</si>
  <si>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</si>
  <si>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</si>
  <si>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</si>
  <si>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</si>
  <si>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</si>
  <si>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</si>
  <si>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</si>
  <si>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</si>
  <si>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</si>
  <si>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</si>
  <si>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</si>
  <si>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</si>
  <si>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</si>
  <si>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</si>
  <si>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</si>
  <si>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</si>
  <si>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</si>
  <si>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</si>
  <si>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</si>
  <si>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</si>
  <si>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</si>
  <si>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</si>
  <si>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</si>
  <si>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</si>
  <si>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</si>
  <si>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</si>
  <si>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</si>
  <si>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</si>
  <si>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</si>
  <si>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</si>
  <si>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</si>
  <si>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</si>
  <si>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</si>
  <si>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</si>
  <si>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</si>
  <si>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</si>
  <si>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</si>
  <si>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</si>
  <si>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</si>
  <si>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</si>
  <si>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</si>
  <si>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</si>
  <si>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</si>
  <si>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</si>
  <si>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</si>
  <si>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</si>
  <si>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</si>
  <si>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</si>
  <si>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</si>
  <si>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</si>
  <si>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</si>
  <si>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</si>
  <si>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</si>
  <si>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</si>
  <si>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</si>
  <si>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</si>
  <si>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</si>
  <si>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</si>
  <si>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</si>
  <si>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</si>
  <si>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</si>
  <si>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</si>
  <si>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</si>
  <si>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</si>
  <si>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</si>
  <si>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</si>
  <si>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</si>
  <si>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</si>
  <si>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</si>
  <si>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</si>
  <si>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</si>
  <si>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</si>
  <si>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</si>
  <si>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</si>
  <si>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</si>
  <si>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</si>
  <si>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</si>
  <si>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</si>
  <si>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</si>
  <si>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</si>
  <si>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</si>
  <si>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</si>
  <si>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</si>
  <si>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</si>
  <si>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</si>
  <si>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</si>
  <si>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</si>
  <si>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</si>
  <si>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</si>
  <si>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</si>
  <si>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</si>
  <si>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</si>
  <si>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</si>
  <si>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</si>
  <si>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</si>
  <si>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</si>
  <si>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</si>
  <si>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</si>
  <si>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</si>
  <si>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</si>
  <si>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</si>
  <si>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</si>
  <si>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</si>
  <si>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</si>
  <si>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</si>
  <si>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</si>
  <si>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</si>
  <si>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</si>
  <si>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</si>
  <si>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</si>
  <si>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</si>
  <si>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</si>
  <si>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</si>
  <si>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</si>
  <si>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</si>
  <si>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</si>
  <si>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</si>
  <si>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</si>
  <si>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</si>
  <si>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</si>
  <si>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</si>
  <si>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</si>
  <si>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</si>
  <si>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</si>
  <si>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</si>
  <si>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</si>
  <si>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</si>
  <si>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</si>
  <si>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</si>
  <si>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</si>
  <si>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</si>
  <si>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</si>
  <si>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</si>
  <si>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</si>
  <si>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</si>
  <si>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</si>
  <si>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</si>
  <si>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</si>
  <si>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</si>
  <si>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</si>
  <si>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</si>
  <si>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</si>
  <si>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</si>
  <si>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</si>
  <si>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</si>
  <si>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</si>
  <si>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</si>
  <si>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</si>
  <si>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</si>
  <si>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</si>
  <si>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</si>
  <si>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</si>
  <si>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</si>
  <si>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</si>
  <si>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</si>
  <si>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</si>
  <si>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</si>
  <si>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</si>
  <si>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</si>
  <si>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</si>
  <si>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</si>
  <si>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</si>
  <si>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</si>
  <si>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</si>
  <si>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</si>
  <si>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</si>
  <si>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</si>
  <si>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</si>
  <si>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</si>
  <si>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</si>
  <si>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</si>
  <si>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</si>
  <si>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</si>
  <si>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</si>
  <si>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</si>
  <si>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</si>
  <si>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</si>
  <si>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</si>
  <si>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</si>
  <si>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</si>
  <si>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</si>
  <si>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</si>
  <si>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</si>
  <si>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</si>
  <si>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</si>
  <si>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</si>
  <si>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</si>
  <si>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</si>
  <si>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</si>
  <si>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</si>
  <si>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</si>
  <si>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</si>
  <si>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</si>
  <si>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</si>
  <si>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</si>
  <si>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</si>
  <si>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</si>
  <si>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</si>
  <si>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</si>
  <si>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</si>
  <si>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</si>
  <si>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</si>
  <si>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</si>
  <si>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</si>
  <si>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</si>
  <si>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</si>
  <si>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</si>
  <si>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</si>
  <si>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</si>
  <si>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</si>
  <si>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</si>
  <si>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</si>
  <si>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</si>
  <si>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</si>
  <si>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</si>
  <si>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</si>
  <si>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</si>
  <si>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</si>
  <si>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</si>
  <si>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</si>
  <si>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</si>
  <si>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</si>
  <si>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</si>
  <si>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</si>
  <si>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</si>
  <si>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</si>
  <si>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</si>
  <si>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</si>
  <si>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</si>
  <si>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</si>
  <si>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</si>
  <si>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</si>
  <si>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</si>
  <si>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</si>
  <si>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</si>
  <si>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</si>
  <si>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</si>
  <si>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</si>
  <si>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</si>
  <si>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</si>
  <si>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</si>
  <si>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</si>
  <si>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</si>
  <si>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</si>
  <si>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</si>
  <si>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</si>
  <si>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</si>
  <si>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</si>
  <si>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</si>
  <si>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</si>
  <si>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</si>
  <si>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</si>
  <si>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</si>
  <si>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</si>
  <si>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</si>
  <si>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</si>
  <si>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</si>
  <si>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</si>
  <si>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</si>
  <si>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</si>
  <si>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</si>
  <si>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</si>
  <si>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</si>
  <si>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</si>
  <si>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</si>
  <si>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</si>
  <si>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</si>
  <si>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</si>
  <si>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</si>
  <si>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</si>
  <si>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</si>
  <si>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</si>
  <si>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</si>
  <si>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</si>
  <si>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</si>
  <si>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</si>
  <si>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</si>
  <si>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</si>
  <si>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</si>
  <si>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</si>
  <si>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</si>
  <si>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</si>
  <si>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</si>
  <si>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</si>
  <si>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</si>
  <si>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</si>
  <si>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</si>
  <si>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</si>
  <si>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</si>
  <si>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</si>
  <si>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</si>
  <si>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</si>
  <si>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</si>
  <si>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</si>
  <si>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</si>
  <si>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</si>
  <si>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</si>
  <si>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</si>
  <si>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</si>
  <si>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</si>
  <si>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</si>
  <si>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</si>
  <si>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</si>
  <si>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</si>
  <si>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</si>
  <si>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</si>
  <si>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</si>
  <si>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</si>
  <si>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</si>
  <si>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</si>
  <si>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</si>
  <si>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</si>
  <si>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</si>
  <si>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</si>
  <si>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</si>
  <si>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</si>
  <si>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</si>
  <si>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</si>
  <si>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</si>
  <si>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</si>
  <si>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</si>
  <si>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</si>
  <si>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</si>
  <si>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</si>
  <si>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</si>
  <si>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</si>
  <si>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</si>
  <si>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</si>
  <si>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</si>
  <si>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</si>
  <si>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</si>
  <si>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</si>
  <si>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</si>
  <si>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</si>
  <si>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</si>
  <si>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</si>
  <si>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</si>
  <si>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</si>
  <si>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</si>
  <si>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</si>
  <si>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</si>
  <si>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</si>
  <si>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</si>
  <si>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</si>
  <si>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</si>
  <si>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</si>
  <si>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</si>
  <si>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</si>
  <si>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</si>
  <si>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</si>
  <si>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</si>
  <si>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</si>
  <si>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</si>
  <si>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</si>
  <si>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</si>
  <si>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</si>
  <si>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</si>
  <si>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</si>
  <si>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</si>
  <si>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</si>
  <si>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</si>
  <si>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</si>
  <si>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</si>
  <si>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</si>
  <si>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</si>
  <si>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</si>
  <si>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</si>
  <si>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</si>
  <si>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</si>
  <si>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</si>
  <si>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</si>
  <si>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</si>
  <si>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</si>
  <si>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</si>
  <si>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</si>
  <si>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</si>
  <si>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</si>
  <si>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</si>
  <si>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</si>
  <si>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</si>
  <si>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</si>
  <si>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</si>
  <si>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</si>
  <si>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</si>
  <si>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</si>
  <si>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</si>
  <si>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</si>
  <si>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</si>
  <si>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</si>
  <si>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</si>
  <si>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</si>
  <si>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</si>
  <si>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</si>
  <si>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</si>
  <si>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</si>
  <si>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</si>
  <si>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</si>
  <si>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</si>
  <si>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</si>
  <si>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</si>
  <si>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</si>
  <si>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</si>
  <si>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</si>
  <si>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</si>
  <si>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</si>
  <si>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</si>
  <si>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</si>
  <si>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</si>
  <si>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</si>
  <si>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</si>
  <si>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</si>
  <si>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</si>
  <si>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</si>
  <si>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</si>
  <si>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</si>
  <si>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</si>
  <si>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</si>
  <si>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</si>
  <si>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</si>
  <si>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</si>
  <si>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</si>
  <si>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</si>
  <si>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</si>
  <si>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</si>
  <si>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</si>
  <si>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</si>
  <si>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</si>
  <si>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</si>
  <si>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</si>
  <si>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</si>
  <si>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</si>
  <si>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</si>
  <si>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</si>
  <si>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</si>
  <si>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</si>
  <si>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</si>
  <si>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</si>
  <si>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</si>
  <si>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</si>
  <si>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</si>
  <si>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</si>
  <si>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</si>
  <si>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</si>
  <si>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</si>
  <si>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</si>
  <si>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</si>
  <si>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</si>
  <si>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</si>
  <si>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</si>
  <si>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</si>
  <si>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</si>
  <si>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</si>
  <si>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</si>
  <si>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</si>
  <si>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</si>
  <si>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</si>
  <si>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</si>
  <si>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</si>
  <si>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</si>
  <si>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</si>
  <si>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</si>
  <si>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</si>
  <si>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</si>
  <si>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</si>
  <si>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</si>
  <si>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</si>
  <si>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</si>
  <si>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</si>
  <si>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</si>
  <si>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</si>
  <si>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</si>
  <si>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</si>
  <si>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</si>
  <si>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</si>
  <si>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</si>
  <si>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</si>
  <si>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</si>
  <si>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</si>
  <si>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</si>
  <si>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</si>
  <si>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</si>
  <si>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</si>
  <si>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</si>
  <si>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</si>
  <si>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</si>
  <si>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</si>
  <si>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</si>
  <si>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</si>
  <si>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</si>
  <si>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</si>
  <si>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</si>
  <si>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</si>
  <si>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</si>
  <si>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</si>
  <si>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</si>
  <si>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</si>
  <si>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</si>
  <si>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</si>
  <si>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</si>
  <si>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</si>
  <si>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</si>
  <si>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</si>
  <si>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</si>
  <si>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</si>
  <si>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</si>
  <si>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</si>
  <si>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</si>
  <si>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</si>
  <si>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</si>
  <si>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</si>
  <si>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</si>
  <si>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</si>
  <si>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</si>
  <si>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</si>
  <si>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</si>
  <si>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</si>
  <si>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</si>
  <si>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</si>
  <si>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</si>
  <si>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</si>
  <si>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</si>
  <si>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</si>
  <si>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</si>
  <si>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</si>
  <si>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</si>
  <si>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</si>
  <si>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</si>
  <si>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</si>
  <si>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</si>
  <si>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</si>
  <si>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</si>
  <si>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</si>
  <si>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</si>
  <si>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</si>
  <si>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</si>
  <si>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</si>
  <si>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</si>
  <si>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</si>
  <si>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</si>
  <si>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</si>
  <si>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</si>
  <si>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</si>
  <si>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</si>
  <si>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</si>
  <si>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</si>
  <si>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</si>
  <si>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</si>
  <si>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</si>
  <si>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</si>
  <si>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</si>
  <si>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</si>
  <si>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</si>
  <si>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</si>
  <si>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</si>
  <si>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</si>
  <si>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</si>
  <si>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</si>
  <si>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</si>
  <si>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</si>
  <si>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</si>
  <si>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</si>
  <si>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</si>
  <si>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</si>
  <si>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</si>
  <si>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</si>
  <si>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</si>
  <si>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</si>
  <si>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</si>
  <si>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</si>
  <si>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</si>
  <si>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</si>
  <si>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</si>
  <si>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</si>
  <si>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</si>
  <si>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</si>
  <si>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</si>
  <si>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</si>
  <si>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</si>
  <si>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</si>
  <si>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</si>
  <si>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</si>
  <si>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</si>
  <si>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</si>
  <si>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</si>
  <si>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</si>
  <si>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</si>
  <si>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</si>
  <si>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</si>
  <si>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</si>
  <si>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</si>
  <si>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</si>
  <si>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</si>
  <si>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</si>
  <si>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</si>
  <si>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</si>
  <si>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</si>
  <si>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</si>
  <si>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</si>
  <si>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</si>
  <si>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</si>
  <si>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</si>
  <si>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</si>
  <si>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</si>
  <si>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</si>
  <si>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</si>
  <si>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</si>
  <si>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</si>
  <si>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</si>
  <si>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</si>
  <si>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</si>
  <si>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</si>
  <si>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</si>
  <si>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</si>
  <si>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</si>
  <si>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</si>
  <si>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</si>
  <si>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</si>
  <si>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</si>
  <si>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</si>
  <si>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</si>
  <si>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</si>
  <si>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</si>
  <si>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</si>
  <si>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</si>
  <si>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</si>
  <si>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</si>
  <si>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</si>
  <si>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</si>
  <si>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</si>
  <si>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</si>
  <si>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</si>
  <si>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</si>
  <si>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</si>
  <si>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</si>
  <si>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</si>
  <si>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</si>
  <si>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</si>
  <si>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</si>
  <si>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</si>
  <si>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</si>
  <si>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</si>
  <si>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</si>
  <si>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</si>
  <si>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</si>
  <si>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</si>
  <si>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</si>
  <si>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</si>
  <si>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</si>
  <si>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</si>
  <si>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</si>
  <si>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</si>
  <si>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</si>
  <si>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</si>
  <si>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</si>
  <si>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</si>
  <si>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</si>
  <si>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</si>
  <si>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</si>
  <si>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</si>
  <si>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</si>
  <si>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</si>
  <si>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</si>
  <si>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</si>
  <si>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</si>
  <si>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</si>
  <si>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</si>
  <si>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</si>
  <si>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</si>
  <si>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</si>
  <si>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</si>
  <si>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</si>
  <si>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43014</t>
  </si>
  <si>
    <t>SINT-LAUREINS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</si>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</sst>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58545.807265327909</c:v>
                </c:pt>
                <c:pt idx="1">
                  <c:v>14069.080037329966</c:v>
                </c:pt>
                <c:pt idx="2">
                  <c:v>663.279</c:v>
                </c:pt>
                <c:pt idx="3">
                  <c:v>18427.738427257656</c:v>
                </c:pt>
                <c:pt idx="4">
                  <c:v>3987.0816610854527</c:v>
                </c:pt>
                <c:pt idx="5">
                  <c:v>43726.630201499538</c:v>
                </c:pt>
                <c:pt idx="6">
                  <c:v>219.12549237977149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58545.807265327909</c:v>
                </c:pt>
                <c:pt idx="1">
                  <c:v>14069.080037329966</c:v>
                </c:pt>
                <c:pt idx="2">
                  <c:v>663.279</c:v>
                </c:pt>
                <c:pt idx="3">
                  <c:v>18427.738427257656</c:v>
                </c:pt>
                <c:pt idx="4">
                  <c:v>3987.0816610854527</c:v>
                </c:pt>
                <c:pt idx="5">
                  <c:v>43726.630201499538</c:v>
                </c:pt>
                <c:pt idx="6">
                  <c:v>219.12549237977149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11851.454647615783</c:v>
                </c:pt>
                <c:pt idx="2">
                  <c:v>2763.9950089035565</c:v>
                </c:pt>
                <c:pt idx="3">
                  <c:v>133.93480509985412</c:v>
                </c:pt>
                <c:pt idx="4">
                  <c:v>4643.8389092741236</c:v>
                </c:pt>
                <c:pt idx="5">
                  <c:v>784.79785912449029</c:v>
                </c:pt>
                <c:pt idx="6">
                  <c:v>10960.729139222025</c:v>
                </c:pt>
                <c:pt idx="7">
                  <c:v>55.350054226959848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6432"/>
      </c:barChart>
      <c:catAx>
        <c:axId val="147176448"/>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11851.454647615783</c:v>
                </c:pt>
                <c:pt idx="2">
                  <c:v>2763.9950089035565</c:v>
                </c:pt>
                <c:pt idx="3">
                  <c:v>133.93480509985412</c:v>
                </c:pt>
                <c:pt idx="4">
                  <c:v>4643.8389092741236</c:v>
                </c:pt>
                <c:pt idx="5">
                  <c:v>784.79785912449029</c:v>
                </c:pt>
                <c:pt idx="6">
                  <c:v>10960.729139222025</c:v>
                </c:pt>
                <c:pt idx="7">
                  <c:v>55.350054226959848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43014</v>
      </c>
      <c r="B6" s="416"/>
      <c r="C6" s="417"/>
    </row>
    <row r="7" spans="1:7" s="414" customFormat="1" ht="15.75" customHeight="1">
      <c r="A7" s="418" t="str">
        <f>txtMunicipality</f>
        <v>SINT-LAUREINS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0.20192830633843997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0.20192830633843997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2832</v>
      </c>
      <c r="C9" s="342">
        <v>2825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6035</v>
      </c>
    </row>
    <row r="15" spans="1:6">
      <c r="A15" s="348" t="s">
        <v>184</v>
      </c>
      <c r="B15" s="334">
        <v>48</v>
      </c>
    </row>
    <row r="16" spans="1:6">
      <c r="A16" s="348" t="s">
        <v>6</v>
      </c>
      <c r="B16" s="334">
        <v>1988</v>
      </c>
    </row>
    <row r="17" spans="1:6">
      <c r="A17" s="348" t="s">
        <v>7</v>
      </c>
      <c r="B17" s="334">
        <v>1931</v>
      </c>
    </row>
    <row r="18" spans="1:6">
      <c r="A18" s="348" t="s">
        <v>8</v>
      </c>
      <c r="B18" s="334">
        <v>2902</v>
      </c>
    </row>
    <row r="19" spans="1:6">
      <c r="A19" s="348" t="s">
        <v>9</v>
      </c>
      <c r="B19" s="334">
        <v>2766</v>
      </c>
    </row>
    <row r="20" spans="1:6">
      <c r="A20" s="348" t="s">
        <v>10</v>
      </c>
      <c r="B20" s="334">
        <v>1498</v>
      </c>
    </row>
    <row r="21" spans="1:6">
      <c r="A21" s="348" t="s">
        <v>11</v>
      </c>
      <c r="B21" s="334">
        <v>18178</v>
      </c>
    </row>
    <row r="22" spans="1:6">
      <c r="A22" s="348" t="s">
        <v>12</v>
      </c>
      <c r="B22" s="334">
        <v>29573</v>
      </c>
    </row>
    <row r="23" spans="1:6">
      <c r="A23" s="348" t="s">
        <v>13</v>
      </c>
      <c r="B23" s="334">
        <v>911</v>
      </c>
    </row>
    <row r="24" spans="1:6">
      <c r="A24" s="348" t="s">
        <v>14</v>
      </c>
      <c r="B24" s="334">
        <v>44</v>
      </c>
    </row>
    <row r="25" spans="1:6">
      <c r="A25" s="348" t="s">
        <v>15</v>
      </c>
      <c r="B25" s="334">
        <v>4064</v>
      </c>
    </row>
    <row r="26" spans="1:6">
      <c r="A26" s="348" t="s">
        <v>16</v>
      </c>
      <c r="B26" s="334">
        <v>714</v>
      </c>
    </row>
    <row r="27" spans="1:6">
      <c r="A27" s="348" t="s">
        <v>17</v>
      </c>
      <c r="B27" s="334">
        <v>7</v>
      </c>
    </row>
    <row r="28" spans="1:6" s="356" customFormat="1">
      <c r="A28" s="355" t="s">
        <v>18</v>
      </c>
      <c r="B28" s="355">
        <v>390338</v>
      </c>
    </row>
    <row r="29" spans="1:6">
      <c r="A29" s="355" t="s">
        <v>901</v>
      </c>
      <c r="B29" s="355">
        <v>169</v>
      </c>
      <c r="C29" s="356"/>
      <c r="D29" s="356"/>
      <c r="E29" s="356"/>
      <c r="F29" s="356"/>
    </row>
    <row r="30" spans="1:6">
      <c r="A30" s="341" t="s">
        <v>902</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11433.6888296622</v>
      </c>
      <c r="E38" s="334">
        <v>3</v>
      </c>
      <c r="F38" s="334">
        <v>1453.1130000000001</v>
      </c>
    </row>
    <row r="39" spans="1:6">
      <c r="A39" s="348" t="s">
        <v>30</v>
      </c>
      <c r="B39" s="348" t="s">
        <v>31</v>
      </c>
      <c r="C39" s="334">
        <v>1318</v>
      </c>
      <c r="D39" s="334">
        <v>20013758.219720799</v>
      </c>
      <c r="E39" s="334">
        <v>2567</v>
      </c>
      <c r="F39" s="334">
        <v>12193156</v>
      </c>
    </row>
    <row r="40" spans="1:6">
      <c r="A40" s="348" t="s">
        <v>30</v>
      </c>
      <c r="B40" s="348" t="s">
        <v>29</v>
      </c>
      <c r="C40" s="334">
        <v>1</v>
      </c>
      <c r="D40" s="334">
        <v>27556.514676284402</v>
      </c>
      <c r="E40" s="334">
        <v>2</v>
      </c>
      <c r="F40" s="334">
        <v>29950.83</v>
      </c>
    </row>
    <row r="41" spans="1:6">
      <c r="A41" s="348" t="s">
        <v>32</v>
      </c>
      <c r="B41" s="348" t="s">
        <v>33</v>
      </c>
      <c r="C41" s="334">
        <v>14</v>
      </c>
      <c r="D41" s="334">
        <v>117713.22973892601</v>
      </c>
      <c r="E41" s="334">
        <v>71</v>
      </c>
      <c r="F41" s="334">
        <v>790528.9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555880.81276943104</v>
      </c>
      <c r="E48" s="334">
        <v>44</v>
      </c>
      <c r="F48" s="334">
        <v>713284.3</v>
      </c>
    </row>
    <row r="49" spans="1:6">
      <c r="A49" s="348" t="s">
        <v>32</v>
      </c>
      <c r="B49" s="348" t="s">
        <v>40</v>
      </c>
      <c r="C49" s="334">
        <v>0</v>
      </c>
      <c r="D49" s="334">
        <v>0</v>
      </c>
      <c r="E49" s="334">
        <v>6</v>
      </c>
      <c r="F49" s="334">
        <v>419646.8</v>
      </c>
    </row>
    <row r="50" spans="1:6">
      <c r="A50" s="348" t="s">
        <v>32</v>
      </c>
      <c r="B50" s="348" t="s">
        <v>41</v>
      </c>
      <c r="C50" s="334">
        <v>0</v>
      </c>
      <c r="D50" s="334">
        <v>0</v>
      </c>
      <c r="E50" s="334">
        <v>0</v>
      </c>
      <c r="F50" s="334">
        <v>0</v>
      </c>
    </row>
    <row r="51" spans="1:6">
      <c r="A51" s="348" t="s">
        <v>42</v>
      </c>
      <c r="B51" s="348" t="s">
        <v>43</v>
      </c>
      <c r="C51" s="334">
        <v>13</v>
      </c>
      <c r="D51" s="334">
        <v>244353.14778282601</v>
      </c>
      <c r="E51" s="334">
        <v>200</v>
      </c>
      <c r="F51" s="334">
        <v>3789467</v>
      </c>
    </row>
    <row r="52" spans="1:6">
      <c r="A52" s="348" t="s">
        <v>42</v>
      </c>
      <c r="B52" s="348" t="s">
        <v>29</v>
      </c>
      <c r="C52" s="334">
        <v>6</v>
      </c>
      <c r="D52" s="334">
        <v>122483.10691299599</v>
      </c>
      <c r="E52" s="334">
        <v>25</v>
      </c>
      <c r="F52" s="334">
        <v>1101886</v>
      </c>
    </row>
    <row r="53" spans="1:6">
      <c r="A53" s="348" t="s">
        <v>44</v>
      </c>
      <c r="B53" s="348" t="s">
        <v>45</v>
      </c>
      <c r="C53" s="334">
        <v>33</v>
      </c>
      <c r="D53" s="334">
        <v>487572.32355194399</v>
      </c>
      <c r="E53" s="334">
        <v>97</v>
      </c>
      <c r="F53" s="334">
        <v>398098.4</v>
      </c>
    </row>
    <row r="54" spans="1:6">
      <c r="A54" s="348" t="s">
        <v>46</v>
      </c>
      <c r="B54" s="348" t="s">
        <v>47</v>
      </c>
      <c r="C54" s="334">
        <v>0</v>
      </c>
      <c r="D54" s="334">
        <v>0</v>
      </c>
      <c r="E54" s="334">
        <v>5</v>
      </c>
      <c r="F54" s="334">
        <v>663279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98743.039393706902</v>
      </c>
      <c r="E57" s="334">
        <v>58</v>
      </c>
      <c r="F57" s="334">
        <v>522259</v>
      </c>
    </row>
    <row r="58" spans="1:6">
      <c r="A58" s="348" t="s">
        <v>49</v>
      </c>
      <c r="B58" s="348" t="s">
        <v>51</v>
      </c>
      <c r="C58" s="334">
        <v>0</v>
      </c>
      <c r="D58" s="334">
        <v>0</v>
      </c>
      <c r="E58" s="334">
        <v>0</v>
      </c>
      <c r="F58" s="334">
        <v>0</v>
      </c>
    </row>
    <row r="59" spans="1:6">
      <c r="A59" s="348" t="s">
        <v>49</v>
      </c>
      <c r="B59" s="348" t="s">
        <v>52</v>
      </c>
      <c r="C59" s="334">
        <v>0</v>
      </c>
      <c r="D59" s="334">
        <v>0</v>
      </c>
      <c r="E59" s="334">
        <v>16</v>
      </c>
      <c r="F59" s="334">
        <v>358036.3</v>
      </c>
    </row>
    <row r="60" spans="1:6">
      <c r="A60" s="348" t="s">
        <v>49</v>
      </c>
      <c r="B60" s="348" t="s">
        <v>53</v>
      </c>
      <c r="C60" s="334">
        <v>18</v>
      </c>
      <c r="D60" s="334">
        <v>612863.91453061905</v>
      </c>
      <c r="E60" s="334">
        <v>37</v>
      </c>
      <c r="F60" s="334">
        <v>872276.7</v>
      </c>
    </row>
    <row r="61" spans="1:6">
      <c r="A61" s="348" t="s">
        <v>49</v>
      </c>
      <c r="B61" s="348" t="s">
        <v>54</v>
      </c>
      <c r="C61" s="334">
        <v>24</v>
      </c>
      <c r="D61" s="334">
        <v>1865122.6928642299</v>
      </c>
      <c r="E61" s="334">
        <v>43</v>
      </c>
      <c r="F61" s="334">
        <v>628060.1</v>
      </c>
    </row>
    <row r="62" spans="1:6">
      <c r="A62" s="348" t="s">
        <v>49</v>
      </c>
      <c r="B62" s="348" t="s">
        <v>55</v>
      </c>
      <c r="C62" s="334">
        <v>3</v>
      </c>
      <c r="D62" s="334">
        <v>142300.703899443</v>
      </c>
      <c r="E62" s="334">
        <v>3</v>
      </c>
      <c r="F62" s="334">
        <v>12781.54</v>
      </c>
    </row>
    <row r="63" spans="1:6">
      <c r="A63" s="348" t="s">
        <v>49</v>
      </c>
      <c r="B63" s="348" t="s">
        <v>29</v>
      </c>
      <c r="C63" s="334">
        <v>85</v>
      </c>
      <c r="D63" s="334">
        <v>5207223.44089342</v>
      </c>
      <c r="E63" s="334">
        <v>169</v>
      </c>
      <c r="F63" s="334">
        <v>2930316</v>
      </c>
    </row>
    <row r="64" spans="1:6">
      <c r="A64" s="348" t="s">
        <v>56</v>
      </c>
      <c r="B64" s="348" t="s">
        <v>57</v>
      </c>
      <c r="C64" s="334">
        <v>0</v>
      </c>
      <c r="D64" s="334">
        <v>0</v>
      </c>
      <c r="E64" s="334">
        <v>0</v>
      </c>
      <c r="F64" s="334">
        <v>0</v>
      </c>
    </row>
    <row r="65" spans="1:6">
      <c r="A65" s="348" t="s">
        <v>56</v>
      </c>
      <c r="B65" s="348" t="s">
        <v>29</v>
      </c>
      <c r="C65" s="334">
        <v>0</v>
      </c>
      <c r="D65" s="334">
        <v>0</v>
      </c>
      <c r="E65" s="334">
        <v>4</v>
      </c>
      <c r="F65" s="334">
        <v>60545.62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20508933</v>
      </c>
      <c r="E73" s="476">
        <v>22756024.120253902</v>
      </c>
    </row>
    <row r="74" spans="1:6">
      <c r="A74" s="348" t="s">
        <v>64</v>
      </c>
      <c r="B74" s="348" t="s">
        <v>714</v>
      </c>
      <c r="C74" s="1311" t="s">
        <v>716</v>
      </c>
      <c r="D74" s="476">
        <v>3318205.2184570716</v>
      </c>
      <c r="E74" s="476">
        <v>3620743.2075349069</v>
      </c>
    </row>
    <row r="75" spans="1:6">
      <c r="A75" s="348" t="s">
        <v>65</v>
      </c>
      <c r="B75" s="348" t="s">
        <v>713</v>
      </c>
      <c r="C75" s="1311" t="s">
        <v>717</v>
      </c>
      <c r="D75" s="476">
        <v>19169237</v>
      </c>
      <c r="E75" s="476">
        <v>21170336.545826875</v>
      </c>
    </row>
    <row r="76" spans="1:6">
      <c r="A76" s="348" t="s">
        <v>65</v>
      </c>
      <c r="B76" s="348" t="s">
        <v>714</v>
      </c>
      <c r="C76" s="1311" t="s">
        <v>718</v>
      </c>
      <c r="D76" s="476">
        <v>1510777.2184570716</v>
      </c>
      <c r="E76" s="476">
        <v>1664581.4179835694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58555.563085856906</v>
      </c>
      <c r="C83" s="476">
        <v>59411.397627938895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1787.8883334983896</v>
      </c>
    </row>
    <row r="92" spans="1:6">
      <c r="A92" s="341" t="s">
        <v>69</v>
      </c>
      <c r="B92" s="342">
        <v>560.80827966709455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27216.353236407507</v>
      </c>
      <c r="C3" s="43" t="s">
        <v>170</v>
      </c>
      <c r="D3" s="43"/>
      <c r="E3" s="154"/>
      <c r="F3" s="43"/>
      <c r="G3" s="43"/>
      <c r="H3" s="43"/>
      <c r="I3" s="43"/>
      <c r="J3" s="43"/>
      <c r="K3" s="96"/>
    </row>
    <row r="4" spans="1:11">
      <c r="A4" s="384" t="s">
        <v>171</v>
      </c>
      <c r="B4" s="49">
        <f>IF(ISERROR('SEAP template'!B78+'SEAP template'!C78),0,'SEAP template'!B78+'SEAP template'!C78)</f>
        <v>2348.696613165484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0.20192830633843997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0.20192830633843997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133.93480509985412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12223.106830000001</v>
      </c>
      <c r="C5" s="17">
        <f>IF(ISERROR('Eigen informatie GS &amp; warmtenet'!B57),0,'Eigen informatie GS &amp; warmtenet'!B57)</f>
        <v>0</v>
      </c>
      <c r="D5" s="30">
        <f>(SUM(HH_hh_gas_kWh,HH_rest_gas_kWh)/1000)*0.902</f>
        <v>18077.26589042617</v>
      </c>
      <c r="E5" s="17">
        <f>B46*B57</f>
        <v>5008.8532275015577</v>
      </c>
      <c r="F5" s="17">
        <f>B51*B62</f>
        <v>11052.802191641586</v>
      </c>
      <c r="G5" s="18"/>
      <c r="H5" s="17"/>
      <c r="I5" s="17"/>
      <c r="J5" s="17">
        <f>B50*B61+C50*C61</f>
        <v>3622.9450464893685</v>
      </c>
      <c r="K5" s="17"/>
      <c r="L5" s="17"/>
      <c r="M5" s="17"/>
      <c r="N5" s="17">
        <f>B48*B59+C48*C59</f>
        <v>6162.7824124375038</v>
      </c>
      <c r="O5" s="17">
        <f>B69*B70*B71</f>
        <v>95.36333333333333</v>
      </c>
      <c r="P5" s="17">
        <f>B77*B78*B79/1000-B77*B78*B79/1000/B80</f>
        <v>514.79999999999995</v>
      </c>
    </row>
    <row r="6" spans="1:16">
      <c r="A6" s="16" t="s">
        <v>631</v>
      </c>
      <c r="B6" s="789">
        <f>kWh_PV_kleiner_dan_10kW</f>
        <v>1787.8883334983896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14010.99516349839</v>
      </c>
      <c r="C8" s="21">
        <f>C5</f>
        <v>0</v>
      </c>
      <c r="D8" s="21">
        <f>D5</f>
        <v>18077.26589042617</v>
      </c>
      <c r="E8" s="21">
        <f>E5</f>
        <v>5008.8532275015577</v>
      </c>
      <c r="F8" s="21">
        <f>F5</f>
        <v>11052.802191641586</v>
      </c>
      <c r="G8" s="21"/>
      <c r="H8" s="21"/>
      <c r="I8" s="21"/>
      <c r="J8" s="21">
        <f>J5</f>
        <v>3622.9450464893685</v>
      </c>
      <c r="K8" s="21"/>
      <c r="L8" s="21">
        <f>L5</f>
        <v>0</v>
      </c>
      <c r="M8" s="21">
        <f>M5</f>
        <v>0</v>
      </c>
      <c r="N8" s="21">
        <f>N5</f>
        <v>6162.7824124375038</v>
      </c>
      <c r="O8" s="21">
        <f>O5</f>
        <v>95.36333333333333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0.20192830633843997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2829.2165234813037</v>
      </c>
      <c r="C12" s="23">
        <f ca="1">C10*C8</f>
        <v>0</v>
      </c>
      <c r="D12" s="23">
        <f>D8*D10</f>
        <v>3651.6077098660867</v>
      </c>
      <c r="E12" s="23">
        <f>E10*E8</f>
        <v>1137.0096826428537</v>
      </c>
      <c r="F12" s="23">
        <f>F10*F8</f>
        <v>2951.0981851683036</v>
      </c>
      <c r="G12" s="23"/>
      <c r="H12" s="23"/>
      <c r="I12" s="23"/>
      <c r="J12" s="23">
        <f>J10*J8</f>
        <v>1282.5225464572363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2832</v>
      </c>
      <c r="C28" s="36"/>
      <c r="D28" s="228"/>
    </row>
    <row r="29" spans="1:7" s="15" customFormat="1">
      <c r="A29" s="230" t="s">
        <v>741</v>
      </c>
      <c r="B29" s="37">
        <f>SUM(HH_hh_gas_aantal,HH_rest_gas_aantal)</f>
        <v>1319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1319</v>
      </c>
      <c r="C32" s="167">
        <f>IF(ISERROR(B32/SUM($B$32,$B$34,$B$35,$B$36,$B$38,$B$39)*100),0,B32/SUM($B$32,$B$34,$B$35,$B$36,$B$38,$B$39)*100)</f>
        <v>47.023172905525847</v>
      </c>
      <c r="D32" s="233"/>
      <c r="G32" s="15"/>
    </row>
    <row r="33" spans="1:7">
      <c r="A33" s="171" t="s">
        <v>72</v>
      </c>
      <c r="B33" s="34" t="s">
        <v>111</v>
      </c>
      <c r="C33" s="167"/>
      <c r="D33" s="233"/>
      <c r="G33" s="15"/>
    </row>
    <row r="34" spans="1:7">
      <c r="A34" s="171" t="s">
        <v>73</v>
      </c>
      <c r="B34" s="33">
        <f>IF((($B$28-$B$32-$B$39-$B$77-$B$38)*C20/100)&lt;0,0,($B$28-$B$32-$B$39-$B$77-$B$38)*C20/100)</f>
        <v>335.70287539936101</v>
      </c>
      <c r="C34" s="167">
        <f>IF(ISERROR(B34/SUM($B$32,$B$34,$B$35,$B$36,$B$38,$B$39)*100),0,B34/SUM($B$32,$B$34,$B$35,$B$36,$B$38,$B$39)*100)</f>
        <v>11.968016948283815</v>
      </c>
      <c r="D34" s="233"/>
      <c r="G34" s="15"/>
    </row>
    <row r="35" spans="1:7">
      <c r="A35" s="171" t="s">
        <v>74</v>
      </c>
      <c r="B35" s="33">
        <f>IF((($B$28-$B$32-$B$39-$B$77-$B$38)*C21/100)&lt;0,0,($B$28-$B$32-$B$39-$B$77-$B$38)*C21/100)</f>
        <v>489.38019169329078</v>
      </c>
      <c r="C35" s="167">
        <f>IF(ISERROR(B35/SUM($B$32,$B$34,$B$35,$B$36,$B$38,$B$39)*100),0,B35/SUM($B$32,$B$34,$B$35,$B$36,$B$38,$B$39)*100)</f>
        <v>17.446709151275964</v>
      </c>
      <c r="D35" s="233"/>
      <c r="G35" s="15"/>
    </row>
    <row r="36" spans="1:7">
      <c r="A36" s="171" t="s">
        <v>75</v>
      </c>
      <c r="B36" s="33">
        <f>IF((($B$28-$B$32-$B$39-$B$77-$B$38)*C22/100)&lt;0,0,($B$28-$B$32-$B$39-$B$77-$B$38)*C22/100)</f>
        <v>108.91693290734824</v>
      </c>
      <c r="C36" s="167">
        <f>IF(ISERROR(B36/SUM($B$32,$B$34,$B$35,$B$36,$B$38,$B$39)*100),0,B36/SUM($B$32,$B$34,$B$35,$B$36,$B$38,$B$39)*100)</f>
        <v>3.8829566098876374</v>
      </c>
      <c r="D36" s="233"/>
      <c r="G36" s="15"/>
    </row>
    <row r="37" spans="1:7">
      <c r="A37" s="171" t="s">
        <v>76</v>
      </c>
      <c r="B37" s="34" t="s">
        <v>111</v>
      </c>
      <c r="C37" s="167"/>
      <c r="D37" s="173"/>
      <c r="G37" s="15"/>
    </row>
    <row r="38" spans="1:7">
      <c r="A38" s="171" t="s">
        <v>77</v>
      </c>
      <c r="B38" s="33">
        <f>IF((B24-(B29-B18)*0.1)&lt;0,0,B24-(B29-B18)*0.1)</f>
        <v>103</v>
      </c>
      <c r="C38" s="167">
        <f>IF(ISERROR(B38/SUM($B$32,$B$34,$B$35,$B$36,$B$38,$B$39)*100),0,B38/SUM($B$32,$B$34,$B$35,$B$36,$B$38,$B$39)*100)</f>
        <v>3.6720142602495542</v>
      </c>
      <c r="D38" s="234"/>
      <c r="G38" s="15"/>
    </row>
    <row r="39" spans="1:7">
      <c r="A39" s="171" t="s">
        <v>78</v>
      </c>
      <c r="B39" s="33">
        <f>IF((B25-(B29-B18))&lt;0,0,B25-(B29-B18)*0.9)</f>
        <v>449</v>
      </c>
      <c r="C39" s="167">
        <f>IF(ISERROR(B39/SUM($B$32,$B$34,$B$35,$B$36,$B$38,$B$39)*100),0,B39/SUM($B$32,$B$34,$B$35,$B$36,$B$38,$B$39)*100)</f>
        <v>16.007130124777184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1319</v>
      </c>
      <c r="C44" s="34" t="s">
        <v>111</v>
      </c>
      <c r="D44" s="174"/>
    </row>
    <row r="45" spans="1:7">
      <c r="A45" s="171" t="s">
        <v>72</v>
      </c>
      <c r="B45" s="33" t="str">
        <f t="shared" si="0"/>
        <v>-</v>
      </c>
      <c r="C45" s="34" t="s">
        <v>111</v>
      </c>
      <c r="D45" s="174"/>
    </row>
    <row r="46" spans="1:7">
      <c r="A46" s="171" t="s">
        <v>73</v>
      </c>
      <c r="B46" s="33">
        <f t="shared" si="0"/>
        <v>335.70287539936101</v>
      </c>
      <c r="C46" s="34" t="s">
        <v>111</v>
      </c>
      <c r="D46" s="174"/>
    </row>
    <row r="47" spans="1:7">
      <c r="A47" s="171" t="s">
        <v>74</v>
      </c>
      <c r="B47" s="33">
        <f t="shared" si="0"/>
        <v>489.38019169329078</v>
      </c>
      <c r="C47" s="34" t="s">
        <v>111</v>
      </c>
      <c r="D47" s="174"/>
    </row>
    <row r="48" spans="1:7">
      <c r="A48" s="171" t="s">
        <v>75</v>
      </c>
      <c r="B48" s="33">
        <f t="shared" si="0"/>
        <v>108.91693290734824</v>
      </c>
      <c r="C48" s="33">
        <f>B48*10</f>
        <v>1089.1693290734825</v>
      </c>
      <c r="D48" s="234"/>
    </row>
    <row r="49" spans="1:6">
      <c r="A49" s="171" t="s">
        <v>76</v>
      </c>
      <c r="B49" s="33" t="str">
        <f t="shared" si="0"/>
        <v>-</v>
      </c>
      <c r="C49" s="34" t="s">
        <v>111</v>
      </c>
      <c r="D49" s="234"/>
    </row>
    <row r="50" spans="1:6">
      <c r="A50" s="171" t="s">
        <v>77</v>
      </c>
      <c r="B50" s="33">
        <f t="shared" si="0"/>
        <v>103</v>
      </c>
      <c r="C50" s="33">
        <f>B50*2</f>
        <v>206</v>
      </c>
      <c r="D50" s="234"/>
    </row>
    <row r="51" spans="1:6">
      <c r="A51" s="171" t="s">
        <v>78</v>
      </c>
      <c r="B51" s="33">
        <f t="shared" si="0"/>
        <v>449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5323.7296399999996</v>
      </c>
      <c r="C5" s="17">
        <f>IF(ISERROR('Eigen informatie GS &amp; warmtenet'!B58),0,'Eigen informatie GS &amp; warmtenet'!B58)</f>
        <v>0</v>
      </c>
      <c r="D5" s="30">
        <f>SUM(D6:D12)</f>
        <v>7149.4809200064392</v>
      </c>
      <c r="E5" s="17">
        <f>SUM(E6:E12)</f>
        <v>70.573000891273637</v>
      </c>
      <c r="F5" s="17">
        <f>SUM(F6:F12)</f>
        <v>856.80929682016324</v>
      </c>
      <c r="G5" s="18"/>
      <c r="H5" s="17"/>
      <c r="I5" s="17"/>
      <c r="J5" s="17">
        <f>SUM(J6:J12)</f>
        <v>0</v>
      </c>
      <c r="K5" s="17"/>
      <c r="L5" s="17"/>
      <c r="M5" s="17"/>
      <c r="N5" s="17">
        <f>SUM(N6:N12)</f>
        <v>627.22717961208889</v>
      </c>
      <c r="O5" s="17">
        <f>B38*B39*B40</f>
        <v>3.1266666666666669</v>
      </c>
      <c r="P5" s="17">
        <f>B46*B47*B48/1000-B46*B47*B48/1000/B49</f>
        <v>38.133333333333333</v>
      </c>
      <c r="R5" s="32"/>
    </row>
    <row r="6" spans="1:18">
      <c r="A6" s="32" t="s">
        <v>54</v>
      </c>
      <c r="B6" s="37">
        <f>B26</f>
        <v>628.06009999999992</v>
      </c>
      <c r="C6" s="33"/>
      <c r="D6" s="37">
        <f>IF(ISERROR(TER_kantoor_gas_kWh/1000),0,TER_kantoor_gas_kWh/1000)*0.902</f>
        <v>1682.3406689635356</v>
      </c>
      <c r="E6" s="33">
        <f>$C$26*'E Balans VL '!I12/100/3.6*1000000</f>
        <v>1.8195822591827842</v>
      </c>
      <c r="F6" s="33">
        <f>$C$26*('E Balans VL '!L12+'E Balans VL '!N12)/100/3.6*1000000</f>
        <v>71.08256608316357</v>
      </c>
      <c r="G6" s="34"/>
      <c r="H6" s="33"/>
      <c r="I6" s="33"/>
      <c r="J6" s="33">
        <f>$C$26*('E Balans VL '!D12+'E Balans VL '!E12)/100/3.6*1000000</f>
        <v>0</v>
      </c>
      <c r="K6" s="33"/>
      <c r="L6" s="33"/>
      <c r="M6" s="33"/>
      <c r="N6" s="33">
        <f>$C$26*'E Balans VL '!Y12/100/3.6*1000000</f>
        <v>6.2864188256559688</v>
      </c>
      <c r="O6" s="33"/>
      <c r="P6" s="33"/>
      <c r="R6" s="32"/>
    </row>
    <row r="7" spans="1:18">
      <c r="A7" s="32" t="s">
        <v>53</v>
      </c>
      <c r="B7" s="37">
        <f t="shared" ref="B7:B12" si="0">B27</f>
        <v>872.27670000000001</v>
      </c>
      <c r="C7" s="33"/>
      <c r="D7" s="37">
        <f>IF(ISERROR(TER_horeca_gas_kWh/1000),0,TER_horeca_gas_kWh/1000)*0.902</f>
        <v>552.80325090661836</v>
      </c>
      <c r="E7" s="33">
        <f>$C$27*'E Balans VL '!I9/100/3.6*1000000</f>
        <v>36.615738773066504</v>
      </c>
      <c r="F7" s="33">
        <f>$C$27*('E Balans VL '!L9+'E Balans VL '!N9)/100/3.6*1000000</f>
        <v>187.42653671345155</v>
      </c>
      <c r="G7" s="34"/>
      <c r="H7" s="33"/>
      <c r="I7" s="33"/>
      <c r="J7" s="33">
        <f>$C$27*('E Balans VL '!D9+'E Balans VL '!E9)/100/3.6*1000000</f>
        <v>0</v>
      </c>
      <c r="K7" s="33"/>
      <c r="L7" s="33"/>
      <c r="M7" s="33"/>
      <c r="N7" s="33">
        <f>$C$27*'E Balans VL '!Y9/100/3.6*1000000</f>
        <v>0.22477807725352297</v>
      </c>
      <c r="O7" s="33"/>
      <c r="P7" s="33"/>
      <c r="R7" s="32"/>
    </row>
    <row r="8" spans="1:18">
      <c r="A8" s="6" t="s">
        <v>52</v>
      </c>
      <c r="B8" s="37">
        <f t="shared" si="0"/>
        <v>358.03629999999998</v>
      </c>
      <c r="C8" s="33"/>
      <c r="D8" s="37">
        <f>IF(ISERROR(TER_handel_gas_kWh/1000),0,TER_handel_gas_kWh/1000)*0.902</f>
        <v>0</v>
      </c>
      <c r="E8" s="33">
        <f>$C$28*'E Balans VL '!I13/100/3.6*1000000</f>
        <v>3.8456078471417876</v>
      </c>
      <c r="F8" s="33">
        <f>$C$28*('E Balans VL '!L13+'E Balans VL '!N13)/100/3.6*1000000</f>
        <v>46.350755637815645</v>
      </c>
      <c r="G8" s="34"/>
      <c r="H8" s="33"/>
      <c r="I8" s="33"/>
      <c r="J8" s="33">
        <f>$C$28*('E Balans VL '!D13+'E Balans VL '!E13)/100/3.6*1000000</f>
        <v>0</v>
      </c>
      <c r="K8" s="33"/>
      <c r="L8" s="33"/>
      <c r="M8" s="33"/>
      <c r="N8" s="33">
        <f>$C$28*'E Balans VL '!Y13/100/3.6*1000000</f>
        <v>2.9044100152319889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522.25900000000001</v>
      </c>
      <c r="C10" s="33"/>
      <c r="D10" s="37">
        <f>IF(ISERROR(TER_ander_gas_kWh/1000),0,TER_ander_gas_kWh/1000)*0.902</f>
        <v>89.066221533123638</v>
      </c>
      <c r="E10" s="33">
        <f>$C$30*'E Balans VL '!I14/100/3.6*1000000</f>
        <v>1.7898090289709541</v>
      </c>
      <c r="F10" s="33">
        <f>$C$30*('E Balans VL '!L14+'E Balans VL '!N14)/100/3.6*1000000</f>
        <v>116.65143849412983</v>
      </c>
      <c r="G10" s="34"/>
      <c r="H10" s="33"/>
      <c r="I10" s="33"/>
      <c r="J10" s="33">
        <f>$C$30*('E Balans VL '!D14+'E Balans VL '!E14)/100/3.6*1000000</f>
        <v>0</v>
      </c>
      <c r="K10" s="33"/>
      <c r="L10" s="33"/>
      <c r="M10" s="33"/>
      <c r="N10" s="33">
        <f>$C$30*'E Balans VL '!Y14/100/3.6*1000000</f>
        <v>367.88209264514768</v>
      </c>
      <c r="O10" s="33"/>
      <c r="P10" s="33"/>
      <c r="R10" s="32"/>
    </row>
    <row r="11" spans="1:18">
      <c r="A11" s="32" t="s">
        <v>55</v>
      </c>
      <c r="B11" s="37">
        <f t="shared" si="0"/>
        <v>12.781540000000001</v>
      </c>
      <c r="C11" s="33"/>
      <c r="D11" s="37">
        <f>IF(ISERROR(TER_onderwijs_gas_kWh/1000),0,TER_onderwijs_gas_kWh/1000)*0.902</f>
        <v>128.35523491729759</v>
      </c>
      <c r="E11" s="33">
        <f>$C$31*'E Balans VL '!I11/100/3.6*1000000</f>
        <v>8.8354849615479934E-3</v>
      </c>
      <c r="F11" s="33">
        <f>$C$31*('E Balans VL '!L11+'E Balans VL '!N11)/100/3.6*1000000</f>
        <v>3.3458358934548542</v>
      </c>
      <c r="G11" s="34"/>
      <c r="H11" s="33"/>
      <c r="I11" s="33"/>
      <c r="J11" s="33">
        <f>$C$31*('E Balans VL '!D11+'E Balans VL '!E11)/100/3.6*1000000</f>
        <v>0</v>
      </c>
      <c r="K11" s="33"/>
      <c r="L11" s="33"/>
      <c r="M11" s="33"/>
      <c r="N11" s="33">
        <f>$C$31*'E Balans VL '!Y11/100/3.6*1000000</f>
        <v>1.2722934423346233E-2</v>
      </c>
      <c r="O11" s="33"/>
      <c r="P11" s="33"/>
      <c r="R11" s="32"/>
    </row>
    <row r="12" spans="1:18">
      <c r="A12" s="32" t="s">
        <v>260</v>
      </c>
      <c r="B12" s="37">
        <f t="shared" si="0"/>
        <v>2930.3159999999998</v>
      </c>
      <c r="C12" s="33"/>
      <c r="D12" s="37">
        <f>IF(ISERROR(TER_rest_gas_kWh/1000),0,TER_rest_gas_kWh/1000)*0.902</f>
        <v>4696.9155436858646</v>
      </c>
      <c r="E12" s="33">
        <f>$C$32*'E Balans VL '!I8/100/3.6*1000000</f>
        <v>26.493427497950044</v>
      </c>
      <c r="F12" s="33">
        <f>$C$32*('E Balans VL '!L8+'E Balans VL '!N8)/100/3.6*1000000</f>
        <v>431.95216399814774</v>
      </c>
      <c r="G12" s="34"/>
      <c r="H12" s="33"/>
      <c r="I12" s="33"/>
      <c r="J12" s="33">
        <f>$C$32*('E Balans VL '!D8+'E Balans VL '!E8)/100/3.6*1000000</f>
        <v>0</v>
      </c>
      <c r="K12" s="33"/>
      <c r="L12" s="33"/>
      <c r="M12" s="33"/>
      <c r="N12" s="33">
        <f>$C$32*'E Balans VL '!Y8/100/3.6*1000000</f>
        <v>249.91675711437645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5323.7296399999996</v>
      </c>
      <c r="C16" s="21">
        <f t="shared" ca="1" si="1"/>
        <v>0</v>
      </c>
      <c r="D16" s="21">
        <f t="shared" ca="1" si="1"/>
        <v>7149.4809200064392</v>
      </c>
      <c r="E16" s="21">
        <f t="shared" si="1"/>
        <v>70.573000891273637</v>
      </c>
      <c r="F16" s="21">
        <f t="shared" ca="1" si="1"/>
        <v>856.80929682016324</v>
      </c>
      <c r="G16" s="21">
        <f t="shared" si="1"/>
        <v>0</v>
      </c>
      <c r="H16" s="21">
        <f t="shared" si="1"/>
        <v>0</v>
      </c>
      <c r="I16" s="21">
        <f t="shared" si="1"/>
        <v>0</v>
      </c>
      <c r="J16" s="21">
        <f t="shared" si="1"/>
        <v>0</v>
      </c>
      <c r="K16" s="21">
        <f t="shared" si="1"/>
        <v>0</v>
      </c>
      <c r="L16" s="21">
        <f t="shared" ca="1" si="1"/>
        <v>0</v>
      </c>
      <c r="M16" s="21">
        <f t="shared" si="1"/>
        <v>0</v>
      </c>
      <c r="N16" s="21">
        <f t="shared" ca="1" si="1"/>
        <v>627.22717961208889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0.20192830633843997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1075.0117096089527</v>
      </c>
      <c r="C20" s="23">
        <f t="shared" ref="C20:P20" ca="1" si="2">C16*C18</f>
        <v>0</v>
      </c>
      <c r="D20" s="23">
        <f t="shared" ca="1" si="2"/>
        <v>1444.1951458413007</v>
      </c>
      <c r="E20" s="23">
        <f t="shared" si="2"/>
        <v>16.020071202319116</v>
      </c>
      <c r="F20" s="23">
        <f t="shared" ca="1" si="2"/>
        <v>228.76808225098361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628.06009999999992</v>
      </c>
      <c r="C26" s="39">
        <f>IF(ISERROR(B26*3.6/1000000/'E Balans VL '!Z12*100),0,B26*3.6/1000000/'E Balans VL '!Z12*100)</f>
        <v>1.379606620668627E-2</v>
      </c>
      <c r="D26" s="237" t="s">
        <v>692</v>
      </c>
      <c r="F26" s="6"/>
    </row>
    <row r="27" spans="1:18">
      <c r="A27" s="231" t="s">
        <v>53</v>
      </c>
      <c r="B27" s="33">
        <f>IF(ISERROR(TER_horeca_ele_kWh/1000),0,TER_horeca_ele_kWh/1000)</f>
        <v>872.27670000000001</v>
      </c>
      <c r="C27" s="39">
        <f>IF(ISERROR(B27*3.6/1000000/'E Balans VL '!Z9*100),0,B27*3.6/1000000/'E Balans VL '!Z9*100)</f>
        <v>7.0096127801842434E-2</v>
      </c>
      <c r="D27" s="237" t="s">
        <v>692</v>
      </c>
      <c r="F27" s="6"/>
    </row>
    <row r="28" spans="1:18">
      <c r="A28" s="171" t="s">
        <v>52</v>
      </c>
      <c r="B28" s="33">
        <f>IF(ISERROR(TER_handel_ele_kWh/1000),0,TER_handel_ele_kWh/1000)</f>
        <v>358.03629999999998</v>
      </c>
      <c r="C28" s="39">
        <f>IF(ISERROR(B28*3.6/1000000/'E Balans VL '!Z13*100),0,B28*3.6/1000000/'E Balans VL '!Z13*100)</f>
        <v>1.0586883261588959E-2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522.25900000000001</v>
      </c>
      <c r="C30" s="39">
        <f>IF(ISERROR(B30*3.6/1000000/'E Balans VL '!Z14*100),0,B30*3.6/1000000/'E Balans VL '!Z14*100)</f>
        <v>3.9497555408565595E-2</v>
      </c>
      <c r="D30" s="237" t="s">
        <v>692</v>
      </c>
      <c r="F30" s="6"/>
    </row>
    <row r="31" spans="1:18">
      <c r="A31" s="231" t="s">
        <v>55</v>
      </c>
      <c r="B31" s="33">
        <f>IF(ISERROR(TER_onderwijs_ele_kWh/1000),0,TER_onderwijs_ele_kWh/1000)</f>
        <v>12.781540000000001</v>
      </c>
      <c r="C31" s="39">
        <f>IF(ISERROR(B31*3.6/1000000/'E Balans VL '!Z11*100),0,B31*3.6/1000000/'E Balans VL '!Z11*100)</f>
        <v>2.6531509932868169E-3</v>
      </c>
      <c r="D31" s="237" t="s">
        <v>692</v>
      </c>
    </row>
    <row r="32" spans="1:18">
      <c r="A32" s="231" t="s">
        <v>260</v>
      </c>
      <c r="B32" s="33">
        <f>IF(ISERROR(TER_rest_ele_kWh/1000),0,TER_rest_ele_kWh/1000)</f>
        <v>2930.3159999999998</v>
      </c>
      <c r="C32" s="39">
        <f>IF(ISERROR(B32*3.6/1000000/'E Balans VL '!Z8*100),0,B32*3.6/1000000/'E Balans VL '!Z8*100)</f>
        <v>2.4686188453474648E-2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1923.46</v>
      </c>
      <c r="C5" s="17">
        <f>IF(ISERROR('Eigen informatie GS &amp; warmtenet'!B59),0,'Eigen informatie GS &amp; warmtenet'!B59)</f>
        <v>0</v>
      </c>
      <c r="D5" s="30">
        <f>SUM(D6:D15)</f>
        <v>607.58182634253808</v>
      </c>
      <c r="E5" s="17">
        <f>SUM(E6:E15)</f>
        <v>254.76228413558283</v>
      </c>
      <c r="F5" s="17">
        <f>SUM(F6:F15)</f>
        <v>804.40052282309182</v>
      </c>
      <c r="G5" s="18"/>
      <c r="H5" s="17"/>
      <c r="I5" s="17"/>
      <c r="J5" s="17">
        <f>SUM(J6:J15)</f>
        <v>2.9924632797143675</v>
      </c>
      <c r="K5" s="17"/>
      <c r="L5" s="17"/>
      <c r="M5" s="17"/>
      <c r="N5" s="17">
        <f>SUM(N6:N15)</f>
        <v>393.88456450452577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790.52890000000002</v>
      </c>
      <c r="C9" s="33"/>
      <c r="D9" s="37">
        <f>IF( ISERROR(IND_andere_gas_kWh/1000),0,IND_andere_gas_kWh/1000)*0.902</f>
        <v>106.17733322451126</v>
      </c>
      <c r="E9" s="33">
        <f>C31*'E Balans VL '!I19/100/3.6*1000000</f>
        <v>217.36302391321769</v>
      </c>
      <c r="F9" s="33">
        <f>C31*'E Balans VL '!L19/100/3.6*1000000+C31*'E Balans VL '!N19/100/3.6*1000000</f>
        <v>623.07433510526437</v>
      </c>
      <c r="G9" s="34"/>
      <c r="H9" s="33"/>
      <c r="I9" s="33"/>
      <c r="J9" s="40">
        <f>C31*'E Balans VL '!D19/100/3.6*1000000+C31*'E Balans VL '!E19/100/3.6*1000000</f>
        <v>0</v>
      </c>
      <c r="K9" s="33"/>
      <c r="L9" s="33"/>
      <c r="M9" s="33"/>
      <c r="N9" s="33">
        <f>C31*'E Balans VL '!Y19/100/3.6*1000000</f>
        <v>255.91507140118262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419.64679999999998</v>
      </c>
      <c r="C11" s="33"/>
      <c r="D11" s="37">
        <f>IF( ISERROR(IND_textiel_gas_kWh/1000),0,IND_textiel_gas_kWh/1000)*0.902</f>
        <v>0</v>
      </c>
      <c r="E11" s="33">
        <f>C33*'E Balans VL '!I21/100/3.6*1000000</f>
        <v>1.1122693185594024</v>
      </c>
      <c r="F11" s="33">
        <f>C33*'E Balans VL '!L21/100/3.6*1000000+C33*'E Balans VL '!N21/100/3.6*1000000</f>
        <v>18.741858985908632</v>
      </c>
      <c r="G11" s="34"/>
      <c r="H11" s="33"/>
      <c r="I11" s="33"/>
      <c r="J11" s="40">
        <f>C33*'E Balans VL '!D21/100/3.6*1000000+C33*'E Balans VL '!E21/100/3.6*1000000</f>
        <v>0</v>
      </c>
      <c r="K11" s="33"/>
      <c r="L11" s="33"/>
      <c r="M11" s="33"/>
      <c r="N11" s="33">
        <f>C33*'E Balans VL '!Y21/100/3.6*1000000</f>
        <v>3.9548711087957544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713.28430000000003</v>
      </c>
      <c r="C15" s="33"/>
      <c r="D15" s="37">
        <f>IF( ISERROR(IND_rest_gas_kWh/1000),0,IND_rest_gas_kWh/1000)*0.902</f>
        <v>501.40449311802678</v>
      </c>
      <c r="E15" s="33">
        <f>C37*'E Balans VL '!I15/100/3.6*1000000</f>
        <v>36.286990903805716</v>
      </c>
      <c r="F15" s="33">
        <f>C37*'E Balans VL '!L15/100/3.6*1000000+C37*'E Balans VL '!N15/100/3.6*1000000</f>
        <v>162.58432873191884</v>
      </c>
      <c r="G15" s="34"/>
      <c r="H15" s="33"/>
      <c r="I15" s="33"/>
      <c r="J15" s="40">
        <f>C37*'E Balans VL '!D15/100/3.6*1000000+C37*'E Balans VL '!E15/100/3.6*1000000</f>
        <v>2.9924632797143675</v>
      </c>
      <c r="K15" s="33"/>
      <c r="L15" s="33"/>
      <c r="M15" s="33"/>
      <c r="N15" s="33">
        <f>C37*'E Balans VL '!Y15/100/3.6*1000000</f>
        <v>134.01462199454735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1923.46</v>
      </c>
      <c r="C18" s="21">
        <f>C5+C16</f>
        <v>0</v>
      </c>
      <c r="D18" s="21">
        <f>MAX((D5+D16),0)</f>
        <v>607.58182634253808</v>
      </c>
      <c r="E18" s="21">
        <f>MAX((E5+E16),0)</f>
        <v>254.76228413558283</v>
      </c>
      <c r="F18" s="21">
        <f>MAX((F5+F16),0)</f>
        <v>804.40052282309182</v>
      </c>
      <c r="G18" s="21"/>
      <c r="H18" s="21"/>
      <c r="I18" s="21"/>
      <c r="J18" s="21">
        <f>MAX((J5+J16),0)</f>
        <v>2.9924632797143675</v>
      </c>
      <c r="K18" s="21"/>
      <c r="L18" s="21">
        <f>MAX((L5+L16),0)</f>
        <v>0</v>
      </c>
      <c r="M18" s="21"/>
      <c r="N18" s="21">
        <f>MAX((N5+N16),0)</f>
        <v>393.88456450452577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0.20192830633843997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388.40102010973578</v>
      </c>
      <c r="C22" s="23">
        <f ca="1">C18*C20</f>
        <v>0</v>
      </c>
      <c r="D22" s="23">
        <f>D18*D20</f>
        <v>122.73152892119271</v>
      </c>
      <c r="E22" s="23">
        <f>E18*E20</f>
        <v>57.831038498777303</v>
      </c>
      <c r="F22" s="23">
        <f>F18*F20</f>
        <v>214.77493959376554</v>
      </c>
      <c r="G22" s="23"/>
      <c r="H22" s="23"/>
      <c r="I22" s="23"/>
      <c r="J22" s="23">
        <f>J18*J20</f>
        <v>1.059332001018886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790.52890000000002</v>
      </c>
      <c r="C31" s="39">
        <f>IF(ISERROR(B31*3.6/1000000/'E Balans VL '!Z19*100),0,B31*3.6/1000000/'E Balans VL '!Z19*100)</f>
        <v>3.4601321710992526E-2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419.64679999999998</v>
      </c>
      <c r="C33" s="39">
        <f>IF(ISERROR(B33*3.6/1000000/'E Balans VL '!Z21*100),0,B33*3.6/1000000/'E Balans VL '!Z21*100)</f>
        <v>4.7286802213513994E-2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713.28430000000003</v>
      </c>
      <c r="C37" s="39">
        <f>IF(ISERROR(B37*3.6/1000000/'E Balans VL '!Z15*100),0,B37*3.6/1000000/'E Balans VL '!Z15*100)</f>
        <v>5.2888809650601795E-3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4891.3530000000001</v>
      </c>
      <c r="C5" s="17">
        <f>'Eigen informatie GS &amp; warmtenet'!B60</f>
        <v>0</v>
      </c>
      <c r="D5" s="30">
        <f>IF(ISERROR(SUM(LB_lb_gas_kWh,LB_rest_gas_kWh)/1000),0,SUM(LB_lb_gas_kWh,LB_rest_gas_kWh)/1000)*0.902</f>
        <v>330.88630173563143</v>
      </c>
      <c r="E5" s="17">
        <f>B17*'E Balans VL '!I25/3.6*1000000/100</f>
        <v>45.305760172955658</v>
      </c>
      <c r="F5" s="17">
        <f>B17*('E Balans VL '!L25/3.6*1000000+'E Balans VL '!N25/3.6*1000000)/100</f>
        <v>12410.29436279027</v>
      </c>
      <c r="G5" s="18"/>
      <c r="H5" s="17"/>
      <c r="I5" s="17"/>
      <c r="J5" s="17">
        <f>('E Balans VL '!D25+'E Balans VL '!E25)/3.6*1000000*landbouw!B17/100</f>
        <v>749.89900255879945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4891.3530000000001</v>
      </c>
      <c r="C8" s="21">
        <f>C5+C6</f>
        <v>0</v>
      </c>
      <c r="D8" s="21">
        <f>MAX((D5+D6),0)</f>
        <v>330.88630173563143</v>
      </c>
      <c r="E8" s="21">
        <f>MAX((E5+E6),0)</f>
        <v>45.305760172955658</v>
      </c>
      <c r="F8" s="21">
        <f>MAX((F5+F6),0)</f>
        <v>12410.29436279027</v>
      </c>
      <c r="G8" s="21"/>
      <c r="H8" s="21"/>
      <c r="I8" s="21"/>
      <c r="J8" s="21">
        <f>MAX((J5+J6),0)</f>
        <v>749.89900255879945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0.20192830633843997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987.70262699344744</v>
      </c>
      <c r="C12" s="23">
        <f ca="1">C8*C10</f>
        <v>0</v>
      </c>
      <c r="D12" s="23">
        <f>D8*D10</f>
        <v>66.839032950597556</v>
      </c>
      <c r="E12" s="23">
        <f>E8*E10</f>
        <v>10.284407559260934</v>
      </c>
      <c r="F12" s="23">
        <f>F8*F10</f>
        <v>3313.5485948650021</v>
      </c>
      <c r="G12" s="23"/>
      <c r="H12" s="23"/>
      <c r="I12" s="23"/>
      <c r="J12" s="23">
        <f>J8*J10</f>
        <v>265.464246905815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0.69544668198942616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847.0189554506054</v>
      </c>
      <c r="C26" s="247">
        <f>B26*'GWP N2O_CH4'!B5</f>
        <v>17787.398064462712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351.37931443319349</v>
      </c>
      <c r="C27" s="247">
        <f>B27*'GWP N2O_CH4'!B5</f>
        <v>7378.9656030970636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12.147614101122373</v>
      </c>
      <c r="C28" s="247">
        <f>B28*'GWP N2O_CH4'!B4</f>
        <v>3765.7603713479357</v>
      </c>
      <c r="D28" s="50"/>
    </row>
    <row r="29" spans="1:4">
      <c r="A29" s="41" t="s">
        <v>277</v>
      </c>
      <c r="B29" s="247">
        <f>B34*'ha_N2O bodem landbouw'!B4</f>
        <v>39.950415435701892</v>
      </c>
      <c r="C29" s="247">
        <f>B29*'GWP N2O_CH4'!B4</f>
        <v>12384.628785067587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8.9601743633599389E-3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1.9576918472838404E-5</v>
      </c>
      <c r="C5" s="464" t="s">
        <v>211</v>
      </c>
      <c r="D5" s="449">
        <f>SUM(D6:D11)</f>
        <v>6.2100822094606059E-5</v>
      </c>
      <c r="E5" s="449">
        <f>SUM(E6:E11)</f>
        <v>3.8493625724217852E-4</v>
      </c>
      <c r="F5" s="462" t="s">
        <v>211</v>
      </c>
      <c r="G5" s="449">
        <f>SUM(G6:G11)</f>
        <v>0.12575328427854099</v>
      </c>
      <c r="H5" s="449">
        <f>SUM(H6:H11)</f>
        <v>2.3207309109964731E-2</v>
      </c>
      <c r="I5" s="464" t="s">
        <v>211</v>
      </c>
      <c r="J5" s="464" t="s">
        <v>211</v>
      </c>
      <c r="K5" s="464" t="s">
        <v>211</v>
      </c>
      <c r="L5" s="464" t="s">
        <v>211</v>
      </c>
      <c r="M5" s="449">
        <f>SUM(M6:M11)</f>
        <v>7.9886613390830197E-3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1.0118957333614558E-5</v>
      </c>
      <c r="C6" s="450"/>
      <c r="D6" s="893">
        <f>vkm_2011_GW_PW*SUMIFS(TableVerdeelsleutelVkm[CNG],TableVerdeelsleutelVkm[Voertuigtype],"Lichte voertuigen")*SUMIFS(TableECFTransport[EnergieConsumptieFactor (PJ per km)],TableECFTransport[Index],CONCATENATE($A6,"_CNG_CNG"))</f>
        <v>2.3406262363703685E-5</v>
      </c>
      <c r="E6" s="893">
        <f>vkm_2011_GW_PW*SUMIFS(TableVerdeelsleutelVkm[LPG],TableVerdeelsleutelVkm[Voertuigtype],"Lichte voertuigen")*SUMIFS(TableECFTransport[EnergieConsumptieFactor (PJ per km)],TableECFTransport[Index],CONCATENATE($A6,"_LPG_LPG"))</f>
        <v>1.5240744586651812E-4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3.1661519327348064E-2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8.9247279935336533E-3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2.1062158396154946E-3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3.0955020401799579E-2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1.0586054808057823E-5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1.7909233912623988E-3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9.4579611392238459E-6</v>
      </c>
      <c r="C8" s="450"/>
      <c r="D8" s="452">
        <f>vkm_2011_NGW_PW*SUMIFS(TableVerdeelsleutelVkm[CNG],TableVerdeelsleutelVkm[Voertuigtype],"Lichte voertuigen")*SUMIFS(TableECFTransport[EnergieConsumptieFactor (PJ per km)],TableECFTransport[Index],CONCATENATE($A8,"_CNG_CNG"))</f>
        <v>3.8694559730902374E-5</v>
      </c>
      <c r="E8" s="452">
        <f>vkm_2011_NGW_PW*SUMIFS(TableVerdeelsleutelVkm[LPG],TableVerdeelsleutelVkm[Voertuigtype],"Lichte voertuigen")*SUMIFS(TableECFTransport[EnergieConsumptieFactor (PJ per km)],TableECFTransport[Index],CONCATENATE($A8,"_LPG_LPG"))</f>
        <v>2.3252881137566042E-4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4.515675356932565E-2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1.4266176945985117E-2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3.0512878959612255E-3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1.7979990980067698E-2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5.8181156379036301E-6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1.0402342122439001E-3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5.4380329091217785</v>
      </c>
      <c r="C14" s="21"/>
      <c r="D14" s="21">
        <f t="shared" ref="D14:M14" si="0">((D5)*10^9/3600)+D12</f>
        <v>17.250228359612795</v>
      </c>
      <c r="E14" s="21">
        <f t="shared" si="0"/>
        <v>106.92673812282737</v>
      </c>
      <c r="F14" s="21"/>
      <c r="G14" s="21">
        <f t="shared" si="0"/>
        <v>34931.467855150273</v>
      </c>
      <c r="H14" s="21">
        <f t="shared" si="0"/>
        <v>6446.474752767981</v>
      </c>
      <c r="I14" s="21"/>
      <c r="J14" s="21"/>
      <c r="K14" s="21"/>
      <c r="L14" s="21"/>
      <c r="M14" s="21">
        <f t="shared" si="0"/>
        <v>2219.0725941897276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0.20192830633843997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1.0980927751516605</v>
      </c>
      <c r="C18" s="23"/>
      <c r="D18" s="23">
        <f t="shared" ref="D18:M18" si="1">D14*D16</f>
        <v>3.4845461286417847</v>
      </c>
      <c r="E18" s="23">
        <f t="shared" si="1"/>
        <v>24.272369553881816</v>
      </c>
      <c r="F18" s="23"/>
      <c r="G18" s="23">
        <f t="shared" si="1"/>
        <v>9326.7019173251228</v>
      </c>
      <c r="H18" s="23">
        <f t="shared" si="1"/>
        <v>1605.1722134392273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7.4629286598148104E-4</v>
      </c>
      <c r="H50" s="321">
        <f t="shared" si="2"/>
        <v>0</v>
      </c>
      <c r="I50" s="321">
        <f t="shared" si="2"/>
        <v>0</v>
      </c>
      <c r="J50" s="321">
        <f t="shared" si="2"/>
        <v>0</v>
      </c>
      <c r="K50" s="321">
        <f t="shared" si="2"/>
        <v>0</v>
      </c>
      <c r="L50" s="321">
        <f t="shared" si="2"/>
        <v>0</v>
      </c>
      <c r="M50" s="321">
        <f t="shared" si="2"/>
        <v>4.2558906585696266E-5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7.4629286598148104E-4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4.2558906585696266E-5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207.30357388374475</v>
      </c>
      <c r="H54" s="21">
        <f t="shared" si="3"/>
        <v>0</v>
      </c>
      <c r="I54" s="21">
        <f t="shared" si="3"/>
        <v>0</v>
      </c>
      <c r="J54" s="21">
        <f t="shared" si="3"/>
        <v>0</v>
      </c>
      <c r="K54" s="21">
        <f t="shared" si="3"/>
        <v>0</v>
      </c>
      <c r="L54" s="21">
        <f t="shared" si="3"/>
        <v>0</v>
      </c>
      <c r="M54" s="21">
        <f t="shared" si="3"/>
        <v>11.82191849602674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0.20192830633843997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55.350054226959848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5987.00864</v>
      </c>
      <c r="D10" s="1025">
        <f ca="1">tertiair!C16</f>
        <v>0</v>
      </c>
      <c r="E10" s="1025">
        <f ca="1">tertiair!D16</f>
        <v>7149.4809200064392</v>
      </c>
      <c r="F10" s="1025">
        <f>tertiair!E16</f>
        <v>70.573000891273637</v>
      </c>
      <c r="G10" s="1025">
        <f ca="1">tertiair!F16</f>
        <v>856.80929682016324</v>
      </c>
      <c r="H10" s="1025">
        <f>tertiair!G16</f>
        <v>0</v>
      </c>
      <c r="I10" s="1025">
        <f>tertiair!H16</f>
        <v>0</v>
      </c>
      <c r="J10" s="1025">
        <f>tertiair!I16</f>
        <v>0</v>
      </c>
      <c r="K10" s="1025">
        <f>tertiair!J16</f>
        <v>0</v>
      </c>
      <c r="L10" s="1025">
        <f>tertiair!K16</f>
        <v>0</v>
      </c>
      <c r="M10" s="1025">
        <f ca="1">tertiair!L16</f>
        <v>0</v>
      </c>
      <c r="N10" s="1025">
        <f>tertiair!M16</f>
        <v>0</v>
      </c>
      <c r="O10" s="1025">
        <f ca="1">tertiair!N16</f>
        <v>627.22717961208889</v>
      </c>
      <c r="P10" s="1025">
        <f>tertiair!O16</f>
        <v>3.1266666666666669</v>
      </c>
      <c r="Q10" s="1026">
        <f>tertiair!P16</f>
        <v>38.133333333333333</v>
      </c>
      <c r="R10" s="701">
        <f ca="1">SUM(C10:Q10)</f>
        <v>14732.359037329967</v>
      </c>
      <c r="S10" s="67"/>
    </row>
    <row r="11" spans="1:19" s="474" customFormat="1">
      <c r="A11" s="810" t="s">
        <v>225</v>
      </c>
      <c r="B11" s="815"/>
      <c r="C11" s="1025">
        <f>huishoudens!B8</f>
        <v>14010.99516349839</v>
      </c>
      <c r="D11" s="1025">
        <f>huishoudens!C8</f>
        <v>0</v>
      </c>
      <c r="E11" s="1025">
        <f>huishoudens!D8</f>
        <v>18077.26589042617</v>
      </c>
      <c r="F11" s="1025">
        <f>huishoudens!E8</f>
        <v>5008.8532275015577</v>
      </c>
      <c r="G11" s="1025">
        <f>huishoudens!F8</f>
        <v>11052.802191641586</v>
      </c>
      <c r="H11" s="1025">
        <f>huishoudens!G8</f>
        <v>0</v>
      </c>
      <c r="I11" s="1025">
        <f>huishoudens!H8</f>
        <v>0</v>
      </c>
      <c r="J11" s="1025">
        <f>huishoudens!I8</f>
        <v>0</v>
      </c>
      <c r="K11" s="1025">
        <f>huishoudens!J8</f>
        <v>3622.9450464893685</v>
      </c>
      <c r="L11" s="1025">
        <f>huishoudens!K8</f>
        <v>0</v>
      </c>
      <c r="M11" s="1025">
        <f>huishoudens!L8</f>
        <v>0</v>
      </c>
      <c r="N11" s="1025">
        <f>huishoudens!M8</f>
        <v>0</v>
      </c>
      <c r="O11" s="1025">
        <f>huishoudens!N8</f>
        <v>6162.7824124375038</v>
      </c>
      <c r="P11" s="1025">
        <f>huishoudens!O8</f>
        <v>95.36333333333333</v>
      </c>
      <c r="Q11" s="1026">
        <f>huishoudens!P8</f>
        <v>514.79999999999995</v>
      </c>
      <c r="R11" s="701">
        <f>SUM(C11:Q11)</f>
        <v>58545.807265327909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1923.46</v>
      </c>
      <c r="D13" s="1025">
        <f>industrie!C18</f>
        <v>0</v>
      </c>
      <c r="E13" s="1025">
        <f>industrie!D18</f>
        <v>607.58182634253808</v>
      </c>
      <c r="F13" s="1025">
        <f>industrie!E18</f>
        <v>254.76228413558283</v>
      </c>
      <c r="G13" s="1025">
        <f>industrie!F18</f>
        <v>804.40052282309182</v>
      </c>
      <c r="H13" s="1025">
        <f>industrie!G18</f>
        <v>0</v>
      </c>
      <c r="I13" s="1025">
        <f>industrie!H18</f>
        <v>0</v>
      </c>
      <c r="J13" s="1025">
        <f>industrie!I18</f>
        <v>0</v>
      </c>
      <c r="K13" s="1025">
        <f>industrie!J18</f>
        <v>2.9924632797143675</v>
      </c>
      <c r="L13" s="1025">
        <f>industrie!K18</f>
        <v>0</v>
      </c>
      <c r="M13" s="1025">
        <f>industrie!L18</f>
        <v>0</v>
      </c>
      <c r="N13" s="1025">
        <f>industrie!M18</f>
        <v>0</v>
      </c>
      <c r="O13" s="1025">
        <f>industrie!N18</f>
        <v>393.88456450452577</v>
      </c>
      <c r="P13" s="1025">
        <f>industrie!O18</f>
        <v>0</v>
      </c>
      <c r="Q13" s="1026">
        <f>industrie!P18</f>
        <v>0</v>
      </c>
      <c r="R13" s="701">
        <f>SUM(C13:Q13)</f>
        <v>3987.0816610854527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21921.463803498387</v>
      </c>
      <c r="D16" s="733">
        <f t="shared" ref="D16:R16" ca="1" si="0">SUM(D9:D15)</f>
        <v>0</v>
      </c>
      <c r="E16" s="733">
        <f t="shared" ca="1" si="0"/>
        <v>25834.32863677515</v>
      </c>
      <c r="F16" s="733">
        <f t="shared" si="0"/>
        <v>5334.1885125284134</v>
      </c>
      <c r="G16" s="733">
        <f t="shared" ca="1" si="0"/>
        <v>12714.012011284842</v>
      </c>
      <c r="H16" s="733">
        <f t="shared" si="0"/>
        <v>0</v>
      </c>
      <c r="I16" s="733">
        <f t="shared" si="0"/>
        <v>0</v>
      </c>
      <c r="J16" s="733">
        <f t="shared" si="0"/>
        <v>0</v>
      </c>
      <c r="K16" s="733">
        <f t="shared" si="0"/>
        <v>3625.9375097690827</v>
      </c>
      <c r="L16" s="733">
        <f t="shared" si="0"/>
        <v>0</v>
      </c>
      <c r="M16" s="733">
        <f t="shared" ca="1" si="0"/>
        <v>0</v>
      </c>
      <c r="N16" s="733">
        <f t="shared" si="0"/>
        <v>0</v>
      </c>
      <c r="O16" s="733">
        <f t="shared" ca="1" si="0"/>
        <v>7183.8941565541181</v>
      </c>
      <c r="P16" s="733">
        <f t="shared" si="0"/>
        <v>98.49</v>
      </c>
      <c r="Q16" s="733">
        <f t="shared" si="0"/>
        <v>552.93333333333328</v>
      </c>
      <c r="R16" s="733">
        <f t="shared" ca="1" si="0"/>
        <v>77265.247963743328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207.30357388374475</v>
      </c>
      <c r="I19" s="1025">
        <f>transport!H54</f>
        <v>0</v>
      </c>
      <c r="J19" s="1025">
        <f>transport!I54</f>
        <v>0</v>
      </c>
      <c r="K19" s="1025">
        <f>transport!J54</f>
        <v>0</v>
      </c>
      <c r="L19" s="1025">
        <f>transport!K54</f>
        <v>0</v>
      </c>
      <c r="M19" s="1025">
        <f>transport!L54</f>
        <v>0</v>
      </c>
      <c r="N19" s="1025">
        <f>transport!M54</f>
        <v>11.82191849602674</v>
      </c>
      <c r="O19" s="1025">
        <f>transport!N54</f>
        <v>0</v>
      </c>
      <c r="P19" s="1025">
        <f>transport!O54</f>
        <v>0</v>
      </c>
      <c r="Q19" s="1026">
        <f>transport!P54</f>
        <v>0</v>
      </c>
      <c r="R19" s="701">
        <f>SUM(C19:Q19)</f>
        <v>219.12549237977149</v>
      </c>
      <c r="S19" s="67"/>
    </row>
    <row r="20" spans="1:19" s="474" customFormat="1">
      <c r="A20" s="810" t="s">
        <v>307</v>
      </c>
      <c r="B20" s="815"/>
      <c r="C20" s="1025">
        <f>transport!B14</f>
        <v>5.4380329091217785</v>
      </c>
      <c r="D20" s="1025">
        <f>transport!C14</f>
        <v>0</v>
      </c>
      <c r="E20" s="1025">
        <f>transport!D14</f>
        <v>17.250228359612795</v>
      </c>
      <c r="F20" s="1025">
        <f>transport!E14</f>
        <v>106.92673812282737</v>
      </c>
      <c r="G20" s="1025">
        <f>transport!F14</f>
        <v>0</v>
      </c>
      <c r="H20" s="1025">
        <f>transport!G14</f>
        <v>34931.467855150273</v>
      </c>
      <c r="I20" s="1025">
        <f>transport!H14</f>
        <v>6446.474752767981</v>
      </c>
      <c r="J20" s="1025">
        <f>transport!I14</f>
        <v>0</v>
      </c>
      <c r="K20" s="1025">
        <f>transport!J14</f>
        <v>0</v>
      </c>
      <c r="L20" s="1025">
        <f>transport!K14</f>
        <v>0</v>
      </c>
      <c r="M20" s="1025">
        <f>transport!L14</f>
        <v>0</v>
      </c>
      <c r="N20" s="1025">
        <f>transport!M14</f>
        <v>2219.0725941897276</v>
      </c>
      <c r="O20" s="1025">
        <f>transport!N14</f>
        <v>0</v>
      </c>
      <c r="P20" s="1025">
        <f>transport!O14</f>
        <v>0</v>
      </c>
      <c r="Q20" s="1026">
        <f>transport!P14</f>
        <v>0</v>
      </c>
      <c r="R20" s="701">
        <f>SUM(C20:Q20)</f>
        <v>43726.630201499538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5.4380329091217785</v>
      </c>
      <c r="D22" s="813">
        <f t="shared" ref="D22:R22" si="1">SUM(D18:D21)</f>
        <v>0</v>
      </c>
      <c r="E22" s="813">
        <f t="shared" si="1"/>
        <v>17.250228359612795</v>
      </c>
      <c r="F22" s="813">
        <f t="shared" si="1"/>
        <v>106.92673812282737</v>
      </c>
      <c r="G22" s="813">
        <f t="shared" si="1"/>
        <v>0</v>
      </c>
      <c r="H22" s="813">
        <f t="shared" si="1"/>
        <v>35138.771429034015</v>
      </c>
      <c r="I22" s="813">
        <f t="shared" si="1"/>
        <v>6446.474752767981</v>
      </c>
      <c r="J22" s="813">
        <f t="shared" si="1"/>
        <v>0</v>
      </c>
      <c r="K22" s="813">
        <f t="shared" si="1"/>
        <v>0</v>
      </c>
      <c r="L22" s="813">
        <f t="shared" si="1"/>
        <v>0</v>
      </c>
      <c r="M22" s="813">
        <f t="shared" si="1"/>
        <v>0</v>
      </c>
      <c r="N22" s="813">
        <f t="shared" si="1"/>
        <v>2230.8945126857543</v>
      </c>
      <c r="O22" s="813">
        <f t="shared" si="1"/>
        <v>0</v>
      </c>
      <c r="P22" s="813">
        <f t="shared" si="1"/>
        <v>0</v>
      </c>
      <c r="Q22" s="813">
        <f t="shared" si="1"/>
        <v>0</v>
      </c>
      <c r="R22" s="813">
        <f t="shared" si="1"/>
        <v>43945.755693879313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4891.3530000000001</v>
      </c>
      <c r="D24" s="1025">
        <f>+landbouw!C8</f>
        <v>0</v>
      </c>
      <c r="E24" s="1025">
        <f>+landbouw!D8</f>
        <v>330.88630173563143</v>
      </c>
      <c r="F24" s="1025">
        <f>+landbouw!E8</f>
        <v>45.305760172955658</v>
      </c>
      <c r="G24" s="1025">
        <f>+landbouw!F8</f>
        <v>12410.29436279027</v>
      </c>
      <c r="H24" s="1025">
        <f>+landbouw!G8</f>
        <v>0</v>
      </c>
      <c r="I24" s="1025">
        <f>+landbouw!H8</f>
        <v>0</v>
      </c>
      <c r="J24" s="1025">
        <f>+landbouw!I8</f>
        <v>0</v>
      </c>
      <c r="K24" s="1025">
        <f>+landbouw!J8</f>
        <v>749.89900255879945</v>
      </c>
      <c r="L24" s="1025">
        <f>+landbouw!K8</f>
        <v>0</v>
      </c>
      <c r="M24" s="1025">
        <f>+landbouw!L8</f>
        <v>0</v>
      </c>
      <c r="N24" s="1025">
        <f>+landbouw!M8</f>
        <v>0</v>
      </c>
      <c r="O24" s="1025">
        <f>+landbouw!N8</f>
        <v>0</v>
      </c>
      <c r="P24" s="1025">
        <f>+landbouw!O8</f>
        <v>0</v>
      </c>
      <c r="Q24" s="1026">
        <f>+landbouw!P8</f>
        <v>0</v>
      </c>
      <c r="R24" s="701">
        <f>SUM(C24:Q24)</f>
        <v>18427.738427257656</v>
      </c>
      <c r="S24" s="67"/>
    </row>
    <row r="25" spans="1:19" s="474" customFormat="1" ht="15" thickBot="1">
      <c r="A25" s="832" t="s">
        <v>864</v>
      </c>
      <c r="B25" s="1028"/>
      <c r="C25" s="1029">
        <f>IF(Onbekend_ele_kWh="---",0,Onbekend_ele_kWh)/1000+IF(REST_rest_ele_kWh="---",0,REST_rest_ele_kWh)/1000</f>
        <v>398.09840000000003</v>
      </c>
      <c r="D25" s="1029"/>
      <c r="E25" s="1029">
        <f>IF(onbekend_gas_kWh="---",0,onbekend_gas_kWh)/1000+IF(REST_rest_gas_kWh="---",0,REST_rest_gas_kWh)/1000</f>
        <v>487.57232355194401</v>
      </c>
      <c r="F25" s="1029"/>
      <c r="G25" s="1029"/>
      <c r="H25" s="1029"/>
      <c r="I25" s="1029"/>
      <c r="J25" s="1029"/>
      <c r="K25" s="1029"/>
      <c r="L25" s="1029"/>
      <c r="M25" s="1029"/>
      <c r="N25" s="1029"/>
      <c r="O25" s="1029"/>
      <c r="P25" s="1029"/>
      <c r="Q25" s="1030"/>
      <c r="R25" s="701">
        <f>SUM(C25:Q25)</f>
        <v>885.67072355194409</v>
      </c>
      <c r="S25" s="67"/>
    </row>
    <row r="26" spans="1:19" s="474" customFormat="1" ht="15.75" thickBot="1">
      <c r="A26" s="706" t="s">
        <v>865</v>
      </c>
      <c r="B26" s="818"/>
      <c r="C26" s="813">
        <f>SUM(C24:C25)</f>
        <v>5289.4513999999999</v>
      </c>
      <c r="D26" s="813">
        <f t="shared" ref="D26:R26" si="2">SUM(D24:D25)</f>
        <v>0</v>
      </c>
      <c r="E26" s="813">
        <f t="shared" si="2"/>
        <v>818.45862528757539</v>
      </c>
      <c r="F26" s="813">
        <f t="shared" si="2"/>
        <v>45.305760172955658</v>
      </c>
      <c r="G26" s="813">
        <f t="shared" si="2"/>
        <v>12410.29436279027</v>
      </c>
      <c r="H26" s="813">
        <f t="shared" si="2"/>
        <v>0</v>
      </c>
      <c r="I26" s="813">
        <f t="shared" si="2"/>
        <v>0</v>
      </c>
      <c r="J26" s="813">
        <f t="shared" si="2"/>
        <v>0</v>
      </c>
      <c r="K26" s="813">
        <f t="shared" si="2"/>
        <v>749.89900255879945</v>
      </c>
      <c r="L26" s="813">
        <f t="shared" si="2"/>
        <v>0</v>
      </c>
      <c r="M26" s="813">
        <f t="shared" si="2"/>
        <v>0</v>
      </c>
      <c r="N26" s="813">
        <f t="shared" si="2"/>
        <v>0</v>
      </c>
      <c r="O26" s="813">
        <f t="shared" si="2"/>
        <v>0</v>
      </c>
      <c r="P26" s="813">
        <f t="shared" si="2"/>
        <v>0</v>
      </c>
      <c r="Q26" s="813">
        <f t="shared" si="2"/>
        <v>0</v>
      </c>
      <c r="R26" s="813">
        <f t="shared" si="2"/>
        <v>19313.409150809599</v>
      </c>
      <c r="S26" s="67"/>
    </row>
    <row r="27" spans="1:19" s="474" customFormat="1" ht="17.25" thickTop="1" thickBot="1">
      <c r="A27" s="707" t="s">
        <v>116</v>
      </c>
      <c r="B27" s="806"/>
      <c r="C27" s="708">
        <f ca="1">C22+C16+C26</f>
        <v>27216.353236407507</v>
      </c>
      <c r="D27" s="708">
        <f t="shared" ref="D27:R27" ca="1" si="3">D22+D16+D26</f>
        <v>0</v>
      </c>
      <c r="E27" s="708">
        <f t="shared" ca="1" si="3"/>
        <v>26670.037490422335</v>
      </c>
      <c r="F27" s="708">
        <f t="shared" si="3"/>
        <v>5486.4210108241969</v>
      </c>
      <c r="G27" s="708">
        <f t="shared" ca="1" si="3"/>
        <v>25124.306374075109</v>
      </c>
      <c r="H27" s="708">
        <f t="shared" si="3"/>
        <v>35138.771429034015</v>
      </c>
      <c r="I27" s="708">
        <f t="shared" si="3"/>
        <v>6446.474752767981</v>
      </c>
      <c r="J27" s="708">
        <f t="shared" si="3"/>
        <v>0</v>
      </c>
      <c r="K27" s="708">
        <f t="shared" si="3"/>
        <v>4375.8365123278818</v>
      </c>
      <c r="L27" s="708">
        <f t="shared" si="3"/>
        <v>0</v>
      </c>
      <c r="M27" s="708">
        <f t="shared" ca="1" si="3"/>
        <v>0</v>
      </c>
      <c r="N27" s="708">
        <f t="shared" si="3"/>
        <v>2230.8945126857543</v>
      </c>
      <c r="O27" s="708">
        <f t="shared" ca="1" si="3"/>
        <v>7183.8941565541181</v>
      </c>
      <c r="P27" s="708">
        <f t="shared" si="3"/>
        <v>98.49</v>
      </c>
      <c r="Q27" s="708">
        <f t="shared" si="3"/>
        <v>552.93333333333328</v>
      </c>
      <c r="R27" s="708">
        <f t="shared" ca="1" si="3"/>
        <v>140524.41280843224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1208.9465147088069</v>
      </c>
      <c r="D40" s="1025">
        <f ca="1">tertiair!C20</f>
        <v>0</v>
      </c>
      <c r="E40" s="1025">
        <f ca="1">tertiair!D20</f>
        <v>1444.1951458413007</v>
      </c>
      <c r="F40" s="1025">
        <f>tertiair!E20</f>
        <v>16.020071202319116</v>
      </c>
      <c r="G40" s="1025">
        <f ca="1">tertiair!F20</f>
        <v>228.76808225098361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2897.9298140034107</v>
      </c>
    </row>
    <row r="41" spans="1:18">
      <c r="A41" s="823" t="s">
        <v>225</v>
      </c>
      <c r="B41" s="830"/>
      <c r="C41" s="1025">
        <f ca="1">huishoudens!B12</f>
        <v>2829.2165234813037</v>
      </c>
      <c r="D41" s="1025">
        <f ca="1">huishoudens!C12</f>
        <v>0</v>
      </c>
      <c r="E41" s="1025">
        <f>huishoudens!D12</f>
        <v>3651.6077098660867</v>
      </c>
      <c r="F41" s="1025">
        <f>huishoudens!E12</f>
        <v>1137.0096826428537</v>
      </c>
      <c r="G41" s="1025">
        <f>huishoudens!F12</f>
        <v>2951.0981851683036</v>
      </c>
      <c r="H41" s="1025">
        <f>huishoudens!G12</f>
        <v>0</v>
      </c>
      <c r="I41" s="1025">
        <f>huishoudens!H12</f>
        <v>0</v>
      </c>
      <c r="J41" s="1025">
        <f>huishoudens!I12</f>
        <v>0</v>
      </c>
      <c r="K41" s="1025">
        <f>huishoudens!J12</f>
        <v>1282.5225464572363</v>
      </c>
      <c r="L41" s="1025">
        <f>huishoudens!K12</f>
        <v>0</v>
      </c>
      <c r="M41" s="1025">
        <f>huishoudens!L12</f>
        <v>0</v>
      </c>
      <c r="N41" s="1025">
        <f>huishoudens!M12</f>
        <v>0</v>
      </c>
      <c r="O41" s="1025">
        <f>huishoudens!N12</f>
        <v>0</v>
      </c>
      <c r="P41" s="1025">
        <f>huishoudens!O12</f>
        <v>0</v>
      </c>
      <c r="Q41" s="775">
        <f>huishoudens!P12</f>
        <v>0</v>
      </c>
      <c r="R41" s="851">
        <f t="shared" ca="1" si="4"/>
        <v>11851.454647615783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388.40102010973578</v>
      </c>
      <c r="D43" s="1025">
        <f ca="1">industrie!C22</f>
        <v>0</v>
      </c>
      <c r="E43" s="1025">
        <f>industrie!D22</f>
        <v>122.73152892119271</v>
      </c>
      <c r="F43" s="1025">
        <f>industrie!E22</f>
        <v>57.831038498777303</v>
      </c>
      <c r="G43" s="1025">
        <f>industrie!F22</f>
        <v>214.77493959376554</v>
      </c>
      <c r="H43" s="1025">
        <f>industrie!G22</f>
        <v>0</v>
      </c>
      <c r="I43" s="1025">
        <f>industrie!H22</f>
        <v>0</v>
      </c>
      <c r="J43" s="1025">
        <f>industrie!I22</f>
        <v>0</v>
      </c>
      <c r="K43" s="1025">
        <f>industrie!J22</f>
        <v>1.059332001018886</v>
      </c>
      <c r="L43" s="1025">
        <f>industrie!K22</f>
        <v>0</v>
      </c>
      <c r="M43" s="1025">
        <f>industrie!L22</f>
        <v>0</v>
      </c>
      <c r="N43" s="1025">
        <f>industrie!M22</f>
        <v>0</v>
      </c>
      <c r="O43" s="1025">
        <f>industrie!N22</f>
        <v>0</v>
      </c>
      <c r="P43" s="1025">
        <f>industrie!O22</f>
        <v>0</v>
      </c>
      <c r="Q43" s="775">
        <f>industrie!P22</f>
        <v>0</v>
      </c>
      <c r="R43" s="850">
        <f t="shared" ca="1" si="4"/>
        <v>784.79785912449029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4426.5640582998458</v>
      </c>
      <c r="D46" s="733">
        <f t="shared" ref="D46:Q46" ca="1" si="5">SUM(D39:D45)</f>
        <v>0</v>
      </c>
      <c r="E46" s="733">
        <f t="shared" ca="1" si="5"/>
        <v>5218.5343846285805</v>
      </c>
      <c r="F46" s="733">
        <f t="shared" si="5"/>
        <v>1210.8607923439502</v>
      </c>
      <c r="G46" s="733">
        <f t="shared" ca="1" si="5"/>
        <v>3394.6412070130527</v>
      </c>
      <c r="H46" s="733">
        <f t="shared" si="5"/>
        <v>0</v>
      </c>
      <c r="I46" s="733">
        <f t="shared" si="5"/>
        <v>0</v>
      </c>
      <c r="J46" s="733">
        <f t="shared" si="5"/>
        <v>0</v>
      </c>
      <c r="K46" s="733">
        <f t="shared" si="5"/>
        <v>1283.5818784582552</v>
      </c>
      <c r="L46" s="733">
        <f t="shared" si="5"/>
        <v>0</v>
      </c>
      <c r="M46" s="733">
        <f t="shared" ca="1" si="5"/>
        <v>0</v>
      </c>
      <c r="N46" s="733">
        <f t="shared" si="5"/>
        <v>0</v>
      </c>
      <c r="O46" s="733">
        <f t="shared" ca="1" si="5"/>
        <v>0</v>
      </c>
      <c r="P46" s="733">
        <f t="shared" si="5"/>
        <v>0</v>
      </c>
      <c r="Q46" s="733">
        <f t="shared" si="5"/>
        <v>0</v>
      </c>
      <c r="R46" s="733">
        <f ca="1">SUM(R39:R45)</f>
        <v>15534.182320743683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55.350054226959848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55.350054226959848</v>
      </c>
    </row>
    <row r="50" spans="1:18">
      <c r="A50" s="826" t="s">
        <v>307</v>
      </c>
      <c r="B50" s="836"/>
      <c r="C50" s="704">
        <f ca="1">transport!B18</f>
        <v>1.0980927751516605</v>
      </c>
      <c r="D50" s="704">
        <f>transport!C18</f>
        <v>0</v>
      </c>
      <c r="E50" s="704">
        <f>transport!D18</f>
        <v>3.4845461286417847</v>
      </c>
      <c r="F50" s="704">
        <f>transport!E18</f>
        <v>24.272369553881816</v>
      </c>
      <c r="G50" s="704">
        <f>transport!F18</f>
        <v>0</v>
      </c>
      <c r="H50" s="704">
        <f>transport!G18</f>
        <v>9326.7019173251228</v>
      </c>
      <c r="I50" s="704">
        <f>transport!H18</f>
        <v>1605.1722134392273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10960.729139222025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1.0980927751516605</v>
      </c>
      <c r="D52" s="733">
        <f t="shared" ref="D52:Q52" ca="1" si="6">SUM(D48:D51)</f>
        <v>0</v>
      </c>
      <c r="E52" s="733">
        <f t="shared" si="6"/>
        <v>3.4845461286417847</v>
      </c>
      <c r="F52" s="733">
        <f t="shared" si="6"/>
        <v>24.272369553881816</v>
      </c>
      <c r="G52" s="733">
        <f t="shared" si="6"/>
        <v>0</v>
      </c>
      <c r="H52" s="733">
        <f t="shared" si="6"/>
        <v>9382.0519715520823</v>
      </c>
      <c r="I52" s="733">
        <f t="shared" si="6"/>
        <v>1605.1722134392273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11016.079193448984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987.70262699344744</v>
      </c>
      <c r="D54" s="704">
        <f ca="1">+landbouw!C12</f>
        <v>0</v>
      </c>
      <c r="E54" s="704">
        <f>+landbouw!D12</f>
        <v>66.839032950597556</v>
      </c>
      <c r="F54" s="704">
        <f>+landbouw!E12</f>
        <v>10.284407559260934</v>
      </c>
      <c r="G54" s="704">
        <f>+landbouw!F12</f>
        <v>3313.5485948650021</v>
      </c>
      <c r="H54" s="704">
        <f>+landbouw!G12</f>
        <v>0</v>
      </c>
      <c r="I54" s="704">
        <f>+landbouw!H12</f>
        <v>0</v>
      </c>
      <c r="J54" s="704">
        <f>+landbouw!I12</f>
        <v>0</v>
      </c>
      <c r="K54" s="704">
        <f>+landbouw!J12</f>
        <v>265.464246905815</v>
      </c>
      <c r="L54" s="704">
        <f>+landbouw!K12</f>
        <v>0</v>
      </c>
      <c r="M54" s="704">
        <f>+landbouw!L12</f>
        <v>0</v>
      </c>
      <c r="N54" s="704">
        <f>+landbouw!M12</f>
        <v>0</v>
      </c>
      <c r="O54" s="704">
        <f>+landbouw!N12</f>
        <v>0</v>
      </c>
      <c r="P54" s="704">
        <f>+landbouw!O12</f>
        <v>0</v>
      </c>
      <c r="Q54" s="705">
        <f>+landbouw!P12</f>
        <v>0</v>
      </c>
      <c r="R54" s="732">
        <f ca="1">SUM(C54:Q54)</f>
        <v>4643.8389092741236</v>
      </c>
    </row>
    <row r="55" spans="1:18" ht="15" thickBot="1">
      <c r="A55" s="826" t="s">
        <v>864</v>
      </c>
      <c r="B55" s="836"/>
      <c r="C55" s="704">
        <f ca="1">C25*'EF ele_warmte'!B12</f>
        <v>80.387335668042823</v>
      </c>
      <c r="D55" s="704"/>
      <c r="E55" s="704">
        <f>E25*EF_CO2_aardgas</f>
        <v>98.489609357492697</v>
      </c>
      <c r="F55" s="704"/>
      <c r="G55" s="704"/>
      <c r="H55" s="704"/>
      <c r="I55" s="704"/>
      <c r="J55" s="704"/>
      <c r="K55" s="704"/>
      <c r="L55" s="704"/>
      <c r="M55" s="704"/>
      <c r="N55" s="704"/>
      <c r="O55" s="704"/>
      <c r="P55" s="704"/>
      <c r="Q55" s="705"/>
      <c r="R55" s="732">
        <f ca="1">SUM(C55:Q55)</f>
        <v>178.87694502553552</v>
      </c>
    </row>
    <row r="56" spans="1:18" ht="15.75" thickBot="1">
      <c r="A56" s="824" t="s">
        <v>865</v>
      </c>
      <c r="B56" s="837"/>
      <c r="C56" s="733">
        <f ca="1">SUM(C54:C55)</f>
        <v>1068.0899626614903</v>
      </c>
      <c r="D56" s="733">
        <f t="shared" ref="D56:Q56" ca="1" si="7">SUM(D54:D55)</f>
        <v>0</v>
      </c>
      <c r="E56" s="733">
        <f t="shared" si="7"/>
        <v>165.32864230809025</v>
      </c>
      <c r="F56" s="733">
        <f t="shared" si="7"/>
        <v>10.284407559260934</v>
      </c>
      <c r="G56" s="733">
        <f t="shared" si="7"/>
        <v>3313.5485948650021</v>
      </c>
      <c r="H56" s="733">
        <f t="shared" si="7"/>
        <v>0</v>
      </c>
      <c r="I56" s="733">
        <f t="shared" si="7"/>
        <v>0</v>
      </c>
      <c r="J56" s="733">
        <f t="shared" si="7"/>
        <v>0</v>
      </c>
      <c r="K56" s="733">
        <f t="shared" si="7"/>
        <v>265.464246905815</v>
      </c>
      <c r="L56" s="733">
        <f t="shared" si="7"/>
        <v>0</v>
      </c>
      <c r="M56" s="733">
        <f t="shared" si="7"/>
        <v>0</v>
      </c>
      <c r="N56" s="733">
        <f t="shared" si="7"/>
        <v>0</v>
      </c>
      <c r="O56" s="733">
        <f t="shared" si="7"/>
        <v>0</v>
      </c>
      <c r="P56" s="733">
        <f t="shared" si="7"/>
        <v>0</v>
      </c>
      <c r="Q56" s="734">
        <f t="shared" si="7"/>
        <v>0</v>
      </c>
      <c r="R56" s="735">
        <f ca="1">SUM(R54:R55)</f>
        <v>4822.7158542996594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5495.7521137364874</v>
      </c>
      <c r="D61" s="741">
        <f t="shared" ref="D61:Q61" ca="1" si="8">D46+D52+D56</f>
        <v>0</v>
      </c>
      <c r="E61" s="741">
        <f t="shared" ca="1" si="8"/>
        <v>5387.3475730653117</v>
      </c>
      <c r="F61" s="741">
        <f t="shared" si="8"/>
        <v>1245.4175694570929</v>
      </c>
      <c r="G61" s="741">
        <f t="shared" ca="1" si="8"/>
        <v>6708.1898018780548</v>
      </c>
      <c r="H61" s="741">
        <f t="shared" si="8"/>
        <v>9382.0519715520823</v>
      </c>
      <c r="I61" s="741">
        <f t="shared" si="8"/>
        <v>1605.1722134392273</v>
      </c>
      <c r="J61" s="741">
        <f t="shared" si="8"/>
        <v>0</v>
      </c>
      <c r="K61" s="741">
        <f t="shared" si="8"/>
        <v>1549.0461253640701</v>
      </c>
      <c r="L61" s="741">
        <f t="shared" si="8"/>
        <v>0</v>
      </c>
      <c r="M61" s="741">
        <f t="shared" ca="1" si="8"/>
        <v>0</v>
      </c>
      <c r="N61" s="741">
        <f t="shared" si="8"/>
        <v>0</v>
      </c>
      <c r="O61" s="741">
        <f t="shared" ca="1" si="8"/>
        <v>0</v>
      </c>
      <c r="P61" s="741">
        <f t="shared" si="8"/>
        <v>0</v>
      </c>
      <c r="Q61" s="741">
        <f t="shared" si="8"/>
        <v>0</v>
      </c>
      <c r="R61" s="741">
        <f ca="1">R46+R52+R56</f>
        <v>31372.977368492324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0.20192830633843997</v>
      </c>
      <c r="D63" s="782">
        <f t="shared" ca="1" si="9"/>
        <v>0</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2348.696613165484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2348.696613165484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2348.696613165484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2348.696613165484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14010.99516349839</v>
      </c>
      <c r="C4" s="478">
        <f>huishoudens!C8</f>
        <v>0</v>
      </c>
      <c r="D4" s="478">
        <f>huishoudens!D8</f>
        <v>18077.26589042617</v>
      </c>
      <c r="E4" s="478">
        <f>huishoudens!E8</f>
        <v>5008.8532275015577</v>
      </c>
      <c r="F4" s="478">
        <f>huishoudens!F8</f>
        <v>11052.802191641586</v>
      </c>
      <c r="G4" s="478">
        <f>huishoudens!G8</f>
        <v>0</v>
      </c>
      <c r="H4" s="478">
        <f>huishoudens!H8</f>
        <v>0</v>
      </c>
      <c r="I4" s="478">
        <f>huishoudens!I8</f>
        <v>0</v>
      </c>
      <c r="J4" s="478">
        <f>huishoudens!J8</f>
        <v>3622.9450464893685</v>
      </c>
      <c r="K4" s="478">
        <f>huishoudens!K8</f>
        <v>0</v>
      </c>
      <c r="L4" s="478">
        <f>huishoudens!L8</f>
        <v>0</v>
      </c>
      <c r="M4" s="478">
        <f>huishoudens!M8</f>
        <v>0</v>
      </c>
      <c r="N4" s="478">
        <f>huishoudens!N8</f>
        <v>6162.7824124375038</v>
      </c>
      <c r="O4" s="478">
        <f>huishoudens!O8</f>
        <v>95.36333333333333</v>
      </c>
      <c r="P4" s="479">
        <f>huishoudens!P8</f>
        <v>514.79999999999995</v>
      </c>
      <c r="Q4" s="480">
        <f>SUM(B4:P4)</f>
        <v>58545.807265327909</v>
      </c>
    </row>
    <row r="5" spans="1:17">
      <c r="A5" s="477" t="s">
        <v>156</v>
      </c>
      <c r="B5" s="478">
        <f ca="1">tertiair!B16</f>
        <v>5323.7296399999996</v>
      </c>
      <c r="C5" s="478">
        <f ca="1">tertiair!C16</f>
        <v>0</v>
      </c>
      <c r="D5" s="478">
        <f ca="1">tertiair!D16</f>
        <v>7149.4809200064392</v>
      </c>
      <c r="E5" s="478">
        <f>tertiair!E16</f>
        <v>70.573000891273637</v>
      </c>
      <c r="F5" s="478">
        <f ca="1">tertiair!F16</f>
        <v>856.80929682016324</v>
      </c>
      <c r="G5" s="478">
        <f>tertiair!G16</f>
        <v>0</v>
      </c>
      <c r="H5" s="478">
        <f>tertiair!H16</f>
        <v>0</v>
      </c>
      <c r="I5" s="478">
        <f>tertiair!I16</f>
        <v>0</v>
      </c>
      <c r="J5" s="478">
        <f>tertiair!J16</f>
        <v>0</v>
      </c>
      <c r="K5" s="478">
        <f>tertiair!K16</f>
        <v>0</v>
      </c>
      <c r="L5" s="478">
        <f ca="1">tertiair!L16</f>
        <v>0</v>
      </c>
      <c r="M5" s="478">
        <f>tertiair!M16</f>
        <v>0</v>
      </c>
      <c r="N5" s="478">
        <f ca="1">tertiair!N16</f>
        <v>627.22717961208889</v>
      </c>
      <c r="O5" s="478">
        <f>tertiair!O16</f>
        <v>3.1266666666666669</v>
      </c>
      <c r="P5" s="479">
        <f>tertiair!P16</f>
        <v>38.133333333333333</v>
      </c>
      <c r="Q5" s="477">
        <f t="shared" ref="Q5:Q14" ca="1" si="0">SUM(B5:P5)</f>
        <v>14069.080037329966</v>
      </c>
    </row>
    <row r="6" spans="1:17">
      <c r="A6" s="477" t="s">
        <v>194</v>
      </c>
      <c r="B6" s="478">
        <f>'openbare verlichting'!B8</f>
        <v>663.279</v>
      </c>
      <c r="C6" s="478"/>
      <c r="D6" s="478"/>
      <c r="E6" s="478"/>
      <c r="F6" s="478"/>
      <c r="G6" s="478"/>
      <c r="H6" s="478"/>
      <c r="I6" s="478"/>
      <c r="J6" s="478"/>
      <c r="K6" s="478"/>
      <c r="L6" s="478"/>
      <c r="M6" s="478"/>
      <c r="N6" s="478"/>
      <c r="O6" s="478"/>
      <c r="P6" s="479"/>
      <c r="Q6" s="477">
        <f t="shared" si="0"/>
        <v>663.279</v>
      </c>
    </row>
    <row r="7" spans="1:17">
      <c r="A7" s="477" t="s">
        <v>112</v>
      </c>
      <c r="B7" s="478">
        <f>landbouw!B8</f>
        <v>4891.3530000000001</v>
      </c>
      <c r="C7" s="478">
        <f>landbouw!C8</f>
        <v>0</v>
      </c>
      <c r="D7" s="478">
        <f>landbouw!D8</f>
        <v>330.88630173563143</v>
      </c>
      <c r="E7" s="478">
        <f>landbouw!E8</f>
        <v>45.305760172955658</v>
      </c>
      <c r="F7" s="478">
        <f>landbouw!F8</f>
        <v>12410.29436279027</v>
      </c>
      <c r="G7" s="478">
        <f>landbouw!G8</f>
        <v>0</v>
      </c>
      <c r="H7" s="478">
        <f>landbouw!H8</f>
        <v>0</v>
      </c>
      <c r="I7" s="478">
        <f>landbouw!I8</f>
        <v>0</v>
      </c>
      <c r="J7" s="478">
        <f>landbouw!J8</f>
        <v>749.89900255879945</v>
      </c>
      <c r="K7" s="478">
        <f>landbouw!K8</f>
        <v>0</v>
      </c>
      <c r="L7" s="478">
        <f>landbouw!L8</f>
        <v>0</v>
      </c>
      <c r="M7" s="478">
        <f>landbouw!M8</f>
        <v>0</v>
      </c>
      <c r="N7" s="478">
        <f>landbouw!N8</f>
        <v>0</v>
      </c>
      <c r="O7" s="478">
        <f>landbouw!O8</f>
        <v>0</v>
      </c>
      <c r="P7" s="479">
        <f>landbouw!P8</f>
        <v>0</v>
      </c>
      <c r="Q7" s="477">
        <f t="shared" si="0"/>
        <v>18427.738427257656</v>
      </c>
    </row>
    <row r="8" spans="1:17">
      <c r="A8" s="477" t="s">
        <v>650</v>
      </c>
      <c r="B8" s="478">
        <f>industrie!B18</f>
        <v>1923.46</v>
      </c>
      <c r="C8" s="478">
        <f>industrie!C18</f>
        <v>0</v>
      </c>
      <c r="D8" s="478">
        <f>industrie!D18</f>
        <v>607.58182634253808</v>
      </c>
      <c r="E8" s="478">
        <f>industrie!E18</f>
        <v>254.76228413558283</v>
      </c>
      <c r="F8" s="478">
        <f>industrie!F18</f>
        <v>804.40052282309182</v>
      </c>
      <c r="G8" s="478">
        <f>industrie!G18</f>
        <v>0</v>
      </c>
      <c r="H8" s="478">
        <f>industrie!H18</f>
        <v>0</v>
      </c>
      <c r="I8" s="478">
        <f>industrie!I18</f>
        <v>0</v>
      </c>
      <c r="J8" s="478">
        <f>industrie!J18</f>
        <v>2.9924632797143675</v>
      </c>
      <c r="K8" s="478">
        <f>industrie!K18</f>
        <v>0</v>
      </c>
      <c r="L8" s="478">
        <f>industrie!L18</f>
        <v>0</v>
      </c>
      <c r="M8" s="478">
        <f>industrie!M18</f>
        <v>0</v>
      </c>
      <c r="N8" s="478">
        <f>industrie!N18</f>
        <v>393.88456450452577</v>
      </c>
      <c r="O8" s="478">
        <f>industrie!O18</f>
        <v>0</v>
      </c>
      <c r="P8" s="479">
        <f>industrie!P18</f>
        <v>0</v>
      </c>
      <c r="Q8" s="477">
        <f t="shared" si="0"/>
        <v>3987.0816610854527</v>
      </c>
    </row>
    <row r="9" spans="1:17" s="483" customFormat="1">
      <c r="A9" s="481" t="s">
        <v>571</v>
      </c>
      <c r="B9" s="482">
        <f>transport!B14</f>
        <v>5.4380329091217785</v>
      </c>
      <c r="C9" s="482">
        <f>transport!C14</f>
        <v>0</v>
      </c>
      <c r="D9" s="482">
        <f>transport!D14</f>
        <v>17.250228359612795</v>
      </c>
      <c r="E9" s="482">
        <f>transport!E14</f>
        <v>106.92673812282737</v>
      </c>
      <c r="F9" s="482">
        <f>transport!F14</f>
        <v>0</v>
      </c>
      <c r="G9" s="482">
        <f>transport!G14</f>
        <v>34931.467855150273</v>
      </c>
      <c r="H9" s="482">
        <f>transport!H14</f>
        <v>6446.474752767981</v>
      </c>
      <c r="I9" s="482">
        <f>transport!I14</f>
        <v>0</v>
      </c>
      <c r="J9" s="482">
        <f>transport!J14</f>
        <v>0</v>
      </c>
      <c r="K9" s="482">
        <f>transport!K14</f>
        <v>0</v>
      </c>
      <c r="L9" s="482">
        <f>transport!L14</f>
        <v>0</v>
      </c>
      <c r="M9" s="482">
        <f>transport!M14</f>
        <v>2219.0725941897276</v>
      </c>
      <c r="N9" s="482">
        <f>transport!N14</f>
        <v>0</v>
      </c>
      <c r="O9" s="482">
        <f>transport!O14</f>
        <v>0</v>
      </c>
      <c r="P9" s="482">
        <f>transport!P14</f>
        <v>0</v>
      </c>
      <c r="Q9" s="481">
        <f>SUM(B9:P9)</f>
        <v>43726.630201499538</v>
      </c>
    </row>
    <row r="10" spans="1:17">
      <c r="A10" s="477" t="s">
        <v>561</v>
      </c>
      <c r="B10" s="478">
        <f>transport!B54</f>
        <v>0</v>
      </c>
      <c r="C10" s="478">
        <f>transport!C54</f>
        <v>0</v>
      </c>
      <c r="D10" s="478">
        <f>transport!D54</f>
        <v>0</v>
      </c>
      <c r="E10" s="478">
        <f>transport!E54</f>
        <v>0</v>
      </c>
      <c r="F10" s="478">
        <f>transport!F54</f>
        <v>0</v>
      </c>
      <c r="G10" s="478">
        <f>transport!G54</f>
        <v>207.30357388374475</v>
      </c>
      <c r="H10" s="478">
        <f>transport!H54</f>
        <v>0</v>
      </c>
      <c r="I10" s="478">
        <f>transport!I54</f>
        <v>0</v>
      </c>
      <c r="J10" s="478">
        <f>transport!J54</f>
        <v>0</v>
      </c>
      <c r="K10" s="478">
        <f>transport!K54</f>
        <v>0</v>
      </c>
      <c r="L10" s="478">
        <f>transport!L54</f>
        <v>0</v>
      </c>
      <c r="M10" s="478">
        <f>transport!M54</f>
        <v>11.82191849602674</v>
      </c>
      <c r="N10" s="478">
        <f>transport!N54</f>
        <v>0</v>
      </c>
      <c r="O10" s="478">
        <f>transport!O54</f>
        <v>0</v>
      </c>
      <c r="P10" s="479">
        <f>transport!P54</f>
        <v>0</v>
      </c>
      <c r="Q10" s="477">
        <f t="shared" si="0"/>
        <v>219.12549237977149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398.09840000000003</v>
      </c>
      <c r="C14" s="485"/>
      <c r="D14" s="485">
        <f>'SEAP template'!E25</f>
        <v>487.57232355194401</v>
      </c>
      <c r="E14" s="485"/>
      <c r="F14" s="485"/>
      <c r="G14" s="485"/>
      <c r="H14" s="485"/>
      <c r="I14" s="485"/>
      <c r="J14" s="485"/>
      <c r="K14" s="485"/>
      <c r="L14" s="485"/>
      <c r="M14" s="485"/>
      <c r="N14" s="485"/>
      <c r="O14" s="485"/>
      <c r="P14" s="486"/>
      <c r="Q14" s="477">
        <f t="shared" si="0"/>
        <v>885.67072355194409</v>
      </c>
    </row>
    <row r="15" spans="1:17" s="487" customFormat="1">
      <c r="A15" s="1051" t="s">
        <v>565</v>
      </c>
      <c r="B15" s="991">
        <f ca="1">SUM(B4:B14)</f>
        <v>27216.353236407507</v>
      </c>
      <c r="C15" s="991">
        <f t="shared" ref="C15:Q15" ca="1" si="1">SUM(C4:C14)</f>
        <v>0</v>
      </c>
      <c r="D15" s="991">
        <f t="shared" ca="1" si="1"/>
        <v>26670.037490422335</v>
      </c>
      <c r="E15" s="991">
        <f t="shared" si="1"/>
        <v>5486.4210108241969</v>
      </c>
      <c r="F15" s="991">
        <f t="shared" ca="1" si="1"/>
        <v>25124.306374075113</v>
      </c>
      <c r="G15" s="991">
        <f t="shared" si="1"/>
        <v>35138.771429034015</v>
      </c>
      <c r="H15" s="991">
        <f t="shared" si="1"/>
        <v>6446.474752767981</v>
      </c>
      <c r="I15" s="991">
        <f t="shared" si="1"/>
        <v>0</v>
      </c>
      <c r="J15" s="991">
        <f t="shared" si="1"/>
        <v>4375.8365123278827</v>
      </c>
      <c r="K15" s="991">
        <f t="shared" si="1"/>
        <v>0</v>
      </c>
      <c r="L15" s="991">
        <f t="shared" ca="1" si="1"/>
        <v>0</v>
      </c>
      <c r="M15" s="991">
        <f t="shared" si="1"/>
        <v>2230.8945126857543</v>
      </c>
      <c r="N15" s="991">
        <f t="shared" ca="1" si="1"/>
        <v>7183.8941565541181</v>
      </c>
      <c r="O15" s="991">
        <f t="shared" si="1"/>
        <v>98.49</v>
      </c>
      <c r="P15" s="991">
        <f t="shared" si="1"/>
        <v>552.93333333333328</v>
      </c>
      <c r="Q15" s="991">
        <f t="shared" ca="1" si="1"/>
        <v>140524.41280843224</v>
      </c>
    </row>
    <row r="17" spans="1:17">
      <c r="A17" s="488" t="s">
        <v>566</v>
      </c>
      <c r="B17" s="787">
        <f ca="1">huishoudens!B10</f>
        <v>0.20192830633843997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2829.2165234813037</v>
      </c>
      <c r="C22" s="478">
        <f t="shared" ref="C22:C32" ca="1" si="3">C4*$C$17</f>
        <v>0</v>
      </c>
      <c r="D22" s="478">
        <f t="shared" ref="D22:D32" si="4">D4*$D$17</f>
        <v>3651.6077098660867</v>
      </c>
      <c r="E22" s="478">
        <f t="shared" ref="E22:E32" si="5">E4*$E$17</f>
        <v>1137.0096826428537</v>
      </c>
      <c r="F22" s="478">
        <f t="shared" ref="F22:F32" si="6">F4*$F$17</f>
        <v>2951.0981851683036</v>
      </c>
      <c r="G22" s="478">
        <f t="shared" ref="G22:G32" si="7">G4*$G$17</f>
        <v>0</v>
      </c>
      <c r="H22" s="478">
        <f t="shared" ref="H22:H32" si="8">H4*$H$17</f>
        <v>0</v>
      </c>
      <c r="I22" s="478">
        <f t="shared" ref="I22:I32" si="9">I4*$I$17</f>
        <v>0</v>
      </c>
      <c r="J22" s="478">
        <f t="shared" ref="J22:J32" si="10">J4*$J$17</f>
        <v>1282.5225464572363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11851.454647615783</v>
      </c>
    </row>
    <row r="23" spans="1:17">
      <c r="A23" s="477" t="s">
        <v>156</v>
      </c>
      <c r="B23" s="478">
        <f t="shared" ca="1" si="2"/>
        <v>1075.0117096089527</v>
      </c>
      <c r="C23" s="478">
        <f t="shared" ca="1" si="3"/>
        <v>0</v>
      </c>
      <c r="D23" s="478">
        <f t="shared" ca="1" si="4"/>
        <v>1444.1951458413007</v>
      </c>
      <c r="E23" s="478">
        <f t="shared" si="5"/>
        <v>16.020071202319116</v>
      </c>
      <c r="F23" s="478">
        <f t="shared" ca="1" si="6"/>
        <v>228.76808225098361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2763.9950089035565</v>
      </c>
    </row>
    <row r="24" spans="1:17">
      <c r="A24" s="477" t="s">
        <v>194</v>
      </c>
      <c r="B24" s="478">
        <f t="shared" ca="1" si="2"/>
        <v>133.93480509985412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133.93480509985412</v>
      </c>
    </row>
    <row r="25" spans="1:17">
      <c r="A25" s="477" t="s">
        <v>112</v>
      </c>
      <c r="B25" s="478">
        <f t="shared" ca="1" si="2"/>
        <v>987.70262699344744</v>
      </c>
      <c r="C25" s="478">
        <f t="shared" ca="1" si="3"/>
        <v>0</v>
      </c>
      <c r="D25" s="478">
        <f t="shared" si="4"/>
        <v>66.839032950597556</v>
      </c>
      <c r="E25" s="478">
        <f t="shared" si="5"/>
        <v>10.284407559260934</v>
      </c>
      <c r="F25" s="478">
        <f t="shared" si="6"/>
        <v>3313.5485948650021</v>
      </c>
      <c r="G25" s="478">
        <f t="shared" si="7"/>
        <v>0</v>
      </c>
      <c r="H25" s="478">
        <f t="shared" si="8"/>
        <v>0</v>
      </c>
      <c r="I25" s="478">
        <f t="shared" si="9"/>
        <v>0</v>
      </c>
      <c r="J25" s="478">
        <f t="shared" si="10"/>
        <v>265.464246905815</v>
      </c>
      <c r="K25" s="478">
        <f t="shared" si="11"/>
        <v>0</v>
      </c>
      <c r="L25" s="478">
        <f t="shared" si="12"/>
        <v>0</v>
      </c>
      <c r="M25" s="478">
        <f t="shared" si="13"/>
        <v>0</v>
      </c>
      <c r="N25" s="478">
        <f t="shared" si="14"/>
        <v>0</v>
      </c>
      <c r="O25" s="478">
        <f t="shared" si="15"/>
        <v>0</v>
      </c>
      <c r="P25" s="479">
        <f t="shared" si="16"/>
        <v>0</v>
      </c>
      <c r="Q25" s="477">
        <f t="shared" ca="1" si="17"/>
        <v>4643.8389092741236</v>
      </c>
    </row>
    <row r="26" spans="1:17">
      <c r="A26" s="477" t="s">
        <v>650</v>
      </c>
      <c r="B26" s="478">
        <f t="shared" ca="1" si="2"/>
        <v>388.40102010973578</v>
      </c>
      <c r="C26" s="478">
        <f t="shared" ca="1" si="3"/>
        <v>0</v>
      </c>
      <c r="D26" s="478">
        <f t="shared" si="4"/>
        <v>122.73152892119271</v>
      </c>
      <c r="E26" s="478">
        <f t="shared" si="5"/>
        <v>57.831038498777303</v>
      </c>
      <c r="F26" s="478">
        <f t="shared" si="6"/>
        <v>214.77493959376554</v>
      </c>
      <c r="G26" s="478">
        <f t="shared" si="7"/>
        <v>0</v>
      </c>
      <c r="H26" s="478">
        <f t="shared" si="8"/>
        <v>0</v>
      </c>
      <c r="I26" s="478">
        <f t="shared" si="9"/>
        <v>0</v>
      </c>
      <c r="J26" s="478">
        <f t="shared" si="10"/>
        <v>1.059332001018886</v>
      </c>
      <c r="K26" s="478">
        <f t="shared" si="11"/>
        <v>0</v>
      </c>
      <c r="L26" s="478">
        <f t="shared" si="12"/>
        <v>0</v>
      </c>
      <c r="M26" s="478">
        <f t="shared" si="13"/>
        <v>0</v>
      </c>
      <c r="N26" s="478">
        <f t="shared" si="14"/>
        <v>0</v>
      </c>
      <c r="O26" s="478">
        <f t="shared" si="15"/>
        <v>0</v>
      </c>
      <c r="P26" s="479">
        <f t="shared" si="16"/>
        <v>0</v>
      </c>
      <c r="Q26" s="477">
        <f t="shared" ca="1" si="17"/>
        <v>784.79785912449029</v>
      </c>
    </row>
    <row r="27" spans="1:17" s="483" customFormat="1">
      <c r="A27" s="481" t="s">
        <v>571</v>
      </c>
      <c r="B27" s="781">
        <f t="shared" ca="1" si="2"/>
        <v>1.0980927751516605</v>
      </c>
      <c r="C27" s="482">
        <f t="shared" ca="1" si="3"/>
        <v>0</v>
      </c>
      <c r="D27" s="482">
        <f t="shared" si="4"/>
        <v>3.4845461286417847</v>
      </c>
      <c r="E27" s="482">
        <f t="shared" si="5"/>
        <v>24.272369553881816</v>
      </c>
      <c r="F27" s="482">
        <f t="shared" si="6"/>
        <v>0</v>
      </c>
      <c r="G27" s="482">
        <f t="shared" si="7"/>
        <v>9326.7019173251228</v>
      </c>
      <c r="H27" s="482">
        <f t="shared" si="8"/>
        <v>1605.1722134392273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10960.729139222025</v>
      </c>
    </row>
    <row r="28" spans="1:17">
      <c r="A28" s="477" t="s">
        <v>561</v>
      </c>
      <c r="B28" s="478">
        <f t="shared" ca="1" si="2"/>
        <v>0</v>
      </c>
      <c r="C28" s="478">
        <f t="shared" ca="1" si="3"/>
        <v>0</v>
      </c>
      <c r="D28" s="478">
        <f t="shared" si="4"/>
        <v>0</v>
      </c>
      <c r="E28" s="478">
        <f t="shared" si="5"/>
        <v>0</v>
      </c>
      <c r="F28" s="478">
        <f t="shared" si="6"/>
        <v>0</v>
      </c>
      <c r="G28" s="478">
        <f t="shared" si="7"/>
        <v>55.350054226959848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55.350054226959848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80.387335668042823</v>
      </c>
      <c r="C32" s="478">
        <f t="shared" ca="1" si="3"/>
        <v>0</v>
      </c>
      <c r="D32" s="478">
        <f t="shared" si="4"/>
        <v>98.489609357492697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178.87694502553552</v>
      </c>
    </row>
    <row r="33" spans="1:17" s="487" customFormat="1">
      <c r="A33" s="1051" t="s">
        <v>565</v>
      </c>
      <c r="B33" s="991">
        <f ca="1">SUM(B22:B32)</f>
        <v>5495.7521137364884</v>
      </c>
      <c r="C33" s="991">
        <f t="shared" ref="C33:Q33" ca="1" si="18">SUM(C22:C32)</f>
        <v>0</v>
      </c>
      <c r="D33" s="991">
        <f t="shared" ca="1" si="18"/>
        <v>5387.3475730653117</v>
      </c>
      <c r="E33" s="991">
        <f t="shared" si="18"/>
        <v>1245.4175694570929</v>
      </c>
      <c r="F33" s="991">
        <f t="shared" ca="1" si="18"/>
        <v>6708.1898018780548</v>
      </c>
      <c r="G33" s="991">
        <f t="shared" si="18"/>
        <v>9382.0519715520823</v>
      </c>
      <c r="H33" s="991">
        <f t="shared" si="18"/>
        <v>1605.1722134392273</v>
      </c>
      <c r="I33" s="991">
        <f t="shared" si="18"/>
        <v>0</v>
      </c>
      <c r="J33" s="991">
        <f t="shared" si="18"/>
        <v>1549.0461253640701</v>
      </c>
      <c r="K33" s="991">
        <f t="shared" si="18"/>
        <v>0</v>
      </c>
      <c r="L33" s="991">
        <f t="shared" ca="1" si="18"/>
        <v>0</v>
      </c>
      <c r="M33" s="991">
        <f t="shared" si="18"/>
        <v>0</v>
      </c>
      <c r="N33" s="991">
        <f t="shared" ca="1" si="18"/>
        <v>0</v>
      </c>
      <c r="O33" s="991">
        <f t="shared" si="18"/>
        <v>0</v>
      </c>
      <c r="P33" s="991">
        <f t="shared" si="18"/>
        <v>0</v>
      </c>
      <c r="Q33" s="991">
        <f t="shared" ca="1" si="18"/>
        <v>31372.977368492331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2348.696613165484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2348.696613165484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0.20192830633843997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0.20192830633843997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2019-08-12T08:09:34Z</dcterms:modified>
</cp:coreProperties>
</file>