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6" i="18"/>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H90" i="14"/>
  <c r="H18" i="59"/>
  <c r="M77" i="14"/>
  <c r="M9" i="59" s="1"/>
  <c r="O10"/>
  <c r="H20"/>
  <c r="M22" i="14"/>
  <c r="G88"/>
  <c r="G18" i="59" s="1"/>
  <c r="K20"/>
  <c r="C98" i="18"/>
  <c r="I101" s="1"/>
  <c r="H8" s="1"/>
  <c r="D13" i="15"/>
  <c r="C16" i="16"/>
  <c r="P22" i="14"/>
  <c r="E20" i="59"/>
  <c r="C13" i="15"/>
  <c r="B16" i="16"/>
  <c r="N78" i="14"/>
  <c r="N9" i="59"/>
  <c r="N10" s="1"/>
  <c r="D14" i="48"/>
  <c r="K78" i="14"/>
  <c r="H9" i="18"/>
  <c r="O9" s="1"/>
  <c r="Q22" i="14"/>
  <c r="D22"/>
  <c r="L22"/>
  <c r="E10" i="59"/>
  <c r="L20"/>
  <c r="B8" i="18"/>
  <c r="B10" s="1"/>
  <c r="G77" i="14"/>
  <c r="G9" i="59" s="1"/>
  <c r="G10" s="1"/>
  <c r="I77" i="14"/>
  <c r="I9" i="59" s="1"/>
  <c r="B13" i="15"/>
  <c r="N13"/>
  <c r="L13"/>
  <c r="F77" i="14"/>
  <c r="F9" i="59" s="1"/>
  <c r="E101" i="18"/>
  <c r="E8" s="1"/>
  <c r="F101"/>
  <c r="I102"/>
  <c r="H17" s="1"/>
  <c r="E102"/>
  <c r="E17" s="1"/>
  <c r="C102"/>
  <c r="F102"/>
  <c r="H102"/>
  <c r="D102"/>
  <c r="G102"/>
  <c r="B102"/>
  <c r="C17" s="1"/>
  <c r="C89" i="14"/>
  <c r="C19" i="59" s="1"/>
  <c r="O19" i="18"/>
  <c r="O78" i="14"/>
  <c r="N88"/>
  <c r="D10" i="18"/>
  <c r="E78" i="14"/>
  <c r="D77"/>
  <c r="D9" i="59" s="1"/>
  <c r="H77" i="14"/>
  <c r="G90"/>
  <c r="O88"/>
  <c r="G89"/>
  <c r="G19" i="59" s="1"/>
  <c r="G20" s="1"/>
  <c r="G20" i="18"/>
  <c r="O18"/>
  <c r="O25" i="48"/>
  <c r="O27"/>
  <c r="Q11"/>
  <c r="O29"/>
  <c r="P31"/>
  <c r="O28"/>
  <c r="Q12"/>
  <c r="O24"/>
  <c r="O30"/>
  <c r="P24"/>
  <c r="P30"/>
  <c r="Q77" i="14"/>
  <c r="P9" i="59" s="1"/>
  <c r="E90" i="14"/>
  <c r="R9"/>
  <c r="R25"/>
  <c r="K90"/>
  <c r="O90" l="1"/>
  <c r="O18" i="59"/>
  <c r="O20" s="1"/>
  <c r="N90" i="14"/>
  <c r="N18" i="59"/>
  <c r="N20" s="1"/>
  <c r="H101" i="18"/>
  <c r="B89" i="14"/>
  <c r="B19" i="59" s="1"/>
  <c r="J17" i="18"/>
  <c r="J20" s="1"/>
  <c r="G101"/>
  <c r="I8" s="1"/>
  <c r="C101"/>
  <c r="J8" s="1"/>
  <c r="O8" s="1"/>
  <c r="O10" s="1"/>
  <c r="H78" i="14"/>
  <c r="H9" i="59"/>
  <c r="H10" s="1"/>
  <c r="D101" i="18"/>
  <c r="Q14" i="48"/>
  <c r="G78" i="14"/>
  <c r="D10" i="59"/>
  <c r="B101" i="18"/>
  <c r="C8" s="1"/>
  <c r="Q89" i="14"/>
  <c r="P19" i="59" s="1"/>
  <c r="C77" i="14"/>
  <c r="C9" i="59" s="1"/>
  <c r="J87" i="14"/>
  <c r="H20" i="18"/>
  <c r="M87" i="14"/>
  <c r="F76"/>
  <c r="E10" i="18"/>
  <c r="C20"/>
  <c r="O17"/>
  <c r="O20" s="1"/>
  <c r="D87" i="14"/>
  <c r="D17" i="59" s="1"/>
  <c r="D20" s="1"/>
  <c r="H10" i="18"/>
  <c r="M76" i="14"/>
  <c r="B88"/>
  <c r="B18" i="59" s="1"/>
  <c r="I17" i="18"/>
  <c r="D76" i="14"/>
  <c r="D8" i="59" s="1"/>
  <c r="C10" i="18"/>
  <c r="C88" i="14"/>
  <c r="C18" i="59" s="1"/>
  <c r="I10" i="18"/>
  <c r="I76" i="14"/>
  <c r="I8" i="59" s="1"/>
  <c r="I10" s="1"/>
  <c r="B77" i="14"/>
  <c r="B9" i="59" s="1"/>
  <c r="E20" i="18"/>
  <c r="F87" i="14"/>
  <c r="Q88"/>
  <c r="P18" i="59" s="1"/>
  <c r="H14" i="15"/>
  <c r="H16" s="1"/>
  <c r="G14"/>
  <c r="G16" s="1"/>
  <c r="J90" i="14" l="1"/>
  <c r="J17" i="59"/>
  <c r="J20" s="1"/>
  <c r="M78" i="14"/>
  <c r="M8" i="59"/>
  <c r="M10" s="1"/>
  <c r="M90" i="14"/>
  <c r="M17" i="59"/>
  <c r="M20" s="1"/>
  <c r="G5" i="48"/>
  <c r="H10" i="14"/>
  <c r="H16" s="1"/>
  <c r="F78"/>
  <c r="F8" i="59"/>
  <c r="F10" s="1"/>
  <c r="I10" i="14"/>
  <c r="I16" s="1"/>
  <c r="H5" i="48"/>
  <c r="F90" i="14"/>
  <c r="F17" i="59"/>
  <c r="F20" s="1"/>
  <c r="Q76" i="14"/>
  <c r="D78"/>
  <c r="I78"/>
  <c r="B76"/>
  <c r="J10" i="18"/>
  <c r="J76" i="14"/>
  <c r="I87"/>
  <c r="I17" i="59" s="1"/>
  <c r="I20" s="1"/>
  <c r="I20" i="18"/>
  <c r="Q87" i="14"/>
  <c r="D90"/>
  <c r="C87"/>
  <c r="A31" i="23"/>
  <c r="A32"/>
  <c r="A33"/>
  <c r="Q78" i="14" l="1"/>
  <c r="B9" i="6" s="1"/>
  <c r="P8" i="59"/>
  <c r="P10" s="1"/>
  <c r="Q90" i="14"/>
  <c r="B17" i="6" s="1"/>
  <c r="P17" i="59"/>
  <c r="P20" s="1"/>
  <c r="C90" i="14"/>
  <c r="C17" i="59"/>
  <c r="C20" s="1"/>
  <c r="B78" i="14"/>
  <c r="B8" i="59"/>
  <c r="B10" s="1"/>
  <c r="J78" i="14"/>
  <c r="J8" i="59"/>
  <c r="J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32" i="48"/>
  <c r="H29"/>
  <c r="H26"/>
  <c r="H28"/>
  <c r="H30"/>
  <c r="H25"/>
  <c r="H24"/>
  <c r="H22"/>
  <c r="H23"/>
  <c r="G26"/>
  <c r="G32"/>
  <c r="G22"/>
  <c r="G30"/>
  <c r="G25"/>
  <c r="G24"/>
  <c r="G29"/>
  <c r="G23"/>
  <c r="K28"/>
  <c r="K32"/>
  <c r="K26"/>
  <c r="K22"/>
  <c r="K25"/>
  <c r="K31"/>
  <c r="K24"/>
  <c r="K27"/>
  <c r="K30"/>
  <c r="K29"/>
  <c r="B7"/>
  <c r="C24" i="14"/>
  <c r="C26" s="1"/>
  <c r="J24" i="48"/>
  <c r="J32"/>
  <c r="J29"/>
  <c r="J30"/>
  <c r="J28"/>
  <c r="J27"/>
  <c r="J31"/>
  <c r="Q11" i="14"/>
  <c r="P4" i="48"/>
  <c r="P11" i="14"/>
  <c r="O4" i="48"/>
  <c r="I25"/>
  <c r="I32"/>
  <c r="I22"/>
  <c r="I26"/>
  <c r="I29"/>
  <c r="I30"/>
  <c r="I31"/>
  <c r="I27"/>
  <c r="I28"/>
  <c r="I24"/>
  <c r="N46" i="14"/>
  <c r="J15" i="16"/>
  <c r="D11" i="14"/>
  <c r="C4" i="48"/>
  <c r="C11" i="14"/>
  <c r="B4" i="48"/>
  <c r="F24"/>
  <c r="F32"/>
  <c r="F29"/>
  <c r="F27"/>
  <c r="F31"/>
  <c r="F30"/>
  <c r="F28"/>
  <c r="N31"/>
  <c r="N32"/>
  <c r="N30"/>
  <c r="N29"/>
  <c r="N24"/>
  <c r="N28"/>
  <c r="N27"/>
  <c r="C19" i="14"/>
  <c r="B10" i="48"/>
  <c r="E32"/>
  <c r="E28"/>
  <c r="E24"/>
  <c r="E29"/>
  <c r="E30"/>
  <c r="E31"/>
  <c r="M26"/>
  <c r="M32"/>
  <c r="M22"/>
  <c r="M25"/>
  <c r="M30"/>
  <c r="M29"/>
  <c r="M24"/>
  <c r="M23"/>
  <c r="L10" i="14"/>
  <c r="L16" s="1"/>
  <c r="L27" s="1"/>
  <c r="K5" i="48"/>
  <c r="D30"/>
  <c r="D29"/>
  <c r="D24"/>
  <c r="D28"/>
  <c r="D31"/>
  <c r="D32"/>
  <c r="L32"/>
  <c r="L27"/>
  <c r="L29"/>
  <c r="L31"/>
  <c r="L22"/>
  <c r="L24"/>
  <c r="L28"/>
  <c r="L30"/>
  <c r="Q10" i="14"/>
  <c r="P5" i="48"/>
  <c r="P23" s="1"/>
  <c r="G24" i="1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G11" i="14"/>
  <c r="F4" i="48"/>
  <c r="F22" s="1"/>
  <c r="M12" i="22"/>
  <c r="M13" i="48"/>
  <c r="M31" s="1"/>
  <c r="N18" i="14"/>
  <c r="P22" i="48"/>
  <c r="K33"/>
  <c r="J10" i="14"/>
  <c r="J16" s="1"/>
  <c r="J27" s="1"/>
  <c r="J63" s="1"/>
  <c r="I5" i="48"/>
  <c r="F20" i="14"/>
  <c r="F22" s="1"/>
  <c r="E9" i="48"/>
  <c r="E27" s="1"/>
  <c r="J7"/>
  <c r="J25" s="1"/>
  <c r="K24" i="14"/>
  <c r="K26" s="1"/>
  <c r="C20"/>
  <c r="B9" i="48"/>
  <c r="G13"/>
  <c r="H18" i="14"/>
  <c r="H13" i="48"/>
  <c r="H31" s="1"/>
  <c r="I18" i="14"/>
  <c r="P22" i="16"/>
  <c r="Q43" i="14" s="1"/>
  <c r="Q13"/>
  <c r="P8" i="48"/>
  <c r="P26" s="1"/>
  <c r="K23"/>
  <c r="K15"/>
  <c r="O22"/>
  <c r="J12" i="17"/>
  <c r="K54" i="14" s="1"/>
  <c r="K56" s="1"/>
  <c r="L46"/>
  <c r="L61" s="1"/>
  <c r="Q16"/>
  <c r="Q27" s="1"/>
  <c r="L63"/>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8" i="13"/>
  <c r="C48" s="1"/>
  <c r="N5" s="1"/>
  <c r="N8" s="1"/>
  <c r="C50"/>
  <c r="J5" s="1"/>
  <c r="J8" s="1"/>
  <c r="E12" l="1"/>
  <c r="F41" i="14" s="1"/>
  <c r="F11"/>
  <c r="E4" i="48"/>
  <c r="H19" i="14"/>
  <c r="R19" s="1"/>
  <c r="G10" i="48"/>
  <c r="P33"/>
  <c r="K11" i="14"/>
  <c r="J4" i="48"/>
  <c r="E7"/>
  <c r="E25" s="1"/>
  <c r="F24" i="14"/>
  <c r="F26" s="1"/>
  <c r="G9" i="48"/>
  <c r="H20" i="14"/>
  <c r="M10" i="48"/>
  <c r="M28" s="1"/>
  <c r="N19" i="14"/>
  <c r="O22" i="16"/>
  <c r="P43" i="14" s="1"/>
  <c r="P46" s="1"/>
  <c r="P61" s="1"/>
  <c r="P13"/>
  <c r="P16" s="1"/>
  <c r="P27" s="1"/>
  <c r="O8" i="48"/>
  <c r="Q13"/>
  <c r="G31"/>
  <c r="O11" i="14"/>
  <c r="N4" i="48"/>
  <c r="N22" s="1"/>
  <c r="I23"/>
  <c r="I33" s="1"/>
  <c r="I15"/>
  <c r="Q63" i="14"/>
  <c r="M14" i="22"/>
  <c r="P15" i="48"/>
  <c r="C22" i="14"/>
  <c r="Q46"/>
  <c r="Q61" s="1"/>
  <c r="R18"/>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P63" l="1"/>
  <c r="J5" i="48"/>
  <c r="J23" s="1"/>
  <c r="K10" i="14"/>
  <c r="J22" i="48"/>
  <c r="E5"/>
  <c r="E23" s="1"/>
  <c r="F10" i="14"/>
  <c r="O26" i="48"/>
  <c r="O33" s="1"/>
  <c r="O15"/>
  <c r="E22"/>
  <c r="Q4"/>
  <c r="R11" i="14"/>
  <c r="H9" i="48"/>
  <c r="I20" i="14"/>
  <c r="G27" i="48"/>
  <c r="G15"/>
  <c r="G28"/>
  <c r="Q10"/>
  <c r="M9"/>
  <c r="N20" i="14"/>
  <c r="N22" s="1"/>
  <c r="N27" s="1"/>
  <c r="N63" s="1"/>
  <c r="H22"/>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M27" i="48" l="1"/>
  <c r="M33" s="1"/>
  <c r="M15"/>
  <c r="H27"/>
  <c r="H33" s="1"/>
  <c r="H15"/>
  <c r="J22" i="16"/>
  <c r="K43" i="14" s="1"/>
  <c r="K13"/>
  <c r="J8" i="48"/>
  <c r="J26" s="1"/>
  <c r="J33" s="1"/>
  <c r="I22" i="14"/>
  <c r="I27" s="1"/>
  <c r="I63" s="1"/>
  <c r="R20"/>
  <c r="R22" s="1"/>
  <c r="F13"/>
  <c r="F16" s="1"/>
  <c r="F27" s="1"/>
  <c r="E8" i="48"/>
  <c r="K16" i="14"/>
  <c r="K27" s="1"/>
  <c r="J15" i="48"/>
  <c r="F46" i="14"/>
  <c r="F61" s="1"/>
  <c r="H63"/>
  <c r="Q9" i="48"/>
  <c r="G33"/>
  <c r="K46" i="14"/>
  <c r="K61" s="1"/>
  <c r="K63" s="1"/>
  <c r="O13"/>
  <c r="N8" i="48"/>
  <c r="N26" s="1"/>
  <c r="F8"/>
  <c r="G13" i="14"/>
  <c r="R13" s="1"/>
  <c r="E26" i="48" l="1"/>
  <c r="E33" s="1"/>
  <c r="E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<sst xmlns="http://schemas.openxmlformats.org/spreadsheetml/2006/main" count="2437" uniqueCount="917">
  <si>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</si>
  <si>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</si>
  <si>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</si>
  <si>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</si>
  <si>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</si>
  <si>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</si>
  <si>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</si>
  <si>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</si>
  <si>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</si>
  <si>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</si>
  <si>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</si>
  <si>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</si>
  <si>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</si>
  <si>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</si>
  <si>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</si>
  <si>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</si>
  <si>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</si>
  <si>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</si>
  <si>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</si>
  <si>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</si>
  <si>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</si>
  <si>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</si>
  <si>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</si>
  <si>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</si>
  <si>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</si>
  <si>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</si>
  <si>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</si>
  <si>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</si>
  <si>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</si>
  <si>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</si>
  <si>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</si>
  <si>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</si>
  <si>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</si>
  <si>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</si>
  <si>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</si>
  <si>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</si>
  <si>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</si>
  <si>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</si>
  <si>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</si>
  <si>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</si>
  <si>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</si>
  <si>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</si>
  <si>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</si>
  <si>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</si>
  <si>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</si>
  <si>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</si>
  <si>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</si>
  <si>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</si>
  <si>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</si>
  <si>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</si>
  <si>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</si>
  <si>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</si>
  <si>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</si>
  <si>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</si>
  <si>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</si>
  <si>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</si>
  <si>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</si>
  <si>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</si>
  <si>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</si>
  <si>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</si>
  <si>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</si>
  <si>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</si>
  <si>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</si>
  <si>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</si>
  <si>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</si>
  <si>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</si>
  <si>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</si>
  <si>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</si>
  <si>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</si>
  <si>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</si>
  <si>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</si>
  <si>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</si>
  <si>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</si>
  <si>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</si>
  <si>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</si>
  <si>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</si>
  <si>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</si>
  <si>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</si>
  <si>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</si>
  <si>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</si>
  <si>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</si>
  <si>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</si>
  <si>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</si>
  <si>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</si>
  <si>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</si>
  <si>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</si>
  <si>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</si>
  <si>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</si>
  <si>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</si>
  <si>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</si>
  <si>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</si>
  <si>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</si>
  <si>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</si>
  <si>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</si>
  <si>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</si>
  <si>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</si>
  <si>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</si>
  <si>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</si>
  <si>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</si>
  <si>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</si>
  <si>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</si>
  <si>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</si>
  <si>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</si>
  <si>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</si>
  <si>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</si>
  <si>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</si>
  <si>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</si>
  <si>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</si>
  <si>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</si>
  <si>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</si>
  <si>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</si>
  <si>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</si>
  <si>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</si>
  <si>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</si>
  <si>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</si>
  <si>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</si>
  <si>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</si>
  <si>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</si>
  <si>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</si>
  <si>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</si>
  <si>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</si>
  <si>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</si>
  <si>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</si>
  <si>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</si>
  <si>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</si>
  <si>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</si>
  <si>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</si>
  <si>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</si>
  <si>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</si>
  <si>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</si>
  <si>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</si>
  <si>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</si>
  <si>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</si>
  <si>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</si>
  <si>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</si>
  <si>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</si>
  <si>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</si>
  <si>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</si>
  <si>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</si>
  <si>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</si>
  <si>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</si>
  <si>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</si>
  <si>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</si>
  <si>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</si>
  <si>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</si>
  <si>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</si>
  <si>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</si>
  <si>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</si>
  <si>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</si>
  <si>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</si>
  <si>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</si>
  <si>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</si>
  <si>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</si>
  <si>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</si>
  <si>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</si>
  <si>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</si>
  <si>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</si>
  <si>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</si>
  <si>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</si>
  <si>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</si>
  <si>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</si>
  <si>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</si>
  <si>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</si>
  <si>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</si>
  <si>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</si>
  <si>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</si>
  <si>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</si>
  <si>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</si>
  <si>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</si>
  <si>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</si>
  <si>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</si>
  <si>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</si>
  <si>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</si>
  <si>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</si>
  <si>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</si>
  <si>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</si>
  <si>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</si>
  <si>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</si>
  <si>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</si>
  <si>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</si>
  <si>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</si>
  <si>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</si>
  <si>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</si>
  <si>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</si>
  <si>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</si>
  <si>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</si>
  <si>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</si>
  <si>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</si>
  <si>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</si>
  <si>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</si>
  <si>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</si>
  <si>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</si>
  <si>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</si>
  <si>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</si>
  <si>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</si>
  <si>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</si>
  <si>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</si>
  <si>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</si>
  <si>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</si>
  <si>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</si>
  <si>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</si>
  <si>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</si>
  <si>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</si>
  <si>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</si>
  <si>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</si>
  <si>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</si>
  <si>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</si>
  <si>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</si>
  <si>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</si>
  <si>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</si>
  <si>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</si>
  <si>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</si>
  <si>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</si>
  <si>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</si>
  <si>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</si>
  <si>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</si>
  <si>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</si>
  <si>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</si>
  <si>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</si>
  <si>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</si>
  <si>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</si>
  <si>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</si>
  <si>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</si>
  <si>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</si>
  <si>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</si>
  <si>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</si>
  <si>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</si>
  <si>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</si>
  <si>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</si>
  <si>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</si>
  <si>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</si>
  <si>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</si>
  <si>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</si>
  <si>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</si>
  <si>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</si>
  <si>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</si>
  <si>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</si>
  <si>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</si>
  <si>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</si>
  <si>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</si>
  <si>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</si>
  <si>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</si>
  <si>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</si>
  <si>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</si>
  <si>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</si>
  <si>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</si>
  <si>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</si>
  <si>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</si>
  <si>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</si>
  <si>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</si>
  <si>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</si>
  <si>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</si>
  <si>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</si>
  <si>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</si>
  <si>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</si>
  <si>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</si>
  <si>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</si>
  <si>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</si>
  <si>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</si>
  <si>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</si>
  <si>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</si>
  <si>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</si>
  <si>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</si>
  <si>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</si>
  <si>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</si>
  <si>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</si>
  <si>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</si>
  <si>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</si>
  <si>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</si>
  <si>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</si>
  <si>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</si>
  <si>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</si>
  <si>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</si>
  <si>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</si>
  <si>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</si>
  <si>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</si>
  <si>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</si>
  <si>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</si>
  <si>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</si>
  <si>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</si>
  <si>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</si>
  <si>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</si>
  <si>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</si>
  <si>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</si>
  <si>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</si>
  <si>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</si>
  <si>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</si>
  <si>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</si>
  <si>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</si>
  <si>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</si>
  <si>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</si>
  <si>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</si>
  <si>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</si>
  <si>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</si>
  <si>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</si>
  <si>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</si>
  <si>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</si>
  <si>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</si>
  <si>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</si>
  <si>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</si>
  <si>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</si>
  <si>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</si>
  <si>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</si>
  <si>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</si>
  <si>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</si>
  <si>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</si>
  <si>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</si>
  <si>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</si>
  <si>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</si>
  <si>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</si>
  <si>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</si>
  <si>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</si>
  <si>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</si>
  <si>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</si>
  <si>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</si>
  <si>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</si>
  <si>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</si>
  <si>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</si>
  <si>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</si>
  <si>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</si>
  <si>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</si>
  <si>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</si>
  <si>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</si>
  <si>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</si>
  <si>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</si>
  <si>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</si>
  <si>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</si>
  <si>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</si>
  <si>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</si>
  <si>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</si>
  <si>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</si>
  <si>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</si>
  <si>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</si>
  <si>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</si>
  <si>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</si>
  <si>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</si>
  <si>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</si>
  <si>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</si>
  <si>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</si>
  <si>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</si>
  <si>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</si>
  <si>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</si>
  <si>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</si>
  <si>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</si>
  <si>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</si>
  <si>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</si>
  <si>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</si>
  <si>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</si>
  <si>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</si>
  <si>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</si>
  <si>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</si>
  <si>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</si>
  <si>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</si>
  <si>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</si>
  <si>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</si>
  <si>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</si>
  <si>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</si>
  <si>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</si>
  <si>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</si>
  <si>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</si>
  <si>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</si>
  <si>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</si>
  <si>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</si>
  <si>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</si>
  <si>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</si>
  <si>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</si>
  <si>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</si>
  <si>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</si>
  <si>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</si>
  <si>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</si>
  <si>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</si>
  <si>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</si>
  <si>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</si>
  <si>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</si>
  <si>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</si>
  <si>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</si>
  <si>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</si>
  <si>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</si>
  <si>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</si>
  <si>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</si>
  <si>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</si>
  <si>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</si>
  <si>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</si>
  <si>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</si>
  <si>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</si>
  <si>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</si>
  <si>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</si>
  <si>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</si>
  <si>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</si>
  <si>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</si>
  <si>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</si>
  <si>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</si>
  <si>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</si>
  <si>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</si>
  <si>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</si>
  <si>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</si>
  <si>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</si>
  <si>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</si>
  <si>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</si>
  <si>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</si>
  <si>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</si>
  <si>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</si>
  <si>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</si>
  <si>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</si>
  <si>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</si>
  <si>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</si>
  <si>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</si>
  <si>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</si>
  <si>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</si>
  <si>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</si>
  <si>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</si>
  <si>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</si>
  <si>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</si>
  <si>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</si>
  <si>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</si>
  <si>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</si>
  <si>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</si>
  <si>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</si>
  <si>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</si>
  <si>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</si>
  <si>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</si>
  <si>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</si>
  <si>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</si>
  <si>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</si>
  <si>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</si>
  <si>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</si>
  <si>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</si>
  <si>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</si>
  <si>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</si>
  <si>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</si>
  <si>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</si>
  <si>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</si>
  <si>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</si>
  <si>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</si>
  <si>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</si>
  <si>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</si>
  <si>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</si>
  <si>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</si>
  <si>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</si>
  <si>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</si>
  <si>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</si>
  <si>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</si>
  <si>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</si>
  <si>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</si>
  <si>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</si>
  <si>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</si>
  <si>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</si>
  <si>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</si>
  <si>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</si>
  <si>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</si>
  <si>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</si>
  <si>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</si>
  <si>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</si>
  <si>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</si>
  <si>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</si>
  <si>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</si>
  <si>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</si>
  <si>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</si>
  <si>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</si>
  <si>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</si>
  <si>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</si>
  <si>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</si>
  <si>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</si>
  <si>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</si>
  <si>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</si>
  <si>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</si>
  <si>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</si>
  <si>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</si>
  <si>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</si>
  <si>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</si>
  <si>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</si>
  <si>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</si>
  <si>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</si>
  <si>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</si>
  <si>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</si>
  <si>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</si>
  <si>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</si>
  <si>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</si>
  <si>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</si>
  <si>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</si>
  <si>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</si>
  <si>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</si>
  <si>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</si>
  <si>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</si>
  <si>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</si>
  <si>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</si>
  <si>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</si>
  <si>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</si>
  <si>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</si>
  <si>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</si>
  <si>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</si>
  <si>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</si>
  <si>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</si>
  <si>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</si>
  <si>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</si>
  <si>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</si>
  <si>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</si>
  <si>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</si>
  <si>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</si>
  <si>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</si>
  <si>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</si>
  <si>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</si>
  <si>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</si>
  <si>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</si>
  <si>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</si>
  <si>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</si>
  <si>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</si>
  <si>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</si>
  <si>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</si>
  <si>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</si>
  <si>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</si>
  <si>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</si>
  <si>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</si>
  <si>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</si>
  <si>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</si>
  <si>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</si>
  <si>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</si>
  <si>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</si>
  <si>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</si>
  <si>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</si>
  <si>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</si>
  <si>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</si>
  <si>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</si>
  <si>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</si>
  <si>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</si>
  <si>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</si>
  <si>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</si>
  <si>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</si>
  <si>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</si>
  <si>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</si>
  <si>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</si>
  <si>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</si>
  <si>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</si>
  <si>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</si>
  <si>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</si>
  <si>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</si>
  <si>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</si>
  <si>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</si>
  <si>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</si>
  <si>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</si>
  <si>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</si>
  <si>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</si>
  <si>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</si>
  <si>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</si>
  <si>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</si>
  <si>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</si>
  <si>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</si>
  <si>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</si>
  <si>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</si>
  <si>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</si>
  <si>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</si>
  <si>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</si>
  <si>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</si>
  <si>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</si>
  <si>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</si>
  <si>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</si>
  <si>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</si>
  <si>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</si>
  <si>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</si>
  <si>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</si>
  <si>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</si>
  <si>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</si>
  <si>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</si>
  <si>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</si>
  <si>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</si>
  <si>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</si>
  <si>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</si>
  <si>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</si>
  <si>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</si>
  <si>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</si>
  <si>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</si>
  <si>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</si>
  <si>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</si>
  <si>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</si>
  <si>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</si>
  <si>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</si>
  <si>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</si>
  <si>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</si>
  <si>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</si>
  <si>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</si>
  <si>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</si>
  <si>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</si>
  <si>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</si>
  <si>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</si>
  <si>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</si>
  <si>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</si>
  <si>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</si>
  <si>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</si>
  <si>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</si>
  <si>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</si>
  <si>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</si>
  <si>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</si>
  <si>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</si>
  <si>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</si>
  <si>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</si>
  <si>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</si>
  <si>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</si>
  <si>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</si>
  <si>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</si>
  <si>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</si>
  <si>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</si>
  <si>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</si>
  <si>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</si>
  <si>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</si>
  <si>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</si>
  <si>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</si>
  <si>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</si>
  <si>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</si>
  <si>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</si>
  <si>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</si>
  <si>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</si>
  <si>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</si>
  <si>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</si>
  <si>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</si>
  <si>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</si>
  <si>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</si>
  <si>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</si>
  <si>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</si>
  <si>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</si>
  <si>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</si>
  <si>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</si>
  <si>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</si>
  <si>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</si>
  <si>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</si>
  <si>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</si>
  <si>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</si>
  <si>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</si>
  <si>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</si>
  <si>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</si>
  <si>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</si>
  <si>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</si>
  <si>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</si>
  <si>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</si>
  <si>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</si>
  <si>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</si>
  <si>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</si>
  <si>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</si>
  <si>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</si>
  <si>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</si>
  <si>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</si>
  <si>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</si>
  <si>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</si>
  <si>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</si>
  <si>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</si>
  <si>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</si>
  <si>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</si>
  <si>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</si>
  <si>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</si>
  <si>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</si>
  <si>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</si>
  <si>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</si>
  <si>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</si>
  <si>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</si>
  <si>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</si>
  <si>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</si>
  <si>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</si>
  <si>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</si>
  <si>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</si>
  <si>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</si>
  <si>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</si>
  <si>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</si>
  <si>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</si>
  <si>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</si>
  <si>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</si>
  <si>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</si>
  <si>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</si>
  <si>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</si>
  <si>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</si>
  <si>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</si>
  <si>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</si>
  <si>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</si>
  <si>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</si>
  <si>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</si>
  <si>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</si>
  <si>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</si>
  <si>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</si>
  <si>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</si>
  <si>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</si>
  <si>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</si>
  <si>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</si>
  <si>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</si>
  <si>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</si>
  <si>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</si>
  <si>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</si>
  <si>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</si>
  <si>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</si>
  <si>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</si>
  <si>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</si>
  <si>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</si>
  <si>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</si>
  <si>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</si>
  <si>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</si>
  <si>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</si>
  <si>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</si>
  <si>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</si>
  <si>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</si>
  <si>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</si>
  <si>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</si>
  <si>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</si>
  <si>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</si>
  <si>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</si>
  <si>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</si>
  <si>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</si>
  <si>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</si>
  <si>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</si>
  <si>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</si>
  <si>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</si>
  <si>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</si>
  <si>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</si>
  <si>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</si>
  <si>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</si>
  <si>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</si>
  <si>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</si>
  <si>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</si>
  <si>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</si>
  <si>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</si>
  <si>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</si>
  <si>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</si>
  <si>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</si>
  <si>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</si>
  <si>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</si>
  <si>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</si>
  <si>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</si>
  <si>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</si>
  <si>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</si>
  <si>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</si>
  <si>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</si>
  <si>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</si>
  <si>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</si>
  <si>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</si>
  <si>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</si>
  <si>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</si>
  <si>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</si>
  <si>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</si>
  <si>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</si>
  <si>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</si>
  <si>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</si>
  <si>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</si>
  <si>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</si>
  <si>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</si>
  <si>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</si>
  <si>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</si>
  <si>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</si>
  <si>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</si>
  <si>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</si>
  <si>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</si>
  <si>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</si>
  <si>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</si>
  <si>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</si>
  <si>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</si>
  <si>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</si>
  <si>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</si>
  <si>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</si>
  <si>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</si>
  <si>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</si>
  <si>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</si>
  <si>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</si>
  <si>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</si>
  <si>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</si>
  <si>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</si>
  <si>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</si>
  <si>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</si>
  <si>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</si>
  <si>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</si>
  <si>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</si>
  <si>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</si>
  <si>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</si>
  <si>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</si>
  <si>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</si>
  <si>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</si>
  <si>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</si>
  <si>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</si>
  <si>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</si>
  <si>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</si>
  <si>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</si>
  <si>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</si>
  <si>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</si>
  <si>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</si>
  <si>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</si>
  <si>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</si>
  <si>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</si>
  <si>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</si>
  <si>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</si>
  <si>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</si>
  <si>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</si>
  <si>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</si>
  <si>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</si>
  <si>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</si>
  <si>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</si>
  <si>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</si>
  <si>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</si>
  <si>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</si>
  <si>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</si>
  <si>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</si>
  <si>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</si>
  <si>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</si>
  <si>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</si>
  <si>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</si>
  <si>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</si>
  <si>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</si>
  <si>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</si>
  <si>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</si>
  <si>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</si>
  <si>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</si>
  <si>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</si>
  <si>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</si>
  <si>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</si>
  <si>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</si>
  <si>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</si>
  <si>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</si>
  <si>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</si>
  <si>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</si>
  <si>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</si>
  <si>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</si>
  <si>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</si>
  <si>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</si>
  <si>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</si>
  <si>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</si>
  <si>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</si>
  <si>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</si>
  <si>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</si>
  <si>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</si>
  <si>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</si>
  <si>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</si>
  <si>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</si>
  <si>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</si>
  <si>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</si>
  <si>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</si>
  <si>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</si>
  <si>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</si>
  <si>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</si>
  <si>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</si>
  <si>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</si>
  <si>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</si>
  <si>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</si>
  <si>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</si>
  <si>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</si>
  <si>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</si>
  <si>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</si>
  <si>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</si>
  <si>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</si>
  <si>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</si>
  <si>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</si>
  <si>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</si>
  <si>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</si>
  <si>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</si>
  <si>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</si>
  <si>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</si>
  <si>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</si>
  <si>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</si>
  <si>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</si>
  <si>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</si>
  <si>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</si>
  <si>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</si>
  <si>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</si>
  <si>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</si>
  <si>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</si>
  <si>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</si>
  <si>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</si>
  <si>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</si>
  <si>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</si>
  <si>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</si>
  <si>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</si>
  <si>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</si>
  <si>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</si>
  <si>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</si>
  <si>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</si>
  <si>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</si>
  <si>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</si>
  <si>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</si>
  <si>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</si>
  <si>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</si>
  <si>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</si>
  <si>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</si>
  <si>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</si>
  <si>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</si>
  <si>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</si>
  <si>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</si>
  <si>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</si>
  <si>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</si>
  <si>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</si>
  <si>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</si>
  <si>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</si>
  <si>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</si>
  <si>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</si>
  <si>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</si>
  <si>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</si>
  <si>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</si>
  <si>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</si>
  <si>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</si>
  <si>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</si>
  <si>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</si>
  <si>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</si>
  <si>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</si>
  <si>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</si>
  <si>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</si>
  <si>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</si>
  <si>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</si>
  <si>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</si>
  <si>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42008</t>
  </si>
  <si>
    <t>HAMME</t>
  </si>
  <si>
    <t>Paarden&amp;pony's 200 - 600 kg</t>
  </si>
  <si>
    <t>Paarden&amp;pony's &lt; 200 kg</t>
  </si>
  <si>
    <t>referentietaak LNE (2017); Jaarverslag De Lijn (2014)</t>
  </si>
  <si>
    <t>op basis van VEA (maart 2018) en Inventaris Hernieuwbare Energiebronnen (juni 2018)</t>
  </si>
  <si>
    <t>VEA (maart 2016)</t>
  </si>
  <si>
    <t>VEA (juni 2018)</t>
  </si>
  <si>
    <t>SOLANI bvba</t>
  </si>
  <si>
    <t>KASTEELLAAN 25C, 9220 Moerzeke</t>
  </si>
  <si>
    <t>WKK-0015 Willaert Moerzeke</t>
  </si>
  <si>
    <t>interne verbrandingsmotor</t>
  </si>
  <si>
    <t>WKK interne verbrandinsgmotor (gas)</t>
  </si>
  <si>
    <t>Kasteellaan 25 C, 9220 Moerzeke</t>
  </si>
  <si>
    <t>INTERGEM</t>
  </si>
  <si>
    <t>René en Johan Vermeir in faling</t>
  </si>
  <si>
    <t>Stuyfbergen 30 , 9220 Hamme (O.-Vl.)</t>
  </si>
  <si>
    <t>WKK-0221 Rene en Johan Vermeir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</si>
</sst>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168734.32168687144</c:v>
                </c:pt>
                <c:pt idx="1">
                  <c:v>45089.077678696427</c:v>
                </c:pt>
                <c:pt idx="2">
                  <c:v>1216.2170000000001</c:v>
                </c:pt>
                <c:pt idx="3">
                  <c:v>25225.600750727004</c:v>
                </c:pt>
                <c:pt idx="4">
                  <c:v>36821.934197906157</c:v>
                </c:pt>
                <c:pt idx="5">
                  <c:v>89354.588910656719</c:v>
                </c:pt>
                <c:pt idx="6">
                  <c:v>1208.5586980821433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168734.32168687144</c:v>
                </c:pt>
                <c:pt idx="1">
                  <c:v>45089.077678696427</c:v>
                </c:pt>
                <c:pt idx="2">
                  <c:v>1216.2170000000001</c:v>
                </c:pt>
                <c:pt idx="3">
                  <c:v>25225.600750727004</c:v>
                </c:pt>
                <c:pt idx="4">
                  <c:v>36821.934197906157</c:v>
                </c:pt>
                <c:pt idx="5">
                  <c:v>89354.588910656719</c:v>
                </c:pt>
                <c:pt idx="6">
                  <c:v>1208.5586980821433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29511.715621028401</c:v>
                </c:pt>
                <c:pt idx="2">
                  <c:v>8660.6360064329729</c:v>
                </c:pt>
                <c:pt idx="3">
                  <c:v>227.50062446063717</c:v>
                </c:pt>
                <c:pt idx="4">
                  <c:v>6062.7709100881057</c:v>
                </c:pt>
                <c:pt idx="5">
                  <c:v>6946.3587801563208</c:v>
                </c:pt>
                <c:pt idx="6">
                  <c:v>22371.396902186905</c:v>
                </c:pt>
                <c:pt idx="7">
                  <c:v>305.27616275415119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52704"/>
        <c:axId val="174158592"/>
      </c:barChart>
      <c:catAx>
        <c:axId val="174152704"/>
        <c:scaling>
          <c:orientation val="minMax"/>
        </c:scaling>
        <c:axPos val="b"/>
        <c:numFmt formatCode="General" sourceLinked="0"/>
        <c:tickLblPos val="nextTo"/>
        <c:crossAx val="174158592"/>
        <c:crosses val="autoZero"/>
        <c:auto val="1"/>
        <c:lblAlgn val="ctr"/>
        <c:lblOffset val="100"/>
      </c:catAx>
      <c:valAx>
        <c:axId val="174158592"/>
        <c:scaling>
          <c:orientation val="minMax"/>
        </c:scaling>
        <c:axPos val="l"/>
        <c:majorGridlines/>
        <c:numFmt formatCode="#,##0" sourceLinked="1"/>
        <c:tickLblPos val="nextTo"/>
        <c:crossAx val="174152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29511.715621028401</c:v>
                </c:pt>
                <c:pt idx="2">
                  <c:v>8660.6360064329729</c:v>
                </c:pt>
                <c:pt idx="3">
                  <c:v>227.50062446063717</c:v>
                </c:pt>
                <c:pt idx="4">
                  <c:v>6062.7709100881057</c:v>
                </c:pt>
                <c:pt idx="5">
                  <c:v>6946.3587801563208</c:v>
                </c:pt>
                <c:pt idx="6">
                  <c:v>22371.396902186905</c:v>
                </c:pt>
                <c:pt idx="7">
                  <c:v>305.27616275415119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42008</v>
      </c>
      <c r="B6" s="416"/>
      <c r="C6" s="417"/>
    </row>
    <row r="7" spans="1:7" s="414" customFormat="1" ht="15.75" customHeight="1">
      <c r="A7" s="418" t="str">
        <f>txtMunicipality</f>
        <v>HAMME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18407.243299999998</v>
      </c>
      <c r="D10" s="1025">
        <f ca="1">tertiair!C16</f>
        <v>0</v>
      </c>
      <c r="E10" s="1025">
        <f ca="1">tertiair!D16</f>
        <v>23238.710537498377</v>
      </c>
      <c r="F10" s="1025">
        <f>tertiair!E16</f>
        <v>191.93857729691015</v>
      </c>
      <c r="G10" s="1025">
        <f ca="1">tertiair!F16</f>
        <v>2648.5494058844802</v>
      </c>
      <c r="H10" s="1025">
        <f>tertiair!G16</f>
        <v>0</v>
      </c>
      <c r="I10" s="1025">
        <f>tertiair!H16</f>
        <v>0</v>
      </c>
      <c r="J10" s="1025">
        <f>tertiair!I16</f>
        <v>0</v>
      </c>
      <c r="K10" s="1025">
        <f>tertiair!J16</f>
        <v>0</v>
      </c>
      <c r="L10" s="1025">
        <f>tertiair!K16</f>
        <v>0</v>
      </c>
      <c r="M10" s="1025">
        <f ca="1">tertiair!L16</f>
        <v>0</v>
      </c>
      <c r="N10" s="1025">
        <f>tertiair!M16</f>
        <v>0</v>
      </c>
      <c r="O10" s="1025">
        <f ca="1">tertiair!N16</f>
        <v>1818.8528580166628</v>
      </c>
      <c r="P10" s="1025">
        <f>tertiair!O16</f>
        <v>0</v>
      </c>
      <c r="Q10" s="1026">
        <f>tertiair!P16</f>
        <v>0</v>
      </c>
      <c r="R10" s="701">
        <f ca="1">SUM(C10:Q10)</f>
        <v>46305.294678696424</v>
      </c>
      <c r="S10" s="67"/>
    </row>
    <row r="11" spans="1:19" s="474" customFormat="1">
      <c r="A11" s="810" t="s">
        <v>225</v>
      </c>
      <c r="B11" s="815"/>
      <c r="C11" s="1025">
        <f>huishoudens!B8</f>
        <v>40700.42991022292</v>
      </c>
      <c r="D11" s="1025">
        <f>huishoudens!C8</f>
        <v>0</v>
      </c>
      <c r="E11" s="1025">
        <f>huishoudens!D8</f>
        <v>100137.86488445199</v>
      </c>
      <c r="F11" s="1025">
        <f>huishoudens!E8</f>
        <v>2823.1535476061254</v>
      </c>
      <c r="G11" s="1025">
        <f>huishoudens!F8</f>
        <v>0</v>
      </c>
      <c r="H11" s="1025">
        <f>huishoudens!G8</f>
        <v>0</v>
      </c>
      <c r="I11" s="1025">
        <f>huishoudens!H8</f>
        <v>0</v>
      </c>
      <c r="J11" s="1025">
        <f>huishoudens!I8</f>
        <v>0</v>
      </c>
      <c r="K11" s="1025">
        <f>huishoudens!J8</f>
        <v>2908.9083043171918</v>
      </c>
      <c r="L11" s="1025">
        <f>huishoudens!K8</f>
        <v>0</v>
      </c>
      <c r="M11" s="1025">
        <f>huishoudens!L8</f>
        <v>0</v>
      </c>
      <c r="N11" s="1025">
        <f>huishoudens!M8</f>
        <v>0</v>
      </c>
      <c r="O11" s="1025">
        <f>huishoudens!N8</f>
        <v>21569.711706939896</v>
      </c>
      <c r="P11" s="1025">
        <f>huishoudens!O8</f>
        <v>193.85333333333335</v>
      </c>
      <c r="Q11" s="1026">
        <f>huishoudens!P8</f>
        <v>400.4</v>
      </c>
      <c r="R11" s="701">
        <f>SUM(C11:Q11)</f>
        <v>168734.32168687144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17858.144700000001</v>
      </c>
      <c r="D13" s="1025">
        <f>industrie!C18</f>
        <v>0</v>
      </c>
      <c r="E13" s="1025">
        <f>industrie!D18</f>
        <v>9212.6723928352658</v>
      </c>
      <c r="F13" s="1025">
        <f>industrie!E18</f>
        <v>1061.0090037168591</v>
      </c>
      <c r="G13" s="1025">
        <f>industrie!F18</f>
        <v>5550.3290296526939</v>
      </c>
      <c r="H13" s="1025">
        <f>industrie!G18</f>
        <v>0</v>
      </c>
      <c r="I13" s="1025">
        <f>industrie!H18</f>
        <v>0</v>
      </c>
      <c r="J13" s="1025">
        <f>industrie!I18</f>
        <v>0</v>
      </c>
      <c r="K13" s="1025">
        <f>industrie!J18</f>
        <v>62.541998753873742</v>
      </c>
      <c r="L13" s="1025">
        <f>industrie!K18</f>
        <v>0</v>
      </c>
      <c r="M13" s="1025">
        <f>industrie!L18</f>
        <v>0</v>
      </c>
      <c r="N13" s="1025">
        <f>industrie!M18</f>
        <v>0</v>
      </c>
      <c r="O13" s="1025">
        <f>industrie!N18</f>
        <v>3077.2370729474646</v>
      </c>
      <c r="P13" s="1025">
        <f>industrie!O18</f>
        <v>0</v>
      </c>
      <c r="Q13" s="1026">
        <f>industrie!P18</f>
        <v>0</v>
      </c>
      <c r="R13" s="701">
        <f>SUM(C13:Q13)</f>
        <v>36821.934197906157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76965.817910222919</v>
      </c>
      <c r="D16" s="733">
        <f t="shared" ref="D16:R16" ca="1" si="0">SUM(D9:D15)</f>
        <v>0</v>
      </c>
      <c r="E16" s="733">
        <f t="shared" ca="1" si="0"/>
        <v>132589.24781478563</v>
      </c>
      <c r="F16" s="733">
        <f t="shared" si="0"/>
        <v>4076.1011286198946</v>
      </c>
      <c r="G16" s="733">
        <f t="shared" ca="1" si="0"/>
        <v>8198.8784355371736</v>
      </c>
      <c r="H16" s="733">
        <f t="shared" si="0"/>
        <v>0</v>
      </c>
      <c r="I16" s="733">
        <f t="shared" si="0"/>
        <v>0</v>
      </c>
      <c r="J16" s="733">
        <f t="shared" si="0"/>
        <v>0</v>
      </c>
      <c r="K16" s="733">
        <f t="shared" si="0"/>
        <v>2971.4503030710657</v>
      </c>
      <c r="L16" s="733">
        <f t="shared" si="0"/>
        <v>0</v>
      </c>
      <c r="M16" s="733">
        <f t="shared" ca="1" si="0"/>
        <v>0</v>
      </c>
      <c r="N16" s="733">
        <f t="shared" si="0"/>
        <v>0</v>
      </c>
      <c r="O16" s="733">
        <f t="shared" ca="1" si="0"/>
        <v>26465.801637904024</v>
      </c>
      <c r="P16" s="733">
        <f t="shared" si="0"/>
        <v>193.85333333333335</v>
      </c>
      <c r="Q16" s="733">
        <f t="shared" si="0"/>
        <v>400.4</v>
      </c>
      <c r="R16" s="733">
        <f t="shared" ca="1" si="0"/>
        <v>251861.55056347401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1143.356414809555</v>
      </c>
      <c r="I19" s="1025">
        <f>transport!H54</f>
        <v>0</v>
      </c>
      <c r="J19" s="1025">
        <f>transport!I54</f>
        <v>0</v>
      </c>
      <c r="K19" s="1025">
        <f>transport!J54</f>
        <v>0</v>
      </c>
      <c r="L19" s="1025">
        <f>transport!K54</f>
        <v>0</v>
      </c>
      <c r="M19" s="1025">
        <f>transport!L54</f>
        <v>0</v>
      </c>
      <c r="N19" s="1025">
        <f>transport!M54</f>
        <v>65.20228327258846</v>
      </c>
      <c r="O19" s="1025">
        <f>transport!N54</f>
        <v>0</v>
      </c>
      <c r="P19" s="1025">
        <f>transport!O54</f>
        <v>0</v>
      </c>
      <c r="Q19" s="1026">
        <f>transport!P54</f>
        <v>0</v>
      </c>
      <c r="R19" s="701">
        <f>SUM(C19:Q19)</f>
        <v>1208.5586980821433</v>
      </c>
      <c r="S19" s="67"/>
    </row>
    <row r="20" spans="1:19" s="474" customFormat="1">
      <c r="A20" s="810" t="s">
        <v>307</v>
      </c>
      <c r="B20" s="815"/>
      <c r="C20" s="1025">
        <f>transport!B14</f>
        <v>13.378432863530081</v>
      </c>
      <c r="D20" s="1025">
        <f>transport!C14</f>
        <v>0</v>
      </c>
      <c r="E20" s="1025">
        <f>transport!D14</f>
        <v>41.201860356860053</v>
      </c>
      <c r="F20" s="1025">
        <f>transport!E14</f>
        <v>256.434122355547</v>
      </c>
      <c r="G20" s="1025">
        <f>transport!F14</f>
        <v>0</v>
      </c>
      <c r="H20" s="1025">
        <f>transport!G14</f>
        <v>69150.287312696077</v>
      </c>
      <c r="I20" s="1025">
        <f>transport!H14</f>
        <v>15418.611858161217</v>
      </c>
      <c r="J20" s="1025">
        <f>transport!I14</f>
        <v>0</v>
      </c>
      <c r="K20" s="1025">
        <f>transport!J14</f>
        <v>0</v>
      </c>
      <c r="L20" s="1025">
        <f>transport!K14</f>
        <v>0</v>
      </c>
      <c r="M20" s="1025">
        <f>transport!L14</f>
        <v>0</v>
      </c>
      <c r="N20" s="1025">
        <f>transport!M14</f>
        <v>4474.6753242235018</v>
      </c>
      <c r="O20" s="1025">
        <f>transport!N14</f>
        <v>0</v>
      </c>
      <c r="P20" s="1025">
        <f>transport!O14</f>
        <v>0</v>
      </c>
      <c r="Q20" s="1026">
        <f>transport!P14</f>
        <v>0</v>
      </c>
      <c r="R20" s="701">
        <f>SUM(C20:Q20)</f>
        <v>89354.588910656719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13.378432863530081</v>
      </c>
      <c r="D22" s="813">
        <f t="shared" ref="D22:R22" si="1">SUM(D18:D21)</f>
        <v>0</v>
      </c>
      <c r="E22" s="813">
        <f t="shared" si="1"/>
        <v>41.201860356860053</v>
      </c>
      <c r="F22" s="813">
        <f t="shared" si="1"/>
        <v>256.434122355547</v>
      </c>
      <c r="G22" s="813">
        <f t="shared" si="1"/>
        <v>0</v>
      </c>
      <c r="H22" s="813">
        <f t="shared" si="1"/>
        <v>70293.643727505638</v>
      </c>
      <c r="I22" s="813">
        <f t="shared" si="1"/>
        <v>15418.611858161217</v>
      </c>
      <c r="J22" s="813">
        <f t="shared" si="1"/>
        <v>0</v>
      </c>
      <c r="K22" s="813">
        <f t="shared" si="1"/>
        <v>0</v>
      </c>
      <c r="L22" s="813">
        <f t="shared" si="1"/>
        <v>0</v>
      </c>
      <c r="M22" s="813">
        <f t="shared" si="1"/>
        <v>0</v>
      </c>
      <c r="N22" s="813">
        <f t="shared" si="1"/>
        <v>4539.8776074960906</v>
      </c>
      <c r="O22" s="813">
        <f t="shared" si="1"/>
        <v>0</v>
      </c>
      <c r="P22" s="813">
        <f t="shared" si="1"/>
        <v>0</v>
      </c>
      <c r="Q22" s="813">
        <f t="shared" si="1"/>
        <v>0</v>
      </c>
      <c r="R22" s="813">
        <f t="shared" si="1"/>
        <v>90563.147608738858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1633.27809</v>
      </c>
      <c r="D24" s="1025">
        <f>+landbouw!C8</f>
        <v>19182.857142857145</v>
      </c>
      <c r="E24" s="1025">
        <f>+landbouw!D8</f>
        <v>0</v>
      </c>
      <c r="F24" s="1025">
        <f>+landbouw!E8</f>
        <v>15.128105749326018</v>
      </c>
      <c r="G24" s="1025">
        <f>+landbouw!F8</f>
        <v>4143.9376534868479</v>
      </c>
      <c r="H24" s="1025">
        <f>+landbouw!G8</f>
        <v>0</v>
      </c>
      <c r="I24" s="1025">
        <f>+landbouw!H8</f>
        <v>0</v>
      </c>
      <c r="J24" s="1025">
        <f>+landbouw!I8</f>
        <v>0</v>
      </c>
      <c r="K24" s="1025">
        <f>+landbouw!J8</f>
        <v>250.39975863368295</v>
      </c>
      <c r="L24" s="1025">
        <f>+landbouw!K8</f>
        <v>0</v>
      </c>
      <c r="M24" s="1025">
        <f>+landbouw!L8</f>
        <v>0</v>
      </c>
      <c r="N24" s="1025">
        <f>+landbouw!M8</f>
        <v>0</v>
      </c>
      <c r="O24" s="1025">
        <f>+landbouw!N8</f>
        <v>0</v>
      </c>
      <c r="P24" s="1025">
        <f>+landbouw!O8</f>
        <v>0</v>
      </c>
      <c r="Q24" s="1026">
        <f>+landbouw!P8</f>
        <v>0</v>
      </c>
      <c r="R24" s="701">
        <f>SUM(C24:Q24)</f>
        <v>25225.600750727004</v>
      </c>
      <c r="S24" s="67"/>
    </row>
    <row r="25" spans="1:19" s="474" customFormat="1" ht="15" thickBot="1">
      <c r="A25" s="832" t="s">
        <v>864</v>
      </c>
      <c r="B25" s="1028"/>
      <c r="C25" s="1029">
        <f>IF(Onbekend_ele_kWh="---",0,Onbekend_ele_kWh)/1000+IF(REST_rest_ele_kWh="---",0,REST_rest_ele_kWh)/1000</f>
        <v>2387.634</v>
      </c>
      <c r="D25" s="1029"/>
      <c r="E25" s="1029">
        <f>IF(onbekend_gas_kWh="---",0,onbekend_gas_kWh)/1000+IF(REST_rest_gas_kWh="---",0,REST_rest_gas_kWh)/1000</f>
        <v>3704.4749951315498</v>
      </c>
      <c r="F25" s="1029"/>
      <c r="G25" s="1029"/>
      <c r="H25" s="1029"/>
      <c r="I25" s="1029"/>
      <c r="J25" s="1029"/>
      <c r="K25" s="1029"/>
      <c r="L25" s="1029"/>
      <c r="M25" s="1029"/>
      <c r="N25" s="1029"/>
      <c r="O25" s="1029"/>
      <c r="P25" s="1029"/>
      <c r="Q25" s="1030"/>
      <c r="R25" s="701">
        <f>SUM(C25:Q25)</f>
        <v>6092.1089951315498</v>
      </c>
      <c r="S25" s="67"/>
    </row>
    <row r="26" spans="1:19" s="474" customFormat="1" ht="15.75" thickBot="1">
      <c r="A26" s="706" t="s">
        <v>865</v>
      </c>
      <c r="B26" s="818"/>
      <c r="C26" s="813">
        <f>SUM(C24:C25)</f>
        <v>4020.9120899999998</v>
      </c>
      <c r="D26" s="813">
        <f t="shared" ref="D26:R26" si="2">SUM(D24:D25)</f>
        <v>19182.857142857145</v>
      </c>
      <c r="E26" s="813">
        <f t="shared" si="2"/>
        <v>3704.4749951315498</v>
      </c>
      <c r="F26" s="813">
        <f t="shared" si="2"/>
        <v>15.128105749326018</v>
      </c>
      <c r="G26" s="813">
        <f t="shared" si="2"/>
        <v>4143.9376534868479</v>
      </c>
      <c r="H26" s="813">
        <f t="shared" si="2"/>
        <v>0</v>
      </c>
      <c r="I26" s="813">
        <f t="shared" si="2"/>
        <v>0</v>
      </c>
      <c r="J26" s="813">
        <f t="shared" si="2"/>
        <v>0</v>
      </c>
      <c r="K26" s="813">
        <f t="shared" si="2"/>
        <v>250.39975863368295</v>
      </c>
      <c r="L26" s="813">
        <f t="shared" si="2"/>
        <v>0</v>
      </c>
      <c r="M26" s="813">
        <f t="shared" si="2"/>
        <v>0</v>
      </c>
      <c r="N26" s="813">
        <f t="shared" si="2"/>
        <v>0</v>
      </c>
      <c r="O26" s="813">
        <f t="shared" si="2"/>
        <v>0</v>
      </c>
      <c r="P26" s="813">
        <f t="shared" si="2"/>
        <v>0</v>
      </c>
      <c r="Q26" s="813">
        <f t="shared" si="2"/>
        <v>0</v>
      </c>
      <c r="R26" s="813">
        <f t="shared" si="2"/>
        <v>31317.709745858556</v>
      </c>
      <c r="S26" s="67"/>
    </row>
    <row r="27" spans="1:19" s="474" customFormat="1" ht="17.25" thickTop="1" thickBot="1">
      <c r="A27" s="707" t="s">
        <v>116</v>
      </c>
      <c r="B27" s="806"/>
      <c r="C27" s="708">
        <f ca="1">C22+C16+C26</f>
        <v>81000.10843308644</v>
      </c>
      <c r="D27" s="708">
        <f t="shared" ref="D27:R27" ca="1" si="3">D22+D16+D26</f>
        <v>19182.857142857145</v>
      </c>
      <c r="E27" s="708">
        <f t="shared" ca="1" si="3"/>
        <v>136334.92467027405</v>
      </c>
      <c r="F27" s="708">
        <f t="shared" si="3"/>
        <v>4347.6633567247673</v>
      </c>
      <c r="G27" s="708">
        <f t="shared" ca="1" si="3"/>
        <v>12342.816089024021</v>
      </c>
      <c r="H27" s="708">
        <f t="shared" si="3"/>
        <v>70293.643727505638</v>
      </c>
      <c r="I27" s="708">
        <f t="shared" si="3"/>
        <v>15418.611858161217</v>
      </c>
      <c r="J27" s="708">
        <f t="shared" si="3"/>
        <v>0</v>
      </c>
      <c r="K27" s="708">
        <f t="shared" si="3"/>
        <v>3221.8500617047484</v>
      </c>
      <c r="L27" s="708">
        <f t="shared" si="3"/>
        <v>0</v>
      </c>
      <c r="M27" s="708">
        <f t="shared" ca="1" si="3"/>
        <v>0</v>
      </c>
      <c r="N27" s="708">
        <f t="shared" si="3"/>
        <v>4539.8776074960906</v>
      </c>
      <c r="O27" s="708">
        <f t="shared" ca="1" si="3"/>
        <v>26465.801637904024</v>
      </c>
      <c r="P27" s="708">
        <f t="shared" si="3"/>
        <v>193.85333333333335</v>
      </c>
      <c r="Q27" s="708">
        <f t="shared" si="3"/>
        <v>400.4</v>
      </c>
      <c r="R27" s="708">
        <f t="shared" ca="1" si="3"/>
        <v>373742.40791807143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3443.1843539013835</v>
      </c>
      <c r="D40" s="1025">
        <f ca="1">tertiair!C20</f>
        <v>0</v>
      </c>
      <c r="E40" s="1025">
        <f ca="1">tertiair!D20</f>
        <v>4694.219528574672</v>
      </c>
      <c r="F40" s="1025">
        <f>tertiair!E20</f>
        <v>43.57005704639861</v>
      </c>
      <c r="G40" s="1025">
        <f ca="1">tertiair!F20</f>
        <v>707.16269137115626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8888.1366308936103</v>
      </c>
    </row>
    <row r="41" spans="1:18">
      <c r="A41" s="823" t="s">
        <v>225</v>
      </c>
      <c r="B41" s="830"/>
      <c r="C41" s="1025">
        <f ca="1">huishoudens!B12</f>
        <v>7613.2575193342218</v>
      </c>
      <c r="D41" s="1025">
        <f ca="1">huishoudens!C12</f>
        <v>0</v>
      </c>
      <c r="E41" s="1025">
        <f>huishoudens!D12</f>
        <v>20227.848706659304</v>
      </c>
      <c r="F41" s="1025">
        <f>huishoudens!E12</f>
        <v>640.85585530659046</v>
      </c>
      <c r="G41" s="1025">
        <f>huishoudens!F12</f>
        <v>0</v>
      </c>
      <c r="H41" s="1025">
        <f>huishoudens!G12</f>
        <v>0</v>
      </c>
      <c r="I41" s="1025">
        <f>huishoudens!H12</f>
        <v>0</v>
      </c>
      <c r="J41" s="1025">
        <f>huishoudens!I12</f>
        <v>0</v>
      </c>
      <c r="K41" s="1025">
        <f>huishoudens!J12</f>
        <v>1029.7535397282859</v>
      </c>
      <c r="L41" s="1025">
        <f>huishoudens!K12</f>
        <v>0</v>
      </c>
      <c r="M41" s="1025">
        <f>huishoudens!L12</f>
        <v>0</v>
      </c>
      <c r="N41" s="1025">
        <f>huishoudens!M12</f>
        <v>0</v>
      </c>
      <c r="O41" s="1025">
        <f>huishoudens!N12</f>
        <v>0</v>
      </c>
      <c r="P41" s="1025">
        <f>huishoudens!O12</f>
        <v>0</v>
      </c>
      <c r="Q41" s="775">
        <f>huishoudens!P12</f>
        <v>0</v>
      </c>
      <c r="R41" s="851">
        <f t="shared" ca="1" si="4"/>
        <v>29511.715621028401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3340.4721944837297</v>
      </c>
      <c r="D43" s="1025">
        <f ca="1">industrie!C22</f>
        <v>0</v>
      </c>
      <c r="E43" s="1025">
        <f>industrie!D22</f>
        <v>1860.9598233527238</v>
      </c>
      <c r="F43" s="1025">
        <f>industrie!E22</f>
        <v>240.849043843727</v>
      </c>
      <c r="G43" s="1025">
        <f>industrie!F22</f>
        <v>1481.9378509172693</v>
      </c>
      <c r="H43" s="1025">
        <f>industrie!G22</f>
        <v>0</v>
      </c>
      <c r="I43" s="1025">
        <f>industrie!H22</f>
        <v>0</v>
      </c>
      <c r="J43" s="1025">
        <f>industrie!I22</f>
        <v>0</v>
      </c>
      <c r="K43" s="1025">
        <f>industrie!J22</f>
        <v>22.139867558871302</v>
      </c>
      <c r="L43" s="1025">
        <f>industrie!K22</f>
        <v>0</v>
      </c>
      <c r="M43" s="1025">
        <f>industrie!L22</f>
        <v>0</v>
      </c>
      <c r="N43" s="1025">
        <f>industrie!M22</f>
        <v>0</v>
      </c>
      <c r="O43" s="1025">
        <f>industrie!N22</f>
        <v>0</v>
      </c>
      <c r="P43" s="1025">
        <f>industrie!O22</f>
        <v>0</v>
      </c>
      <c r="Q43" s="775">
        <f>industrie!P22</f>
        <v>0</v>
      </c>
      <c r="R43" s="850">
        <f t="shared" ca="1" si="4"/>
        <v>6946.3587801563208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14396.914067719335</v>
      </c>
      <c r="D46" s="733">
        <f t="shared" ref="D46:Q46" ca="1" si="5">SUM(D39:D45)</f>
        <v>0</v>
      </c>
      <c r="E46" s="733">
        <f t="shared" ca="1" si="5"/>
        <v>26783.0280585867</v>
      </c>
      <c r="F46" s="733">
        <f t="shared" si="5"/>
        <v>925.27495619671606</v>
      </c>
      <c r="G46" s="733">
        <f t="shared" ca="1" si="5"/>
        <v>2189.1005422884255</v>
      </c>
      <c r="H46" s="733">
        <f t="shared" si="5"/>
        <v>0</v>
      </c>
      <c r="I46" s="733">
        <f t="shared" si="5"/>
        <v>0</v>
      </c>
      <c r="J46" s="733">
        <f t="shared" si="5"/>
        <v>0</v>
      </c>
      <c r="K46" s="733">
        <f t="shared" si="5"/>
        <v>1051.8934072871573</v>
      </c>
      <c r="L46" s="733">
        <f t="shared" si="5"/>
        <v>0</v>
      </c>
      <c r="M46" s="733">
        <f t="shared" ca="1" si="5"/>
        <v>0</v>
      </c>
      <c r="N46" s="733">
        <f t="shared" si="5"/>
        <v>0</v>
      </c>
      <c r="O46" s="733">
        <f t="shared" ca="1" si="5"/>
        <v>0</v>
      </c>
      <c r="P46" s="733">
        <f t="shared" si="5"/>
        <v>0</v>
      </c>
      <c r="Q46" s="733">
        <f t="shared" si="5"/>
        <v>0</v>
      </c>
      <c r="R46" s="733">
        <f ca="1">SUM(R39:R45)</f>
        <v>45346.211032078332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305.27616275415119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305.27616275415119</v>
      </c>
    </row>
    <row r="50" spans="1:18">
      <c r="A50" s="826" t="s">
        <v>307</v>
      </c>
      <c r="B50" s="836"/>
      <c r="C50" s="704">
        <f ca="1">transport!B18</f>
        <v>2.5025154481131278</v>
      </c>
      <c r="D50" s="704">
        <f>transport!C18</f>
        <v>0</v>
      </c>
      <c r="E50" s="704">
        <f>transport!D18</f>
        <v>8.3227757920857304</v>
      </c>
      <c r="F50" s="704">
        <f>transport!E18</f>
        <v>58.210545774709175</v>
      </c>
      <c r="G50" s="704">
        <f>transport!F18</f>
        <v>0</v>
      </c>
      <c r="H50" s="704">
        <f>transport!G18</f>
        <v>18463.126712489855</v>
      </c>
      <c r="I50" s="704">
        <f>transport!H18</f>
        <v>3839.2343526821433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22371.396902186905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2.5025154481131278</v>
      </c>
      <c r="D52" s="733">
        <f t="shared" ref="D52:Q52" ca="1" si="6">SUM(D48:D51)</f>
        <v>0</v>
      </c>
      <c r="E52" s="733">
        <f t="shared" si="6"/>
        <v>8.3227757920857304</v>
      </c>
      <c r="F52" s="733">
        <f t="shared" si="6"/>
        <v>58.210545774709175</v>
      </c>
      <c r="G52" s="733">
        <f t="shared" si="6"/>
        <v>0</v>
      </c>
      <c r="H52" s="733">
        <f t="shared" si="6"/>
        <v>18768.402875244006</v>
      </c>
      <c r="I52" s="733">
        <f t="shared" si="6"/>
        <v>3839.2343526821433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22676.673064941057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305.51438221376344</v>
      </c>
      <c r="D54" s="704">
        <f ca="1">+landbouw!C12</f>
        <v>4558.7495798319333</v>
      </c>
      <c r="E54" s="704">
        <f>+landbouw!D12</f>
        <v>0</v>
      </c>
      <c r="F54" s="704">
        <f>+landbouw!E12</f>
        <v>3.4340800050970062</v>
      </c>
      <c r="G54" s="704">
        <f>+landbouw!F12</f>
        <v>1106.4313534809885</v>
      </c>
      <c r="H54" s="704">
        <f>+landbouw!G12</f>
        <v>0</v>
      </c>
      <c r="I54" s="704">
        <f>+landbouw!H12</f>
        <v>0</v>
      </c>
      <c r="J54" s="704">
        <f>+landbouw!I12</f>
        <v>0</v>
      </c>
      <c r="K54" s="704">
        <f>+landbouw!J12</f>
        <v>88.641514556323756</v>
      </c>
      <c r="L54" s="704">
        <f>+landbouw!K12</f>
        <v>0</v>
      </c>
      <c r="M54" s="704">
        <f>+landbouw!L12</f>
        <v>0</v>
      </c>
      <c r="N54" s="704">
        <f>+landbouw!M12</f>
        <v>0</v>
      </c>
      <c r="O54" s="704">
        <f>+landbouw!N12</f>
        <v>0</v>
      </c>
      <c r="P54" s="704">
        <f>+landbouw!O12</f>
        <v>0</v>
      </c>
      <c r="Q54" s="705">
        <f>+landbouw!P12</f>
        <v>0</v>
      </c>
      <c r="R54" s="732">
        <f ca="1">SUM(C54:Q54)</f>
        <v>6062.7709100881057</v>
      </c>
    </row>
    <row r="55" spans="1:18" ht="15" thickBot="1">
      <c r="A55" s="826" t="s">
        <v>864</v>
      </c>
      <c r="B55" s="836"/>
      <c r="C55" s="704">
        <f ca="1">C25*'EF ele_warmte'!B12</f>
        <v>446.62114243054401</v>
      </c>
      <c r="D55" s="704"/>
      <c r="E55" s="704">
        <f>E25*EF_CO2_aardgas</f>
        <v>748.30394901657314</v>
      </c>
      <c r="F55" s="704"/>
      <c r="G55" s="704"/>
      <c r="H55" s="704"/>
      <c r="I55" s="704"/>
      <c r="J55" s="704"/>
      <c r="K55" s="704"/>
      <c r="L55" s="704"/>
      <c r="M55" s="704"/>
      <c r="N55" s="704"/>
      <c r="O55" s="704"/>
      <c r="P55" s="704"/>
      <c r="Q55" s="705"/>
      <c r="R55" s="732">
        <f ca="1">SUM(C55:Q55)</f>
        <v>1194.9250914471172</v>
      </c>
    </row>
    <row r="56" spans="1:18" ht="15.75" thickBot="1">
      <c r="A56" s="824" t="s">
        <v>865</v>
      </c>
      <c r="B56" s="837"/>
      <c r="C56" s="733">
        <f ca="1">SUM(C54:C55)</f>
        <v>752.13552464430745</v>
      </c>
      <c r="D56" s="733">
        <f t="shared" ref="D56:Q56" ca="1" si="7">SUM(D54:D55)</f>
        <v>4558.7495798319333</v>
      </c>
      <c r="E56" s="733">
        <f t="shared" si="7"/>
        <v>748.30394901657314</v>
      </c>
      <c r="F56" s="733">
        <f t="shared" si="7"/>
        <v>3.4340800050970062</v>
      </c>
      <c r="G56" s="733">
        <f t="shared" si="7"/>
        <v>1106.4313534809885</v>
      </c>
      <c r="H56" s="733">
        <f t="shared" si="7"/>
        <v>0</v>
      </c>
      <c r="I56" s="733">
        <f t="shared" si="7"/>
        <v>0</v>
      </c>
      <c r="J56" s="733">
        <f t="shared" si="7"/>
        <v>0</v>
      </c>
      <c r="K56" s="733">
        <f t="shared" si="7"/>
        <v>88.641514556323756</v>
      </c>
      <c r="L56" s="733">
        <f t="shared" si="7"/>
        <v>0</v>
      </c>
      <c r="M56" s="733">
        <f t="shared" si="7"/>
        <v>0</v>
      </c>
      <c r="N56" s="733">
        <f t="shared" si="7"/>
        <v>0</v>
      </c>
      <c r="O56" s="733">
        <f t="shared" si="7"/>
        <v>0</v>
      </c>
      <c r="P56" s="733">
        <f t="shared" si="7"/>
        <v>0</v>
      </c>
      <c r="Q56" s="734">
        <f t="shared" si="7"/>
        <v>0</v>
      </c>
      <c r="R56" s="735">
        <f ca="1">SUM(R54:R55)</f>
        <v>7257.6960015352233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15151.552107811756</v>
      </c>
      <c r="D61" s="741">
        <f t="shared" ref="D61:Q61" ca="1" si="8">D46+D52+D56</f>
        <v>4558.7495798319333</v>
      </c>
      <c r="E61" s="741">
        <f t="shared" ca="1" si="8"/>
        <v>27539.654783395359</v>
      </c>
      <c r="F61" s="741">
        <f t="shared" si="8"/>
        <v>986.9195819765223</v>
      </c>
      <c r="G61" s="741">
        <f t="shared" ca="1" si="8"/>
        <v>3295.5318957694139</v>
      </c>
      <c r="H61" s="741">
        <f t="shared" si="8"/>
        <v>18768.402875244006</v>
      </c>
      <c r="I61" s="741">
        <f t="shared" si="8"/>
        <v>3839.2343526821433</v>
      </c>
      <c r="J61" s="741">
        <f t="shared" si="8"/>
        <v>0</v>
      </c>
      <c r="K61" s="741">
        <f t="shared" si="8"/>
        <v>1140.534921843481</v>
      </c>
      <c r="L61" s="741">
        <f t="shared" si="8"/>
        <v>0</v>
      </c>
      <c r="M61" s="741">
        <f t="shared" ca="1" si="8"/>
        <v>0</v>
      </c>
      <c r="N61" s="741">
        <f t="shared" si="8"/>
        <v>0</v>
      </c>
      <c r="O61" s="741">
        <f t="shared" ca="1" si="8"/>
        <v>0</v>
      </c>
      <c r="P61" s="741">
        <f t="shared" si="8"/>
        <v>0</v>
      </c>
      <c r="Q61" s="741">
        <f t="shared" si="8"/>
        <v>0</v>
      </c>
      <c r="R61" s="741">
        <f ca="1">R46+R52+R56</f>
        <v>75280.580098554608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0.18705594845380158</v>
      </c>
      <c r="D63" s="782">
        <f t="shared" ca="1" si="9"/>
        <v>0.23764705882352941</v>
      </c>
      <c r="E63" s="1036">
        <f t="shared" ca="1" si="9"/>
        <v>0.20200000000000001</v>
      </c>
      <c r="F63" s="782">
        <f t="shared" si="9"/>
        <v>0.22700000000000004</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8058.9268886539867</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5393.6005402270312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13428</v>
      </c>
      <c r="D76" s="1046">
        <f>'lokale energieproductie'!C8</f>
        <v>15797.64705882353</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3191.1247058823533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13452.527428881018</v>
      </c>
      <c r="C78" s="756">
        <f>SUM(C72:C77)</f>
        <v>13428</v>
      </c>
      <c r="D78" s="757">
        <f t="shared" ref="D78:H78" si="10">SUM(D76:D77)</f>
        <v>15797.64705882353</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3191.1247058823533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19182.857142857145</v>
      </c>
      <c r="D87" s="778">
        <f>'lokale energieproductie'!C17</f>
        <v>22568.067226890758</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4558.7495798319333</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19182.857142857145</v>
      </c>
      <c r="D90" s="756">
        <f t="shared" ref="D90:H90" si="12">SUM(D87:D89)</f>
        <v>22568.067226890758</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4558.7495798319333</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40700.42991022292</v>
      </c>
      <c r="C4" s="478">
        <f>huishoudens!C8</f>
        <v>0</v>
      </c>
      <c r="D4" s="478">
        <f>huishoudens!D8</f>
        <v>100137.86488445199</v>
      </c>
      <c r="E4" s="478">
        <f>huishoudens!E8</f>
        <v>2823.1535476061254</v>
      </c>
      <c r="F4" s="478">
        <f>huishoudens!F8</f>
        <v>0</v>
      </c>
      <c r="G4" s="478">
        <f>huishoudens!G8</f>
        <v>0</v>
      </c>
      <c r="H4" s="478">
        <f>huishoudens!H8</f>
        <v>0</v>
      </c>
      <c r="I4" s="478">
        <f>huishoudens!I8</f>
        <v>0</v>
      </c>
      <c r="J4" s="478">
        <f>huishoudens!J8</f>
        <v>2908.9083043171918</v>
      </c>
      <c r="K4" s="478">
        <f>huishoudens!K8</f>
        <v>0</v>
      </c>
      <c r="L4" s="478">
        <f>huishoudens!L8</f>
        <v>0</v>
      </c>
      <c r="M4" s="478">
        <f>huishoudens!M8</f>
        <v>0</v>
      </c>
      <c r="N4" s="478">
        <f>huishoudens!N8</f>
        <v>21569.711706939896</v>
      </c>
      <c r="O4" s="478">
        <f>huishoudens!O8</f>
        <v>193.85333333333335</v>
      </c>
      <c r="P4" s="479">
        <f>huishoudens!P8</f>
        <v>400.4</v>
      </c>
      <c r="Q4" s="480">
        <f>SUM(B4:P4)</f>
        <v>168734.32168687144</v>
      </c>
    </row>
    <row r="5" spans="1:17">
      <c r="A5" s="477" t="s">
        <v>156</v>
      </c>
      <c r="B5" s="478">
        <f ca="1">tertiair!B16</f>
        <v>17191.026299999998</v>
      </c>
      <c r="C5" s="478">
        <f ca="1">tertiair!C16</f>
        <v>0</v>
      </c>
      <c r="D5" s="478">
        <f ca="1">tertiair!D16</f>
        <v>23238.710537498377</v>
      </c>
      <c r="E5" s="478">
        <f>tertiair!E16</f>
        <v>191.93857729691015</v>
      </c>
      <c r="F5" s="478">
        <f ca="1">tertiair!F16</f>
        <v>2648.5494058844802</v>
      </c>
      <c r="G5" s="478">
        <f>tertiair!G16</f>
        <v>0</v>
      </c>
      <c r="H5" s="478">
        <f>tertiair!H16</f>
        <v>0</v>
      </c>
      <c r="I5" s="478">
        <f>tertiair!I16</f>
        <v>0</v>
      </c>
      <c r="J5" s="478">
        <f>tertiair!J16</f>
        <v>0</v>
      </c>
      <c r="K5" s="478">
        <f>tertiair!K16</f>
        <v>0</v>
      </c>
      <c r="L5" s="478">
        <f ca="1">tertiair!L16</f>
        <v>0</v>
      </c>
      <c r="M5" s="478">
        <f>tertiair!M16</f>
        <v>0</v>
      </c>
      <c r="N5" s="478">
        <f ca="1">tertiair!N16</f>
        <v>1818.8528580166628</v>
      </c>
      <c r="O5" s="478">
        <f>tertiair!O16</f>
        <v>0</v>
      </c>
      <c r="P5" s="479">
        <f>tertiair!P16</f>
        <v>0</v>
      </c>
      <c r="Q5" s="477">
        <f t="shared" ref="Q5:Q14" ca="1" si="0">SUM(B5:P5)</f>
        <v>45089.077678696427</v>
      </c>
    </row>
    <row r="6" spans="1:17">
      <c r="A6" s="477" t="s">
        <v>194</v>
      </c>
      <c r="B6" s="478">
        <f>'openbare verlichting'!B8</f>
        <v>1216.2170000000001</v>
      </c>
      <c r="C6" s="478"/>
      <c r="D6" s="478"/>
      <c r="E6" s="478"/>
      <c r="F6" s="478"/>
      <c r="G6" s="478"/>
      <c r="H6" s="478"/>
      <c r="I6" s="478"/>
      <c r="J6" s="478"/>
      <c r="K6" s="478"/>
      <c r="L6" s="478"/>
      <c r="M6" s="478"/>
      <c r="N6" s="478"/>
      <c r="O6" s="478"/>
      <c r="P6" s="479"/>
      <c r="Q6" s="477">
        <f t="shared" si="0"/>
        <v>1216.2170000000001</v>
      </c>
    </row>
    <row r="7" spans="1:17">
      <c r="A7" s="477" t="s">
        <v>112</v>
      </c>
      <c r="B7" s="478">
        <f>landbouw!B8</f>
        <v>1633.27809</v>
      </c>
      <c r="C7" s="478">
        <f>landbouw!C8</f>
        <v>19182.857142857145</v>
      </c>
      <c r="D7" s="478">
        <f>landbouw!D8</f>
        <v>0</v>
      </c>
      <c r="E7" s="478">
        <f>landbouw!E8</f>
        <v>15.128105749326018</v>
      </c>
      <c r="F7" s="478">
        <f>landbouw!F8</f>
        <v>4143.9376534868479</v>
      </c>
      <c r="G7" s="478">
        <f>landbouw!G8</f>
        <v>0</v>
      </c>
      <c r="H7" s="478">
        <f>landbouw!H8</f>
        <v>0</v>
      </c>
      <c r="I7" s="478">
        <f>landbouw!I8</f>
        <v>0</v>
      </c>
      <c r="J7" s="478">
        <f>landbouw!J8</f>
        <v>250.39975863368295</v>
      </c>
      <c r="K7" s="478">
        <f>landbouw!K8</f>
        <v>0</v>
      </c>
      <c r="L7" s="478">
        <f>landbouw!L8</f>
        <v>0</v>
      </c>
      <c r="M7" s="478">
        <f>landbouw!M8</f>
        <v>0</v>
      </c>
      <c r="N7" s="478">
        <f>landbouw!N8</f>
        <v>0</v>
      </c>
      <c r="O7" s="478">
        <f>landbouw!O8</f>
        <v>0</v>
      </c>
      <c r="P7" s="479">
        <f>landbouw!P8</f>
        <v>0</v>
      </c>
      <c r="Q7" s="477">
        <f t="shared" si="0"/>
        <v>25225.600750727004</v>
      </c>
    </row>
    <row r="8" spans="1:17">
      <c r="A8" s="477" t="s">
        <v>650</v>
      </c>
      <c r="B8" s="478">
        <f>industrie!B18</f>
        <v>17858.144700000001</v>
      </c>
      <c r="C8" s="478">
        <f>industrie!C18</f>
        <v>0</v>
      </c>
      <c r="D8" s="478">
        <f>industrie!D18</f>
        <v>9212.6723928352658</v>
      </c>
      <c r="E8" s="478">
        <f>industrie!E18</f>
        <v>1061.0090037168591</v>
      </c>
      <c r="F8" s="478">
        <f>industrie!F18</f>
        <v>5550.3290296526939</v>
      </c>
      <c r="G8" s="478">
        <f>industrie!G18</f>
        <v>0</v>
      </c>
      <c r="H8" s="478">
        <f>industrie!H18</f>
        <v>0</v>
      </c>
      <c r="I8" s="478">
        <f>industrie!I18</f>
        <v>0</v>
      </c>
      <c r="J8" s="478">
        <f>industrie!J18</f>
        <v>62.541998753873742</v>
      </c>
      <c r="K8" s="478">
        <f>industrie!K18</f>
        <v>0</v>
      </c>
      <c r="L8" s="478">
        <f>industrie!L18</f>
        <v>0</v>
      </c>
      <c r="M8" s="478">
        <f>industrie!M18</f>
        <v>0</v>
      </c>
      <c r="N8" s="478">
        <f>industrie!N18</f>
        <v>3077.2370729474646</v>
      </c>
      <c r="O8" s="478">
        <f>industrie!O18</f>
        <v>0</v>
      </c>
      <c r="P8" s="479">
        <f>industrie!P18</f>
        <v>0</v>
      </c>
      <c r="Q8" s="477">
        <f t="shared" si="0"/>
        <v>36821.934197906157</v>
      </c>
    </row>
    <row r="9" spans="1:17" s="483" customFormat="1">
      <c r="A9" s="481" t="s">
        <v>571</v>
      </c>
      <c r="B9" s="482">
        <f>transport!B14</f>
        <v>13.378432863530081</v>
      </c>
      <c r="C9" s="482">
        <f>transport!C14</f>
        <v>0</v>
      </c>
      <c r="D9" s="482">
        <f>transport!D14</f>
        <v>41.201860356860053</v>
      </c>
      <c r="E9" s="482">
        <f>transport!E14</f>
        <v>256.434122355547</v>
      </c>
      <c r="F9" s="482">
        <f>transport!F14</f>
        <v>0</v>
      </c>
      <c r="G9" s="482">
        <f>transport!G14</f>
        <v>69150.287312696077</v>
      </c>
      <c r="H9" s="482">
        <f>transport!H14</f>
        <v>15418.611858161217</v>
      </c>
      <c r="I9" s="482">
        <f>transport!I14</f>
        <v>0</v>
      </c>
      <c r="J9" s="482">
        <f>transport!J14</f>
        <v>0</v>
      </c>
      <c r="K9" s="482">
        <f>transport!K14</f>
        <v>0</v>
      </c>
      <c r="L9" s="482">
        <f>transport!L14</f>
        <v>0</v>
      </c>
      <c r="M9" s="482">
        <f>transport!M14</f>
        <v>4474.6753242235018</v>
      </c>
      <c r="N9" s="482">
        <f>transport!N14</f>
        <v>0</v>
      </c>
      <c r="O9" s="482">
        <f>transport!O14</f>
        <v>0</v>
      </c>
      <c r="P9" s="482">
        <f>transport!P14</f>
        <v>0</v>
      </c>
      <c r="Q9" s="481">
        <f>SUM(B9:P9)</f>
        <v>89354.588910656719</v>
      </c>
    </row>
    <row r="10" spans="1:17">
      <c r="A10" s="477" t="s">
        <v>561</v>
      </c>
      <c r="B10" s="478">
        <f>transport!B54</f>
        <v>0</v>
      </c>
      <c r="C10" s="478">
        <f>transport!C54</f>
        <v>0</v>
      </c>
      <c r="D10" s="478">
        <f>transport!D54</f>
        <v>0</v>
      </c>
      <c r="E10" s="478">
        <f>transport!E54</f>
        <v>0</v>
      </c>
      <c r="F10" s="478">
        <f>transport!F54</f>
        <v>0</v>
      </c>
      <c r="G10" s="478">
        <f>transport!G54</f>
        <v>1143.356414809555</v>
      </c>
      <c r="H10" s="478">
        <f>transport!H54</f>
        <v>0</v>
      </c>
      <c r="I10" s="478">
        <f>transport!I54</f>
        <v>0</v>
      </c>
      <c r="J10" s="478">
        <f>transport!J54</f>
        <v>0</v>
      </c>
      <c r="K10" s="478">
        <f>transport!K54</f>
        <v>0</v>
      </c>
      <c r="L10" s="478">
        <f>transport!L54</f>
        <v>0</v>
      </c>
      <c r="M10" s="478">
        <f>transport!M54</f>
        <v>65.20228327258846</v>
      </c>
      <c r="N10" s="478">
        <f>transport!N54</f>
        <v>0</v>
      </c>
      <c r="O10" s="478">
        <f>transport!O54</f>
        <v>0</v>
      </c>
      <c r="P10" s="479">
        <f>transport!P54</f>
        <v>0</v>
      </c>
      <c r="Q10" s="477">
        <f t="shared" si="0"/>
        <v>1208.5586980821433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2387.634</v>
      </c>
      <c r="C14" s="485"/>
      <c r="D14" s="485">
        <f>'SEAP template'!E25</f>
        <v>3704.4749951315498</v>
      </c>
      <c r="E14" s="485"/>
      <c r="F14" s="485"/>
      <c r="G14" s="485"/>
      <c r="H14" s="485"/>
      <c r="I14" s="485"/>
      <c r="J14" s="485"/>
      <c r="K14" s="485"/>
      <c r="L14" s="485"/>
      <c r="M14" s="485"/>
      <c r="N14" s="485"/>
      <c r="O14" s="485"/>
      <c r="P14" s="486"/>
      <c r="Q14" s="477">
        <f t="shared" si="0"/>
        <v>6092.1089951315498</v>
      </c>
    </row>
    <row r="15" spans="1:17" s="487" customFormat="1">
      <c r="A15" s="1051" t="s">
        <v>565</v>
      </c>
      <c r="B15" s="991">
        <f ca="1">SUM(B4:B14)</f>
        <v>81000.10843308644</v>
      </c>
      <c r="C15" s="991">
        <f t="shared" ref="C15:Q15" ca="1" si="1">SUM(C4:C14)</f>
        <v>19182.857142857145</v>
      </c>
      <c r="D15" s="991">
        <f t="shared" ca="1" si="1"/>
        <v>136334.92467027405</v>
      </c>
      <c r="E15" s="991">
        <f t="shared" si="1"/>
        <v>4347.6633567247673</v>
      </c>
      <c r="F15" s="991">
        <f t="shared" ca="1" si="1"/>
        <v>12342.816089024021</v>
      </c>
      <c r="G15" s="991">
        <f t="shared" si="1"/>
        <v>70293.643727505638</v>
      </c>
      <c r="H15" s="991">
        <f t="shared" si="1"/>
        <v>15418.611858161217</v>
      </c>
      <c r="I15" s="991">
        <f t="shared" si="1"/>
        <v>0</v>
      </c>
      <c r="J15" s="991">
        <f t="shared" si="1"/>
        <v>3221.8500617047489</v>
      </c>
      <c r="K15" s="991">
        <f t="shared" si="1"/>
        <v>0</v>
      </c>
      <c r="L15" s="991">
        <f t="shared" ca="1" si="1"/>
        <v>0</v>
      </c>
      <c r="M15" s="991">
        <f t="shared" si="1"/>
        <v>4539.8776074960906</v>
      </c>
      <c r="N15" s="991">
        <f t="shared" ca="1" si="1"/>
        <v>26465.801637904024</v>
      </c>
      <c r="O15" s="991">
        <f t="shared" si="1"/>
        <v>193.85333333333335</v>
      </c>
      <c r="P15" s="991">
        <f t="shared" si="1"/>
        <v>400.4</v>
      </c>
      <c r="Q15" s="991">
        <f t="shared" ca="1" si="1"/>
        <v>373742.40791807143</v>
      </c>
    </row>
    <row r="17" spans="1:17">
      <c r="A17" s="488" t="s">
        <v>566</v>
      </c>
      <c r="B17" s="787">
        <f ca="1">huishoudens!B10</f>
        <v>0.18705594845380155</v>
      </c>
      <c r="C17" s="787">
        <f ca="1">huishoudens!C10</f>
        <v>0.23764705882352941</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7613.2575193342218</v>
      </c>
      <c r="C22" s="478">
        <f t="shared" ref="C22:C32" ca="1" si="3">C4*$C$17</f>
        <v>0</v>
      </c>
      <c r="D22" s="478">
        <f t="shared" ref="D22:D32" si="4">D4*$D$17</f>
        <v>20227.848706659304</v>
      </c>
      <c r="E22" s="478">
        <f t="shared" ref="E22:E32" si="5">E4*$E$17</f>
        <v>640.85585530659046</v>
      </c>
      <c r="F22" s="478">
        <f t="shared" ref="F22:F32" si="6">F4*$F$17</f>
        <v>0</v>
      </c>
      <c r="G22" s="478">
        <f t="shared" ref="G22:G32" si="7">G4*$G$17</f>
        <v>0</v>
      </c>
      <c r="H22" s="478">
        <f t="shared" ref="H22:H32" si="8">H4*$H$17</f>
        <v>0</v>
      </c>
      <c r="I22" s="478">
        <f t="shared" ref="I22:I32" si="9">I4*$I$17</f>
        <v>0</v>
      </c>
      <c r="J22" s="478">
        <f t="shared" ref="J22:J32" si="10">J4*$J$17</f>
        <v>1029.7535397282859</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29511.715621028401</v>
      </c>
    </row>
    <row r="23" spans="1:17">
      <c r="A23" s="477" t="s">
        <v>156</v>
      </c>
      <c r="B23" s="478">
        <f t="shared" ca="1" si="2"/>
        <v>3215.6837294407464</v>
      </c>
      <c r="C23" s="478">
        <f t="shared" ca="1" si="3"/>
        <v>0</v>
      </c>
      <c r="D23" s="478">
        <f t="shared" ca="1" si="4"/>
        <v>4694.219528574672</v>
      </c>
      <c r="E23" s="478">
        <f t="shared" si="5"/>
        <v>43.57005704639861</v>
      </c>
      <c r="F23" s="478">
        <f t="shared" ca="1" si="6"/>
        <v>707.16269137115626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8660.6360064329729</v>
      </c>
    </row>
    <row r="24" spans="1:17">
      <c r="A24" s="477" t="s">
        <v>194</v>
      </c>
      <c r="B24" s="478">
        <f t="shared" ca="1" si="2"/>
        <v>227.50062446063717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227.50062446063717</v>
      </c>
    </row>
    <row r="25" spans="1:17">
      <c r="A25" s="477" t="s">
        <v>112</v>
      </c>
      <c r="B25" s="478">
        <f t="shared" ca="1" si="2"/>
        <v>305.51438221376344</v>
      </c>
      <c r="C25" s="478">
        <f t="shared" ca="1" si="3"/>
        <v>4558.7495798319333</v>
      </c>
      <c r="D25" s="478">
        <f t="shared" si="4"/>
        <v>0</v>
      </c>
      <c r="E25" s="478">
        <f t="shared" si="5"/>
        <v>3.4340800050970062</v>
      </c>
      <c r="F25" s="478">
        <f t="shared" si="6"/>
        <v>1106.4313534809885</v>
      </c>
      <c r="G25" s="478">
        <f t="shared" si="7"/>
        <v>0</v>
      </c>
      <c r="H25" s="478">
        <f t="shared" si="8"/>
        <v>0</v>
      </c>
      <c r="I25" s="478">
        <f t="shared" si="9"/>
        <v>0</v>
      </c>
      <c r="J25" s="478">
        <f t="shared" si="10"/>
        <v>88.641514556323756</v>
      </c>
      <c r="K25" s="478">
        <f t="shared" si="11"/>
        <v>0</v>
      </c>
      <c r="L25" s="478">
        <f t="shared" si="12"/>
        <v>0</v>
      </c>
      <c r="M25" s="478">
        <f t="shared" si="13"/>
        <v>0</v>
      </c>
      <c r="N25" s="478">
        <f t="shared" si="14"/>
        <v>0</v>
      </c>
      <c r="O25" s="478">
        <f t="shared" si="15"/>
        <v>0</v>
      </c>
      <c r="P25" s="479">
        <f t="shared" si="16"/>
        <v>0</v>
      </c>
      <c r="Q25" s="477">
        <f t="shared" ca="1" si="17"/>
        <v>6062.7709100881057</v>
      </c>
    </row>
    <row r="26" spans="1:17">
      <c r="A26" s="477" t="s">
        <v>650</v>
      </c>
      <c r="B26" s="478">
        <f t="shared" ca="1" si="2"/>
        <v>3340.4721944837297</v>
      </c>
      <c r="C26" s="478">
        <f t="shared" ca="1" si="3"/>
        <v>0</v>
      </c>
      <c r="D26" s="478">
        <f t="shared" si="4"/>
        <v>1860.9598233527238</v>
      </c>
      <c r="E26" s="478">
        <f t="shared" si="5"/>
        <v>240.849043843727</v>
      </c>
      <c r="F26" s="478">
        <f t="shared" si="6"/>
        <v>1481.9378509172693</v>
      </c>
      <c r="G26" s="478">
        <f t="shared" si="7"/>
        <v>0</v>
      </c>
      <c r="H26" s="478">
        <f t="shared" si="8"/>
        <v>0</v>
      </c>
      <c r="I26" s="478">
        <f t="shared" si="9"/>
        <v>0</v>
      </c>
      <c r="J26" s="478">
        <f t="shared" si="10"/>
        <v>22.139867558871302</v>
      </c>
      <c r="K26" s="478">
        <f t="shared" si="11"/>
        <v>0</v>
      </c>
      <c r="L26" s="478">
        <f t="shared" si="12"/>
        <v>0</v>
      </c>
      <c r="M26" s="478">
        <f t="shared" si="13"/>
        <v>0</v>
      </c>
      <c r="N26" s="478">
        <f t="shared" si="14"/>
        <v>0</v>
      </c>
      <c r="O26" s="478">
        <f t="shared" si="15"/>
        <v>0</v>
      </c>
      <c r="P26" s="479">
        <f t="shared" si="16"/>
        <v>0</v>
      </c>
      <c r="Q26" s="477">
        <f t="shared" ca="1" si="17"/>
        <v>6946.3587801563208</v>
      </c>
    </row>
    <row r="27" spans="1:17" s="483" customFormat="1">
      <c r="A27" s="481" t="s">
        <v>571</v>
      </c>
      <c r="B27" s="781">
        <f t="shared" ca="1" si="2"/>
        <v>2.5025154481131278</v>
      </c>
      <c r="C27" s="482">
        <f t="shared" ca="1" si="3"/>
        <v>0</v>
      </c>
      <c r="D27" s="482">
        <f t="shared" si="4"/>
        <v>8.3227757920857304</v>
      </c>
      <c r="E27" s="482">
        <f t="shared" si="5"/>
        <v>58.210545774709175</v>
      </c>
      <c r="F27" s="482">
        <f t="shared" si="6"/>
        <v>0</v>
      </c>
      <c r="G27" s="482">
        <f t="shared" si="7"/>
        <v>18463.126712489855</v>
      </c>
      <c r="H27" s="482">
        <f t="shared" si="8"/>
        <v>3839.2343526821433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22371.396902186905</v>
      </c>
    </row>
    <row r="28" spans="1:17">
      <c r="A28" s="477" t="s">
        <v>561</v>
      </c>
      <c r="B28" s="478">
        <f t="shared" ca="1" si="2"/>
        <v>0</v>
      </c>
      <c r="C28" s="478">
        <f t="shared" ca="1" si="3"/>
        <v>0</v>
      </c>
      <c r="D28" s="478">
        <f t="shared" si="4"/>
        <v>0</v>
      </c>
      <c r="E28" s="478">
        <f t="shared" si="5"/>
        <v>0</v>
      </c>
      <c r="F28" s="478">
        <f t="shared" si="6"/>
        <v>0</v>
      </c>
      <c r="G28" s="478">
        <f t="shared" si="7"/>
        <v>305.27616275415119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305.27616275415119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446.62114243054401</v>
      </c>
      <c r="C32" s="478">
        <f t="shared" ca="1" si="3"/>
        <v>0</v>
      </c>
      <c r="D32" s="478">
        <f t="shared" si="4"/>
        <v>748.30394901657314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1194.9250914471172</v>
      </c>
    </row>
    <row r="33" spans="1:17" s="487" customFormat="1">
      <c r="A33" s="1051" t="s">
        <v>565</v>
      </c>
      <c r="B33" s="991">
        <f ca="1">SUM(B22:B32)</f>
        <v>15151.552107811756</v>
      </c>
      <c r="C33" s="991">
        <f t="shared" ref="C33:Q33" ca="1" si="18">SUM(C22:C32)</f>
        <v>4558.7495798319333</v>
      </c>
      <c r="D33" s="991">
        <f t="shared" ca="1" si="18"/>
        <v>27539.654783395359</v>
      </c>
      <c r="E33" s="991">
        <f t="shared" si="18"/>
        <v>986.9195819765223</v>
      </c>
      <c r="F33" s="991">
        <f t="shared" ca="1" si="18"/>
        <v>3295.5318957694139</v>
      </c>
      <c r="G33" s="991">
        <f t="shared" si="18"/>
        <v>18768.402875244006</v>
      </c>
      <c r="H33" s="991">
        <f t="shared" si="18"/>
        <v>3839.2343526821433</v>
      </c>
      <c r="I33" s="991">
        <f t="shared" si="18"/>
        <v>0</v>
      </c>
      <c r="J33" s="991">
        <f t="shared" si="18"/>
        <v>1140.534921843481</v>
      </c>
      <c r="K33" s="991">
        <f t="shared" si="18"/>
        <v>0</v>
      </c>
      <c r="L33" s="991">
        <f t="shared" ca="1" si="18"/>
        <v>0</v>
      </c>
      <c r="M33" s="991">
        <f t="shared" si="18"/>
        <v>0</v>
      </c>
      <c r="N33" s="991">
        <f t="shared" ca="1" si="18"/>
        <v>0</v>
      </c>
      <c r="O33" s="991">
        <f t="shared" si="18"/>
        <v>0</v>
      </c>
      <c r="P33" s="991">
        <f t="shared" si="18"/>
        <v>0</v>
      </c>
      <c r="Q33" s="991">
        <f t="shared" ca="1" si="18"/>
        <v>75280.580098554608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8058.9268886539867</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5393.6005402270312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13428</v>
      </c>
      <c r="D8" s="1068">
        <f>'SEAP template'!D76</f>
        <v>15797.64705882353</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3191.1247058823533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13452.527428881018</v>
      </c>
      <c r="C10" s="1072">
        <f>SUM(C4:C9)</f>
        <v>13428</v>
      </c>
      <c r="D10" s="1072">
        <f t="shared" ref="D10:H10" si="0">SUM(D8:D9)</f>
        <v>15797.64705882353</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3191.1247058823533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0.18705594845380155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19182.857142857145</v>
      </c>
      <c r="D17" s="1069">
        <f>'SEAP template'!D87</f>
        <v>22568.067226890758</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4558.7495798319333</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19182.857142857145</v>
      </c>
      <c r="D20" s="1072">
        <f t="shared" ref="D20:H20" si="2">SUM(D17:D19)</f>
        <v>22568.067226890758</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4558.7495798319333</v>
      </c>
    </row>
    <row r="22" spans="1:16">
      <c r="A22" s="488" t="s">
        <v>888</v>
      </c>
      <c r="B22" s="787" t="s">
        <v>882</v>
      </c>
      <c r="C22" s="78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0.18705594845380155</v>
      </c>
      <c r="C17" s="525">
        <f ca="1">'EF ele_warmte'!B22</f>
        <v>0.23764705882352941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0.18705594845380155</v>
      </c>
      <c r="C17" s="525">
        <f ca="1">'EF ele_warmte'!B22</f>
        <v>0.23764705882352941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0.18705594845380155</v>
      </c>
      <c r="C29" s="526">
        <f ca="1">'EF ele_warmte'!B22</f>
        <v>0.23764705882352941</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10201</v>
      </c>
      <c r="C9" s="342">
        <v>10562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1611</v>
      </c>
    </row>
    <row r="15" spans="1:6">
      <c r="A15" s="348" t="s">
        <v>184</v>
      </c>
      <c r="B15" s="334">
        <v>17</v>
      </c>
    </row>
    <row r="16" spans="1:6">
      <c r="A16" s="348" t="s">
        <v>6</v>
      </c>
      <c r="B16" s="334">
        <v>627</v>
      </c>
    </row>
    <row r="17" spans="1:6">
      <c r="A17" s="348" t="s">
        <v>7</v>
      </c>
      <c r="B17" s="334">
        <v>560</v>
      </c>
    </row>
    <row r="18" spans="1:6">
      <c r="A18" s="348" t="s">
        <v>8</v>
      </c>
      <c r="B18" s="334">
        <v>796</v>
      </c>
    </row>
    <row r="19" spans="1:6">
      <c r="A19" s="348" t="s">
        <v>9</v>
      </c>
      <c r="B19" s="334">
        <v>817</v>
      </c>
    </row>
    <row r="20" spans="1:6">
      <c r="A20" s="348" t="s">
        <v>10</v>
      </c>
      <c r="B20" s="334">
        <v>557</v>
      </c>
    </row>
    <row r="21" spans="1:6">
      <c r="A21" s="348" t="s">
        <v>11</v>
      </c>
      <c r="B21" s="334">
        <v>232</v>
      </c>
    </row>
    <row r="22" spans="1:6">
      <c r="A22" s="348" t="s">
        <v>12</v>
      </c>
      <c r="B22" s="334">
        <v>8746</v>
      </c>
    </row>
    <row r="23" spans="1:6">
      <c r="A23" s="348" t="s">
        <v>13</v>
      </c>
      <c r="B23" s="334">
        <v>19</v>
      </c>
    </row>
    <row r="24" spans="1:6">
      <c r="A24" s="348" t="s">
        <v>14</v>
      </c>
      <c r="B24" s="334">
        <v>1</v>
      </c>
    </row>
    <row r="25" spans="1:6">
      <c r="A25" s="348" t="s">
        <v>15</v>
      </c>
      <c r="B25" s="334">
        <v>77</v>
      </c>
    </row>
    <row r="26" spans="1:6">
      <c r="A26" s="348" t="s">
        <v>16</v>
      </c>
      <c r="B26" s="334">
        <v>75</v>
      </c>
    </row>
    <row r="27" spans="1:6">
      <c r="A27" s="348" t="s">
        <v>17</v>
      </c>
      <c r="B27" s="334">
        <v>5</v>
      </c>
    </row>
    <row r="28" spans="1:6" s="356" customFormat="1">
      <c r="A28" s="355" t="s">
        <v>18</v>
      </c>
      <c r="B28" s="355">
        <v>0</v>
      </c>
    </row>
    <row r="29" spans="1:6">
      <c r="A29" s="355" t="s">
        <v>901</v>
      </c>
      <c r="B29" s="355">
        <v>196</v>
      </c>
      <c r="C29" s="356"/>
      <c r="D29" s="356"/>
      <c r="E29" s="356"/>
      <c r="F29" s="356"/>
    </row>
    <row r="30" spans="1:6">
      <c r="A30" s="341" t="s">
        <v>902</v>
      </c>
      <c r="B30" s="341">
        <v>103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21348.41</v>
      </c>
    </row>
    <row r="39" spans="1:6">
      <c r="A39" s="348" t="s">
        <v>30</v>
      </c>
      <c r="B39" s="348" t="s">
        <v>31</v>
      </c>
      <c r="C39" s="334">
        <v>7977</v>
      </c>
      <c r="D39" s="334">
        <v>111017588.563694</v>
      </c>
      <c r="E39" s="334">
        <v>10131</v>
      </c>
      <c r="F39" s="334">
        <v>36755064</v>
      </c>
    </row>
    <row r="40" spans="1:6">
      <c r="A40" s="348" t="s">
        <v>30</v>
      </c>
      <c r="B40" s="348" t="s">
        <v>29</v>
      </c>
      <c r="C40" s="334">
        <v>0</v>
      </c>
      <c r="D40" s="334">
        <v>0</v>
      </c>
      <c r="E40" s="334">
        <v>0</v>
      </c>
      <c r="F40" s="334">
        <v>0</v>
      </c>
    </row>
    <row r="41" spans="1:6">
      <c r="A41" s="348" t="s">
        <v>32</v>
      </c>
      <c r="B41" s="348" t="s">
        <v>33</v>
      </c>
      <c r="C41" s="334">
        <v>107</v>
      </c>
      <c r="D41" s="334">
        <v>1899612.56837877</v>
      </c>
      <c r="E41" s="334">
        <v>214</v>
      </c>
      <c r="F41" s="334">
        <v>1572446</v>
      </c>
    </row>
    <row r="42" spans="1:6">
      <c r="A42" s="348" t="s">
        <v>32</v>
      </c>
      <c r="B42" s="348" t="s">
        <v>34</v>
      </c>
      <c r="C42" s="334">
        <v>3</v>
      </c>
      <c r="D42" s="334">
        <v>213240.05192077099</v>
      </c>
      <c r="E42" s="334">
        <v>3</v>
      </c>
      <c r="F42" s="334">
        <v>101937.5</v>
      </c>
    </row>
    <row r="43" spans="1:6">
      <c r="A43" s="348" t="s">
        <v>32</v>
      </c>
      <c r="B43" s="348" t="s">
        <v>35</v>
      </c>
      <c r="C43" s="334">
        <v>0</v>
      </c>
      <c r="D43" s="334">
        <v>0</v>
      </c>
      <c r="E43" s="334">
        <v>0</v>
      </c>
      <c r="F43" s="334">
        <v>0</v>
      </c>
    </row>
    <row r="44" spans="1:6">
      <c r="A44" s="348" t="s">
        <v>32</v>
      </c>
      <c r="B44" s="348" t="s">
        <v>36</v>
      </c>
      <c r="C44" s="334">
        <v>8</v>
      </c>
      <c r="D44" s="334">
        <v>199837.52230767399</v>
      </c>
      <c r="E44" s="334">
        <v>28</v>
      </c>
      <c r="F44" s="334">
        <v>1367055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94152</v>
      </c>
    </row>
    <row r="48" spans="1:6">
      <c r="A48" s="348" t="s">
        <v>32</v>
      </c>
      <c r="B48" s="348" t="s">
        <v>29</v>
      </c>
      <c r="C48" s="334">
        <v>32</v>
      </c>
      <c r="D48" s="334">
        <v>7211661.4689116199</v>
      </c>
      <c r="E48" s="334">
        <v>40</v>
      </c>
      <c r="F48" s="334">
        <v>11409869</v>
      </c>
    </row>
    <row r="49" spans="1:6">
      <c r="A49" s="348" t="s">
        <v>32</v>
      </c>
      <c r="B49" s="348" t="s">
        <v>40</v>
      </c>
      <c r="C49" s="334">
        <v>3</v>
      </c>
      <c r="D49" s="334">
        <v>150284.98360079399</v>
      </c>
      <c r="E49" s="334">
        <v>8</v>
      </c>
      <c r="F49" s="334">
        <v>2699571</v>
      </c>
    </row>
    <row r="50" spans="1:6">
      <c r="A50" s="348" t="s">
        <v>32</v>
      </c>
      <c r="B50" s="348" t="s">
        <v>41</v>
      </c>
      <c r="C50" s="334">
        <v>10</v>
      </c>
      <c r="D50" s="334">
        <v>538969.16190394806</v>
      </c>
      <c r="E50" s="334">
        <v>17</v>
      </c>
      <c r="F50" s="334">
        <v>613114.19999999995</v>
      </c>
    </row>
    <row r="51" spans="1:6">
      <c r="A51" s="348" t="s">
        <v>42</v>
      </c>
      <c r="B51" s="348" t="s">
        <v>43</v>
      </c>
      <c r="C51" s="334">
        <v>19</v>
      </c>
      <c r="D51" s="334">
        <v>23047681.706825301</v>
      </c>
      <c r="E51" s="334">
        <v>102</v>
      </c>
      <c r="F51" s="334">
        <v>1616451</v>
      </c>
    </row>
    <row r="52" spans="1:6">
      <c r="A52" s="348" t="s">
        <v>42</v>
      </c>
      <c r="B52" s="348" t="s">
        <v>29</v>
      </c>
      <c r="C52" s="334">
        <v>3</v>
      </c>
      <c r="D52" s="334">
        <v>34413.450004871796</v>
      </c>
      <c r="E52" s="334">
        <v>2</v>
      </c>
      <c r="F52" s="334">
        <v>16827.09</v>
      </c>
    </row>
    <row r="53" spans="1:6">
      <c r="A53" s="348" t="s">
        <v>44</v>
      </c>
      <c r="B53" s="348" t="s">
        <v>45</v>
      </c>
      <c r="C53" s="334">
        <v>174</v>
      </c>
      <c r="D53" s="334">
        <v>3704474.9951315499</v>
      </c>
      <c r="E53" s="334">
        <v>336</v>
      </c>
      <c r="F53" s="334">
        <v>2387634</v>
      </c>
    </row>
    <row r="54" spans="1:6">
      <c r="A54" s="348" t="s">
        <v>46</v>
      </c>
      <c r="B54" s="348" t="s">
        <v>47</v>
      </c>
      <c r="C54" s="334">
        <v>0</v>
      </c>
      <c r="D54" s="334">
        <v>0</v>
      </c>
      <c r="E54" s="334">
        <v>1</v>
      </c>
      <c r="F54" s="334">
        <v>1216217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1617494.16484918</v>
      </c>
      <c r="E57" s="334">
        <v>74</v>
      </c>
      <c r="F57" s="334">
        <v>2206450</v>
      </c>
    </row>
    <row r="58" spans="1:6">
      <c r="A58" s="348" t="s">
        <v>49</v>
      </c>
      <c r="B58" s="348" t="s">
        <v>51</v>
      </c>
      <c r="C58" s="334">
        <v>33</v>
      </c>
      <c r="D58" s="334">
        <v>1386944.59012071</v>
      </c>
      <c r="E58" s="334">
        <v>51</v>
      </c>
      <c r="F58" s="334">
        <v>570590.69999999995</v>
      </c>
    </row>
    <row r="59" spans="1:6">
      <c r="A59" s="348" t="s">
        <v>49</v>
      </c>
      <c r="B59" s="348" t="s">
        <v>52</v>
      </c>
      <c r="C59" s="334">
        <v>145</v>
      </c>
      <c r="D59" s="334">
        <v>4616862.4407068202</v>
      </c>
      <c r="E59" s="334">
        <v>265</v>
      </c>
      <c r="F59" s="334">
        <v>6522121</v>
      </c>
    </row>
    <row r="60" spans="1:6">
      <c r="A60" s="348" t="s">
        <v>49</v>
      </c>
      <c r="B60" s="348" t="s">
        <v>53</v>
      </c>
      <c r="C60" s="334">
        <v>82</v>
      </c>
      <c r="D60" s="334">
        <v>2617084.7214105702</v>
      </c>
      <c r="E60" s="334">
        <v>99</v>
      </c>
      <c r="F60" s="334">
        <v>2037948</v>
      </c>
    </row>
    <row r="61" spans="1:6">
      <c r="A61" s="348" t="s">
        <v>49</v>
      </c>
      <c r="B61" s="348" t="s">
        <v>54</v>
      </c>
      <c r="C61" s="334">
        <v>229</v>
      </c>
      <c r="D61" s="334">
        <v>8663759.2631122898</v>
      </c>
      <c r="E61" s="334">
        <v>404</v>
      </c>
      <c r="F61" s="334">
        <v>3343280</v>
      </c>
    </row>
    <row r="62" spans="1:6">
      <c r="A62" s="348" t="s">
        <v>49</v>
      </c>
      <c r="B62" s="348" t="s">
        <v>55</v>
      </c>
      <c r="C62" s="334">
        <v>18</v>
      </c>
      <c r="D62" s="334">
        <v>1704023.37930586</v>
      </c>
      <c r="E62" s="334">
        <v>23</v>
      </c>
      <c r="F62" s="334">
        <v>486552.6</v>
      </c>
    </row>
    <row r="63" spans="1:6">
      <c r="A63" s="348" t="s">
        <v>49</v>
      </c>
      <c r="B63" s="348" t="s">
        <v>29</v>
      </c>
      <c r="C63" s="334">
        <v>86</v>
      </c>
      <c r="D63" s="334">
        <v>5157368.62175663</v>
      </c>
      <c r="E63" s="334">
        <v>98</v>
      </c>
      <c r="F63" s="334">
        <v>2024084</v>
      </c>
    </row>
    <row r="64" spans="1:6">
      <c r="A64" s="348" t="s">
        <v>56</v>
      </c>
      <c r="B64" s="348" t="s">
        <v>57</v>
      </c>
      <c r="C64" s="334">
        <v>0</v>
      </c>
      <c r="D64" s="334">
        <v>0</v>
      </c>
      <c r="E64" s="334">
        <v>0</v>
      </c>
      <c r="F64" s="334">
        <v>0</v>
      </c>
    </row>
    <row r="65" spans="1:6">
      <c r="A65" s="348" t="s">
        <v>56</v>
      </c>
      <c r="B65" s="348" t="s">
        <v>29</v>
      </c>
      <c r="C65" s="334">
        <v>1</v>
      </c>
      <c r="D65" s="334">
        <v>0</v>
      </c>
      <c r="E65" s="334">
        <v>1</v>
      </c>
      <c r="F65" s="334">
        <v>2258.0140000000001</v>
      </c>
    </row>
    <row r="66" spans="1:6">
      <c r="A66" s="348" t="s">
        <v>56</v>
      </c>
      <c r="B66" s="348" t="s">
        <v>58</v>
      </c>
      <c r="C66" s="334">
        <v>0</v>
      </c>
      <c r="D66" s="334">
        <v>0</v>
      </c>
      <c r="E66" s="334">
        <v>8</v>
      </c>
      <c r="F66" s="334">
        <v>193591.3</v>
      </c>
    </row>
    <row r="67" spans="1:6">
      <c r="A67" s="355" t="s">
        <v>56</v>
      </c>
      <c r="B67" s="355" t="s">
        <v>59</v>
      </c>
      <c r="C67" s="334">
        <v>0</v>
      </c>
      <c r="D67" s="334">
        <v>0</v>
      </c>
      <c r="E67" s="334">
        <v>0</v>
      </c>
      <c r="F67" s="334">
        <v>0</v>
      </c>
    </row>
    <row r="68" spans="1:6">
      <c r="A68" s="341" t="s">
        <v>56</v>
      </c>
      <c r="B68" s="341" t="s">
        <v>60</v>
      </c>
      <c r="C68" s="334">
        <v>12</v>
      </c>
      <c r="D68" s="334">
        <v>560979.58081938396</v>
      </c>
      <c r="E68" s="334">
        <v>23</v>
      </c>
      <c r="F68" s="334">
        <v>431779.7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55529081</v>
      </c>
      <c r="E73" s="476">
        <v>59315517.856431045</v>
      </c>
    </row>
    <row r="74" spans="1:6">
      <c r="A74" s="348" t="s">
        <v>64</v>
      </c>
      <c r="B74" s="348" t="s">
        <v>714</v>
      </c>
      <c r="C74" s="1311" t="s">
        <v>716</v>
      </c>
      <c r="D74" s="476">
        <v>6036523.1310401885</v>
      </c>
      <c r="E74" s="476">
        <v>6213001.093270598</v>
      </c>
    </row>
    <row r="75" spans="1:6">
      <c r="A75" s="348" t="s">
        <v>65</v>
      </c>
      <c r="B75" s="348" t="s">
        <v>713</v>
      </c>
      <c r="C75" s="1311" t="s">
        <v>717</v>
      </c>
      <c r="D75" s="476">
        <v>42085579</v>
      </c>
      <c r="E75" s="476">
        <v>44926257.275565103</v>
      </c>
    </row>
    <row r="76" spans="1:6">
      <c r="A76" s="348" t="s">
        <v>65</v>
      </c>
      <c r="B76" s="348" t="s">
        <v>714</v>
      </c>
      <c r="C76" s="1311" t="s">
        <v>718</v>
      </c>
      <c r="D76" s="476">
        <v>652155.13104018802</v>
      </c>
      <c r="E76" s="476">
        <v>669407.18074843555</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322955.73791962391</v>
      </c>
      <c r="C83" s="476">
        <v>327675.98415258946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8058.9268886539867</v>
      </c>
    </row>
    <row r="91" spans="1:6">
      <c r="A91" s="348" t="s">
        <v>68</v>
      </c>
      <c r="B91" s="334">
        <v>3945.365910222923</v>
      </c>
    </row>
    <row r="92" spans="1:6">
      <c r="A92" s="341" t="s">
        <v>69</v>
      </c>
      <c r="B92" s="342">
        <v>1448.2346300041079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5114</v>
      </c>
    </row>
    <row r="98" spans="1:6">
      <c r="A98" s="348" t="s">
        <v>72</v>
      </c>
      <c r="B98" s="334">
        <v>0</v>
      </c>
    </row>
    <row r="99" spans="1:6">
      <c r="A99" s="348" t="s">
        <v>73</v>
      </c>
      <c r="B99" s="334">
        <v>68</v>
      </c>
    </row>
    <row r="100" spans="1:6">
      <c r="A100" s="348" t="s">
        <v>74</v>
      </c>
      <c r="B100" s="334">
        <v>557</v>
      </c>
    </row>
    <row r="101" spans="1:6">
      <c r="A101" s="348" t="s">
        <v>75</v>
      </c>
      <c r="B101" s="334">
        <v>137</v>
      </c>
    </row>
    <row r="102" spans="1:6">
      <c r="A102" s="348" t="s">
        <v>76</v>
      </c>
      <c r="B102" s="334">
        <v>190</v>
      </c>
    </row>
    <row r="103" spans="1:6">
      <c r="A103" s="348" t="s">
        <v>77</v>
      </c>
      <c r="B103" s="334">
        <v>369</v>
      </c>
    </row>
    <row r="104" spans="1:6">
      <c r="A104" s="348" t="s">
        <v>78</v>
      </c>
      <c r="B104" s="334">
        <v>2299</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81000.10843308644</v>
      </c>
      <c r="C3" s="43" t="s">
        <v>170</v>
      </c>
      <c r="D3" s="43"/>
      <c r="E3" s="154"/>
      <c r="F3" s="43"/>
      <c r="G3" s="43"/>
      <c r="H3" s="43"/>
      <c r="I3" s="43"/>
      <c r="J3" s="43"/>
      <c r="K3" s="96"/>
    </row>
    <row r="4" spans="1:11">
      <c r="A4" s="384" t="s">
        <v>171</v>
      </c>
      <c r="B4" s="49">
        <f>IF(ISERROR('SEAP template'!B78+'SEAP template'!C78),0,'SEAP template'!B78+'SEAP template'!C78)</f>
        <v>26880.527428881018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3191.1247058823533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0.18705594845380155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4558.7495798319333</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19182.857142857145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1216.2170000000001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1216.2170000000001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0.18705594845380155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227.50062446063717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36755.063999999998</v>
      </c>
      <c r="C5" s="17">
        <f>IF(ISERROR('Eigen informatie GS &amp; warmtenet'!B57),0,'Eigen informatie GS &amp; warmtenet'!B57)</f>
        <v>0</v>
      </c>
      <c r="D5" s="30">
        <f>(SUM(HH_hh_gas_kWh,HH_rest_gas_kWh)/1000)*0.902</f>
        <v>100137.86488445199</v>
      </c>
      <c r="E5" s="17">
        <f>B46*B57</f>
        <v>2823.1535476061254</v>
      </c>
      <c r="F5" s="17">
        <f>B51*B62</f>
        <v>0</v>
      </c>
      <c r="G5" s="18"/>
      <c r="H5" s="17"/>
      <c r="I5" s="17"/>
      <c r="J5" s="17">
        <f>B50*B61+C50*C61</f>
        <v>2908.9083043171918</v>
      </c>
      <c r="K5" s="17"/>
      <c r="L5" s="17"/>
      <c r="M5" s="17"/>
      <c r="N5" s="17">
        <f>B48*B59+C48*C59</f>
        <v>21569.711706939896</v>
      </c>
      <c r="O5" s="17">
        <f>B69*B70*B71</f>
        <v>193.85333333333335</v>
      </c>
      <c r="P5" s="17">
        <f>B77*B78*B79/1000-B77*B78*B79/1000/B80</f>
        <v>400.4</v>
      </c>
    </row>
    <row r="6" spans="1:16">
      <c r="A6" s="16" t="s">
        <v>631</v>
      </c>
      <c r="B6" s="789">
        <f>kWh_PV_kleiner_dan_10kW</f>
        <v>3945.365910222923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40700.42991022292</v>
      </c>
      <c r="C8" s="21">
        <f>C5</f>
        <v>0</v>
      </c>
      <c r="D8" s="21">
        <f>D5</f>
        <v>100137.86488445199</v>
      </c>
      <c r="E8" s="21">
        <f>E5</f>
        <v>2823.1535476061254</v>
      </c>
      <c r="F8" s="21">
        <f>F5</f>
        <v>0</v>
      </c>
      <c r="G8" s="21"/>
      <c r="H8" s="21"/>
      <c r="I8" s="21"/>
      <c r="J8" s="21">
        <f>J5</f>
        <v>2908.9083043171918</v>
      </c>
      <c r="K8" s="21"/>
      <c r="L8" s="21">
        <f>L5</f>
        <v>0</v>
      </c>
      <c r="M8" s="21">
        <f>M5</f>
        <v>0</v>
      </c>
      <c r="N8" s="21">
        <f>N5</f>
        <v>21569.711706939896</v>
      </c>
      <c r="O8" s="21">
        <f>O5</f>
        <v>193.85333333333335</v>
      </c>
      <c r="P8" s="21">
        <f>P5</f>
        <v>400.4</v>
      </c>
    </row>
    <row r="9" spans="1:16">
      <c r="B9" s="19"/>
      <c r="C9" s="19"/>
      <c r="D9" s="258"/>
      <c r="E9" s="19"/>
      <c r="F9" s="19"/>
      <c r="G9" s="19"/>
      <c r="H9" s="19"/>
      <c r="I9" s="19"/>
      <c r="J9" s="19"/>
      <c r="K9" s="19"/>
      <c r="L9" s="19"/>
      <c r="M9" s="19"/>
      <c r="N9" s="19"/>
      <c r="O9" s="19"/>
      <c r="P9" s="19"/>
    </row>
    <row r="10" spans="1:16">
      <c r="A10" s="24" t="s">
        <v>214</v>
      </c>
      <c r="B10" s="25">
        <f ca="1">'EF ele_warmte'!B12</f>
        <v>0.18705594845380155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7613.2575193342218</v>
      </c>
      <c r="C12" s="23">
        <f ca="1">C10*C8</f>
        <v>0</v>
      </c>
      <c r="D12" s="23">
        <f>D8*D10</f>
        <v>20227.848706659304</v>
      </c>
      <c r="E12" s="23">
        <f>E10*E8</f>
        <v>640.85585530659046</v>
      </c>
      <c r="F12" s="23">
        <f>F10*F8</f>
        <v>0</v>
      </c>
      <c r="G12" s="23"/>
      <c r="H12" s="23"/>
      <c r="I12" s="23"/>
      <c r="J12" s="23">
        <f>J10*J8</f>
        <v>1029.7535397282859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5114</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8.9238845144356951</v>
      </c>
      <c r="D20" s="229"/>
      <c r="E20" s="15"/>
    </row>
    <row r="21" spans="1:7">
      <c r="A21" s="171" t="s">
        <v>74</v>
      </c>
      <c r="B21" s="37">
        <f>aantalw2001_elektriciteit</f>
        <v>557</v>
      </c>
      <c r="C21" s="167">
        <f>IF(ISERROR(B21/SUM($B$20,$B$21,$B$22)*100),0,B21/SUM($B$20,$B$21,$B$22)*100)</f>
        <v>73.097112860892395</v>
      </c>
      <c r="D21" s="229"/>
      <c r="E21" s="15"/>
    </row>
    <row r="22" spans="1:7">
      <c r="A22" s="171" t="s">
        <v>75</v>
      </c>
      <c r="B22" s="37">
        <f>aantalw2001_hout</f>
        <v>137</v>
      </c>
      <c r="C22" s="167">
        <f>IF(ISERROR(B22/SUM($B$20,$B$21,$B$22)*100),0,B22/SUM($B$20,$B$21,$B$22)*100)</f>
        <v>17.979002624671917</v>
      </c>
      <c r="D22" s="229"/>
      <c r="E22" s="15"/>
    </row>
    <row r="23" spans="1:7">
      <c r="A23" s="171" t="s">
        <v>76</v>
      </c>
      <c r="B23" s="37">
        <f>aantalw2001_niet_gespec</f>
        <v>190</v>
      </c>
      <c r="C23" s="166" t="s">
        <v>111</v>
      </c>
      <c r="D23" s="228"/>
      <c r="E23" s="15"/>
    </row>
    <row r="24" spans="1:7">
      <c r="A24" s="171" t="s">
        <v>77</v>
      </c>
      <c r="B24" s="37">
        <f>aantalw2001_steenkool</f>
        <v>369</v>
      </c>
      <c r="C24" s="166" t="s">
        <v>111</v>
      </c>
      <c r="D24" s="229"/>
      <c r="E24" s="15"/>
    </row>
    <row r="25" spans="1:7">
      <c r="A25" s="171" t="s">
        <v>78</v>
      </c>
      <c r="B25" s="37">
        <f>aantalw2001_stookolie</f>
        <v>2299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10201</v>
      </c>
      <c r="C28" s="36"/>
      <c r="D28" s="228"/>
    </row>
    <row r="29" spans="1:7" s="15" customFormat="1">
      <c r="A29" s="230" t="s">
        <v>741</v>
      </c>
      <c r="B29" s="37">
        <f>SUM(HH_hh_gas_aantal,HH_rest_gas_aantal)</f>
        <v>7977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7977</v>
      </c>
      <c r="C32" s="167">
        <f>IF(ISERROR(B32/SUM($B$32,$B$34,$B$35,$B$36,$B$38,$B$39)*100),0,B32/SUM($B$32,$B$34,$B$35,$B$36,$B$38,$B$39)*100)</f>
        <v>78.359528487229852</v>
      </c>
      <c r="D32" s="233"/>
      <c r="G32" s="15"/>
    </row>
    <row r="33" spans="1:7">
      <c r="A33" s="171" t="s">
        <v>72</v>
      </c>
      <c r="B33" s="34" t="s">
        <v>111</v>
      </c>
      <c r="C33" s="167"/>
      <c r="D33" s="233"/>
      <c r="G33" s="15"/>
    </row>
    <row r="34" spans="1:7">
      <c r="A34" s="171" t="s">
        <v>73</v>
      </c>
      <c r="B34" s="33">
        <f>IF((($B$28-$B$32-$B$39-$B$77-$B$38)*C20/100)&lt;0,0,($B$28-$B$32-$B$39-$B$77-$B$38)*C20/100)</f>
        <v>189.21312335958007</v>
      </c>
      <c r="C34" s="167">
        <f>IF(ISERROR(B34/SUM($B$32,$B$34,$B$35,$B$36,$B$38,$B$39)*100),0,B34/SUM($B$32,$B$34,$B$35,$B$36,$B$38,$B$39)*100)</f>
        <v>1.8586750821176821</v>
      </c>
      <c r="D34" s="233"/>
      <c r="G34" s="15"/>
    </row>
    <row r="35" spans="1:7">
      <c r="A35" s="171" t="s">
        <v>74</v>
      </c>
      <c r="B35" s="33">
        <f>IF((($B$28-$B$32-$B$39-$B$77-$B$38)*C21/100)&lt;0,0,($B$28-$B$32-$B$39-$B$77-$B$38)*C21/100)</f>
        <v>1549.8780839895014</v>
      </c>
      <c r="C35" s="167">
        <f>IF(ISERROR(B35/SUM($B$32,$B$34,$B$35,$B$36,$B$38,$B$39)*100),0,B35/SUM($B$32,$B$34,$B$35,$B$36,$B$38,$B$39)*100)</f>
        <v>15.224735599111014</v>
      </c>
      <c r="D35" s="233"/>
      <c r="G35" s="15"/>
    </row>
    <row r="36" spans="1:7">
      <c r="A36" s="171" t="s">
        <v>75</v>
      </c>
      <c r="B36" s="33">
        <f>IF((($B$28-$B$32-$B$39-$B$77-$B$38)*C22/100)&lt;0,0,($B$28-$B$32-$B$39-$B$77-$B$38)*C22/100)</f>
        <v>381.20879265091867</v>
      </c>
      <c r="C36" s="167">
        <f>IF(ISERROR(B36/SUM($B$32,$B$34,$B$35,$B$36,$B$38,$B$39)*100),0,B36/SUM($B$32,$B$34,$B$35,$B$36,$B$38,$B$39)*100)</f>
        <v>3.7446836213253301</v>
      </c>
      <c r="D36" s="233"/>
      <c r="G36" s="15"/>
    </row>
    <row r="37" spans="1:7">
      <c r="A37" s="171" t="s">
        <v>76</v>
      </c>
      <c r="B37" s="34" t="s">
        <v>111</v>
      </c>
      <c r="C37" s="167"/>
      <c r="D37" s="173"/>
      <c r="G37" s="15"/>
    </row>
    <row r="38" spans="1:7">
      <c r="A38" s="171" t="s">
        <v>77</v>
      </c>
      <c r="B38" s="33">
        <f>IF((B24-(B29-B18)*0.1)&lt;0,0,B24-(B29-B18)*0.1)</f>
        <v>82.699999999999989</v>
      </c>
      <c r="C38" s="167">
        <f>IF(ISERROR(B38/SUM($B$32,$B$34,$B$35,$B$36,$B$38,$B$39)*100),0,B38/SUM($B$32,$B$34,$B$35,$B$36,$B$38,$B$39)*100)</f>
        <v>0.81237721021610965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7977</v>
      </c>
      <c r="C44" s="34" t="s">
        <v>111</v>
      </c>
      <c r="D44" s="174"/>
    </row>
    <row r="45" spans="1:7">
      <c r="A45" s="171" t="s">
        <v>72</v>
      </c>
      <c r="B45" s="33" t="str">
        <f t="shared" si="0"/>
        <v>-</v>
      </c>
      <c r="C45" s="34" t="s">
        <v>111</v>
      </c>
      <c r="D45" s="174"/>
    </row>
    <row r="46" spans="1:7">
      <c r="A46" s="171" t="s">
        <v>73</v>
      </c>
      <c r="B46" s="33">
        <f t="shared" si="0"/>
        <v>189.21312335958007</v>
      </c>
      <c r="C46" s="34" t="s">
        <v>111</v>
      </c>
      <c r="D46" s="174"/>
    </row>
    <row r="47" spans="1:7">
      <c r="A47" s="171" t="s">
        <v>74</v>
      </c>
      <c r="B47" s="33">
        <f t="shared" si="0"/>
        <v>1549.8780839895014</v>
      </c>
      <c r="C47" s="34" t="s">
        <v>111</v>
      </c>
      <c r="D47" s="174"/>
    </row>
    <row r="48" spans="1:7">
      <c r="A48" s="171" t="s">
        <v>75</v>
      </c>
      <c r="B48" s="33">
        <f t="shared" si="0"/>
        <v>381.20879265091867</v>
      </c>
      <c r="C48" s="33">
        <f>B48*10</f>
        <v>3812.0879265091867</v>
      </c>
      <c r="D48" s="234"/>
    </row>
    <row r="49" spans="1:6">
      <c r="A49" s="171" t="s">
        <v>76</v>
      </c>
      <c r="B49" s="33" t="str">
        <f t="shared" si="0"/>
        <v>-</v>
      </c>
      <c r="C49" s="34" t="s">
        <v>111</v>
      </c>
      <c r="D49" s="234"/>
    </row>
    <row r="50" spans="1:6">
      <c r="A50" s="171" t="s">
        <v>77</v>
      </c>
      <c r="B50" s="33">
        <f t="shared" si="0"/>
        <v>82.699999999999989</v>
      </c>
      <c r="C50" s="33">
        <f>B50*2</f>
        <v>165.39999999999998</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17191.026299999998</v>
      </c>
      <c r="C5" s="17">
        <f>IF(ISERROR('Eigen informatie GS &amp; warmtenet'!B58),0,'Eigen informatie GS &amp; warmtenet'!B58)</f>
        <v>0</v>
      </c>
      <c r="D5" s="30">
        <f>SUM(D6:D12)</f>
        <v>23238.710537498377</v>
      </c>
      <c r="E5" s="17">
        <f>SUM(E6:E12)</f>
        <v>191.93857729691015</v>
      </c>
      <c r="F5" s="17">
        <f>SUM(F6:F12)</f>
        <v>2648.5494058844802</v>
      </c>
      <c r="G5" s="18"/>
      <c r="H5" s="17"/>
      <c r="I5" s="17"/>
      <c r="J5" s="17">
        <f>SUM(J6:J12)</f>
        <v>0</v>
      </c>
      <c r="K5" s="17"/>
      <c r="L5" s="17"/>
      <c r="M5" s="17"/>
      <c r="N5" s="17">
        <f>SUM(N6:N12)</f>
        <v>1818.8528580166628</v>
      </c>
      <c r="O5" s="17">
        <f>B38*B39*B40</f>
        <v>0</v>
      </c>
      <c r="P5" s="17">
        <f>B46*B47*B48/1000-B46*B47*B48/1000/B49</f>
        <v>0</v>
      </c>
      <c r="R5" s="32"/>
    </row>
    <row r="6" spans="1:18">
      <c r="A6" s="32" t="s">
        <v>54</v>
      </c>
      <c r="B6" s="37">
        <f>B26</f>
        <v>3343.28</v>
      </c>
      <c r="C6" s="33"/>
      <c r="D6" s="37">
        <f>IF(ISERROR(TER_kantoor_gas_kWh/1000),0,TER_kantoor_gas_kWh/1000)*0.902</f>
        <v>7814.7108553272856</v>
      </c>
      <c r="E6" s="33">
        <f>$C$26*'E Balans VL '!I12/100/3.6*1000000</f>
        <v>9.6859726887293434</v>
      </c>
      <c r="F6" s="33">
        <f>$C$26*('E Balans VL '!L12+'E Balans VL '!N12)/100/3.6*1000000</f>
        <v>378.38563783070947</v>
      </c>
      <c r="G6" s="34"/>
      <c r="H6" s="33"/>
      <c r="I6" s="33"/>
      <c r="J6" s="33">
        <f>$C$26*('E Balans VL '!D12+'E Balans VL '!E12)/100/3.6*1000000</f>
        <v>0</v>
      </c>
      <c r="K6" s="33"/>
      <c r="L6" s="33"/>
      <c r="M6" s="33"/>
      <c r="N6" s="33">
        <f>$C$26*'E Balans VL '!Y12/100/3.6*1000000</f>
        <v>33.463769361306497</v>
      </c>
      <c r="O6" s="33"/>
      <c r="P6" s="33"/>
      <c r="R6" s="32"/>
    </row>
    <row r="7" spans="1:18">
      <c r="A7" s="32" t="s">
        <v>53</v>
      </c>
      <c r="B7" s="37">
        <f t="shared" ref="B7:B12" si="0">B27</f>
        <v>2037.9480000000001</v>
      </c>
      <c r="C7" s="33"/>
      <c r="D7" s="37">
        <f>IF(ISERROR(TER_horeca_gas_kWh/1000),0,TER_horeca_gas_kWh/1000)*0.902</f>
        <v>2360.6104187123342</v>
      </c>
      <c r="E7" s="33">
        <f>$C$27*'E Balans VL '!I9/100/3.6*1000000</f>
        <v>85.547363125821562</v>
      </c>
      <c r="F7" s="33">
        <f>$C$27*('E Balans VL '!L9+'E Balans VL '!N9)/100/3.6*1000000</f>
        <v>437.89491985983938</v>
      </c>
      <c r="G7" s="34"/>
      <c r="H7" s="33"/>
      <c r="I7" s="33"/>
      <c r="J7" s="33">
        <f>$C$27*('E Balans VL '!D9+'E Balans VL '!E9)/100/3.6*1000000</f>
        <v>0</v>
      </c>
      <c r="K7" s="33"/>
      <c r="L7" s="33"/>
      <c r="M7" s="33"/>
      <c r="N7" s="33">
        <f>$C$27*'E Balans VL '!Y9/100/3.6*1000000</f>
        <v>0.52516137709818755</v>
      </c>
      <c r="O7" s="33"/>
      <c r="P7" s="33"/>
      <c r="R7" s="32"/>
    </row>
    <row r="8" spans="1:18">
      <c r="A8" s="6" t="s">
        <v>52</v>
      </c>
      <c r="B8" s="37">
        <f t="shared" si="0"/>
        <v>6522.1210000000001</v>
      </c>
      <c r="C8" s="33"/>
      <c r="D8" s="37">
        <f>IF(ISERROR(TER_handel_gas_kWh/1000),0,TER_handel_gas_kWh/1000)*0.902</f>
        <v>4164.409921517552</v>
      </c>
      <c r="E8" s="33">
        <f>$C$28*'E Balans VL '!I13/100/3.6*1000000</f>
        <v>70.05300774700288</v>
      </c>
      <c r="F8" s="33">
        <f>$C$28*('E Balans VL '!L13+'E Balans VL '!N13)/100/3.6*1000000</f>
        <v>844.34242201493487</v>
      </c>
      <c r="G8" s="34"/>
      <c r="H8" s="33"/>
      <c r="I8" s="33"/>
      <c r="J8" s="33">
        <f>$C$28*('E Balans VL '!D13+'E Balans VL '!E13)/100/3.6*1000000</f>
        <v>0</v>
      </c>
      <c r="K8" s="33"/>
      <c r="L8" s="33"/>
      <c r="M8" s="33"/>
      <c r="N8" s="33">
        <f>$C$28*'E Balans VL '!Y13/100/3.6*1000000</f>
        <v>52.907801675290671</v>
      </c>
      <c r="O8" s="33"/>
      <c r="P8" s="33"/>
      <c r="R8" s="32"/>
    </row>
    <row r="9" spans="1:18">
      <c r="A9" s="32" t="s">
        <v>51</v>
      </c>
      <c r="B9" s="37">
        <f t="shared" si="0"/>
        <v>570.59069999999997</v>
      </c>
      <c r="C9" s="33"/>
      <c r="D9" s="37">
        <f>IF(ISERROR(TER_gezond_gas_kWh/1000),0,TER_gezond_gas_kWh/1000)*0.902</f>
        <v>1251.0240202888804</v>
      </c>
      <c r="E9" s="33">
        <f>$C$29*'E Balans VL '!I10/100/3.6*1000000</f>
        <v>0.45422710201776667</v>
      </c>
      <c r="F9" s="33">
        <f>$C$29*('E Balans VL '!L10+'E Balans VL '!N10)/100/3.6*1000000</f>
        <v>69.363545363315595</v>
      </c>
      <c r="G9" s="34"/>
      <c r="H9" s="33"/>
      <c r="I9" s="33"/>
      <c r="J9" s="33">
        <f>$C$29*('E Balans VL '!D10+'E Balans VL '!E10)/100/3.6*1000000</f>
        <v>0</v>
      </c>
      <c r="K9" s="33"/>
      <c r="L9" s="33"/>
      <c r="M9" s="33"/>
      <c r="N9" s="33">
        <f>$C$29*'E Balans VL '!Y10/100/3.6*1000000</f>
        <v>4.6090805065263369</v>
      </c>
      <c r="O9" s="33"/>
      <c r="P9" s="33"/>
      <c r="R9" s="32"/>
    </row>
    <row r="10" spans="1:18">
      <c r="A10" s="32" t="s">
        <v>50</v>
      </c>
      <c r="B10" s="37">
        <f t="shared" si="0"/>
        <v>2206.4499999999998</v>
      </c>
      <c r="C10" s="33"/>
      <c r="D10" s="37">
        <f>IF(ISERROR(TER_ander_gas_kWh/1000),0,TER_ander_gas_kWh/1000)*0.902</f>
        <v>1458.9797366939604</v>
      </c>
      <c r="E10" s="33">
        <f>$C$30*'E Balans VL '!I14/100/3.6*1000000</f>
        <v>7.5616200620247067</v>
      </c>
      <c r="F10" s="33">
        <f>$C$30*('E Balans VL '!L14+'E Balans VL '!N14)/100/3.6*1000000</f>
        <v>492.83127043358331</v>
      </c>
      <c r="G10" s="34"/>
      <c r="H10" s="33"/>
      <c r="I10" s="33"/>
      <c r="J10" s="33">
        <f>$C$30*('E Balans VL '!D14+'E Balans VL '!E14)/100/3.6*1000000</f>
        <v>0</v>
      </c>
      <c r="K10" s="33"/>
      <c r="L10" s="33"/>
      <c r="M10" s="33"/>
      <c r="N10" s="33">
        <f>$C$30*'E Balans VL '!Y14/100/3.6*1000000</f>
        <v>1554.235433600735</v>
      </c>
      <c r="O10" s="33"/>
      <c r="P10" s="33"/>
      <c r="R10" s="32"/>
    </row>
    <row r="11" spans="1:18">
      <c r="A11" s="32" t="s">
        <v>55</v>
      </c>
      <c r="B11" s="37">
        <f t="shared" si="0"/>
        <v>486.55259999999998</v>
      </c>
      <c r="C11" s="33"/>
      <c r="D11" s="37">
        <f>IF(ISERROR(TER_onderwijs_gas_kWh/1000),0,TER_onderwijs_gas_kWh/1000)*0.902</f>
        <v>1537.0290881338858</v>
      </c>
      <c r="E11" s="33">
        <f>$C$31*'E Balans VL '!I11/100/3.6*1000000</f>
        <v>0.3363388277392298</v>
      </c>
      <c r="F11" s="33">
        <f>$C$31*('E Balans VL '!L11+'E Balans VL '!N11)/100/3.6*1000000</f>
        <v>127.3653372859438</v>
      </c>
      <c r="G11" s="34"/>
      <c r="H11" s="33"/>
      <c r="I11" s="33"/>
      <c r="J11" s="33">
        <f>$C$31*('E Balans VL '!D11+'E Balans VL '!E11)/100/3.6*1000000</f>
        <v>0</v>
      </c>
      <c r="K11" s="33"/>
      <c r="L11" s="33"/>
      <c r="M11" s="33"/>
      <c r="N11" s="33">
        <f>$C$31*'E Balans VL '!Y11/100/3.6*1000000</f>
        <v>0.48432167198229714</v>
      </c>
      <c r="O11" s="33"/>
      <c r="P11" s="33"/>
      <c r="R11" s="32"/>
    </row>
    <row r="12" spans="1:18">
      <c r="A12" s="32" t="s">
        <v>260</v>
      </c>
      <c r="B12" s="37">
        <f t="shared" si="0"/>
        <v>2024.0840000000001</v>
      </c>
      <c r="C12" s="33"/>
      <c r="D12" s="37">
        <f>IF(ISERROR(TER_rest_gas_kWh/1000),0,TER_rest_gas_kWh/1000)*0.902</f>
        <v>4651.9464968244802</v>
      </c>
      <c r="E12" s="33">
        <f>$C$32*'E Balans VL '!I8/100/3.6*1000000</f>
        <v>18.300047743574652</v>
      </c>
      <c r="F12" s="33">
        <f>$C$32*('E Balans VL '!L8+'E Balans VL '!N8)/100/3.6*1000000</f>
        <v>298.36627309615307</v>
      </c>
      <c r="G12" s="34"/>
      <c r="H12" s="33"/>
      <c r="I12" s="33"/>
      <c r="J12" s="33">
        <f>$C$32*('E Balans VL '!D8+'E Balans VL '!E8)/100/3.6*1000000</f>
        <v>0</v>
      </c>
      <c r="K12" s="33"/>
      <c r="L12" s="33"/>
      <c r="M12" s="33"/>
      <c r="N12" s="33">
        <f>$C$32*'E Balans VL '!Y8/100/3.6*1000000</f>
        <v>172.62728982372397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17191.026299999998</v>
      </c>
      <c r="C16" s="21">
        <f t="shared" ca="1" si="1"/>
        <v>0</v>
      </c>
      <c r="D16" s="21">
        <f t="shared" ca="1" si="1"/>
        <v>23238.710537498377</v>
      </c>
      <c r="E16" s="21">
        <f t="shared" si="1"/>
        <v>191.93857729691015</v>
      </c>
      <c r="F16" s="21">
        <f t="shared" ca="1" si="1"/>
        <v>2648.5494058844802</v>
      </c>
      <c r="G16" s="21">
        <f t="shared" si="1"/>
        <v>0</v>
      </c>
      <c r="H16" s="21">
        <f t="shared" si="1"/>
        <v>0</v>
      </c>
      <c r="I16" s="21">
        <f t="shared" si="1"/>
        <v>0</v>
      </c>
      <c r="J16" s="21">
        <f t="shared" si="1"/>
        <v>0</v>
      </c>
      <c r="K16" s="21">
        <f t="shared" si="1"/>
        <v>0</v>
      </c>
      <c r="L16" s="21">
        <f t="shared" ca="1" si="1"/>
        <v>0</v>
      </c>
      <c r="M16" s="21">
        <f t="shared" si="1"/>
        <v>0</v>
      </c>
      <c r="N16" s="21">
        <f t="shared" ca="1" si="1"/>
        <v>1818.8528580166628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0.18705594845380155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3215.6837294407464</v>
      </c>
      <c r="C20" s="23">
        <f t="shared" ref="C20:P20" ca="1" si="2">C16*C18</f>
        <v>0</v>
      </c>
      <c r="D20" s="23">
        <f t="shared" ca="1" si="2"/>
        <v>4694.219528574672</v>
      </c>
      <c r="E20" s="23">
        <f t="shared" si="2"/>
        <v>43.57005704639861</v>
      </c>
      <c r="F20" s="23">
        <f t="shared" ca="1" si="2"/>
        <v>707.16269137115626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3343.28</v>
      </c>
      <c r="C26" s="39">
        <f>IF(ISERROR(B26*3.6/1000000/'E Balans VL '!Z12*100),0,B26*3.6/1000000/'E Balans VL '!Z12*100)</f>
        <v>7.3439010418732353E-2</v>
      </c>
      <c r="D26" s="237" t="s">
        <v>692</v>
      </c>
      <c r="F26" s="6"/>
    </row>
    <row r="27" spans="1:18">
      <c r="A27" s="231" t="s">
        <v>53</v>
      </c>
      <c r="B27" s="33">
        <f>IF(ISERROR(TER_horeca_ele_kWh/1000),0,TER_horeca_ele_kWh/1000)</f>
        <v>2037.9480000000001</v>
      </c>
      <c r="C27" s="39">
        <f>IF(ISERROR(B27*3.6/1000000/'E Balans VL '!Z9*100),0,B27*3.6/1000000/'E Balans VL '!Z9*100)</f>
        <v>0.16376943630560026</v>
      </c>
      <c r="D27" s="237" t="s">
        <v>692</v>
      </c>
      <c r="F27" s="6"/>
    </row>
    <row r="28" spans="1:18">
      <c r="A28" s="171" t="s">
        <v>52</v>
      </c>
      <c r="B28" s="33">
        <f>IF(ISERROR(TER_handel_ele_kWh/1000),0,TER_handel_ele_kWh/1000)</f>
        <v>6522.1210000000001</v>
      </c>
      <c r="C28" s="39">
        <f>IF(ISERROR(B28*3.6/1000000/'E Balans VL '!Z13*100),0,B28*3.6/1000000/'E Balans VL '!Z13*100)</f>
        <v>0.19285456152059957</v>
      </c>
      <c r="D28" s="237" t="s">
        <v>692</v>
      </c>
      <c r="F28" s="6"/>
    </row>
    <row r="29" spans="1:18">
      <c r="A29" s="231" t="s">
        <v>51</v>
      </c>
      <c r="B29" s="33">
        <f>IF(ISERROR(TER_gezond_ele_kWh/1000),0,TER_gezond_ele_kWh/1000)</f>
        <v>570.59069999999997</v>
      </c>
      <c r="C29" s="39">
        <f>IF(ISERROR(B29*3.6/1000000/'E Balans VL '!Z10*100),0,B29*3.6/1000000/'E Balans VL '!Z10*100)</f>
        <v>6.4290840536698077E-2</v>
      </c>
      <c r="D29" s="237" t="s">
        <v>692</v>
      </c>
      <c r="F29" s="6"/>
    </row>
    <row r="30" spans="1:18">
      <c r="A30" s="231" t="s">
        <v>50</v>
      </c>
      <c r="B30" s="33">
        <f>IF(ISERROR(TER_ander_ele_kWh/1000),0,TER_ander_ele_kWh/1000)</f>
        <v>2206.4499999999998</v>
      </c>
      <c r="C30" s="39">
        <f>IF(ISERROR(B30*3.6/1000000/'E Balans VL '!Z14*100),0,B30*3.6/1000000/'E Balans VL '!Z14*100)</f>
        <v>0.16687004174409545</v>
      </c>
      <c r="D30" s="237" t="s">
        <v>692</v>
      </c>
      <c r="F30" s="6"/>
    </row>
    <row r="31" spans="1:18">
      <c r="A31" s="231" t="s">
        <v>55</v>
      </c>
      <c r="B31" s="33">
        <f>IF(ISERROR(TER_onderwijs_ele_kWh/1000),0,TER_onderwijs_ele_kWh/1000)</f>
        <v>486.55259999999998</v>
      </c>
      <c r="C31" s="39">
        <f>IF(ISERROR(B31*3.6/1000000/'E Balans VL '!Z11*100),0,B31*3.6/1000000/'E Balans VL '!Z11*100)</f>
        <v>0.100997024926283</v>
      </c>
      <c r="D31" s="237" t="s">
        <v>692</v>
      </c>
    </row>
    <row r="32" spans="1:18">
      <c r="A32" s="231" t="s">
        <v>260</v>
      </c>
      <c r="B32" s="33">
        <f>IF(ISERROR(TER_rest_ele_kWh/1000),0,TER_rest_ele_kWh/1000)</f>
        <v>2024.0840000000001</v>
      </c>
      <c r="C32" s="39">
        <f>IF(ISERROR(B32*3.6/1000000/'E Balans VL '!Z8*100),0,B32*3.6/1000000/'E Balans VL '!Z8*100)</f>
        <v>1.7051716971706387E-2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17858.144700000001</v>
      </c>
      <c r="C5" s="17">
        <f>IF(ISERROR('Eigen informatie GS &amp; warmtenet'!B59),0,'Eigen informatie GS &amp; warmtenet'!B59)</f>
        <v>0</v>
      </c>
      <c r="D5" s="30">
        <f>SUM(D6:D15)</f>
        <v>9212.6723928352658</v>
      </c>
      <c r="E5" s="17">
        <f>SUM(E6:E15)</f>
        <v>1061.0090037168591</v>
      </c>
      <c r="F5" s="17">
        <f>SUM(F6:F15)</f>
        <v>5550.3290296526939</v>
      </c>
      <c r="G5" s="18"/>
      <c r="H5" s="17"/>
      <c r="I5" s="17"/>
      <c r="J5" s="17">
        <f>SUM(J6:J15)</f>
        <v>62.541998753873742</v>
      </c>
      <c r="K5" s="17"/>
      <c r="L5" s="17"/>
      <c r="M5" s="17"/>
      <c r="N5" s="17">
        <f>SUM(N6:N15)</f>
        <v>3077.2370729474646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1367.0550000000001</v>
      </c>
      <c r="C8" s="33"/>
      <c r="D8" s="37">
        <f>IF( ISERROR(IND_metaal_Gas_kWH/1000),0,IND_metaal_Gas_kWH/1000)*0.902</f>
        <v>180.25344512152193</v>
      </c>
      <c r="E8" s="33">
        <f>C30*'E Balans VL '!I18/100/3.6*1000000</f>
        <v>34.212602060003164</v>
      </c>
      <c r="F8" s="33">
        <f>C30*'E Balans VL '!L18/100/3.6*1000000+C30*'E Balans VL '!N18/100/3.6*1000000</f>
        <v>428.4418370812844</v>
      </c>
      <c r="G8" s="34"/>
      <c r="H8" s="33"/>
      <c r="I8" s="33"/>
      <c r="J8" s="40">
        <f>C30*'E Balans VL '!D18/100/3.6*1000000+C30*'E Balans VL '!E18/100/3.6*1000000</f>
        <v>0</v>
      </c>
      <c r="K8" s="33"/>
      <c r="L8" s="33"/>
      <c r="M8" s="33"/>
      <c r="N8" s="33">
        <f>C30*'E Balans VL '!Y18/100/3.6*1000000</f>
        <v>34.343969417097036</v>
      </c>
      <c r="O8" s="33"/>
      <c r="P8" s="33"/>
      <c r="R8" s="32"/>
    </row>
    <row r="9" spans="1:18">
      <c r="A9" s="6" t="s">
        <v>33</v>
      </c>
      <c r="B9" s="37">
        <f t="shared" si="0"/>
        <v>1572.4459999999999</v>
      </c>
      <c r="C9" s="33"/>
      <c r="D9" s="37">
        <f>IF( ISERROR(IND_andere_gas_kWh/1000),0,IND_andere_gas_kWh/1000)*0.902</f>
        <v>1713.4505366776507</v>
      </c>
      <c r="E9" s="33">
        <f>C31*'E Balans VL '!I19/100/3.6*1000000</f>
        <v>432.35815603989118</v>
      </c>
      <c r="F9" s="33">
        <f>C31*'E Balans VL '!L19/100/3.6*1000000+C31*'E Balans VL '!N19/100/3.6*1000000</f>
        <v>1239.3610732497343</v>
      </c>
      <c r="G9" s="34"/>
      <c r="H9" s="33"/>
      <c r="I9" s="33"/>
      <c r="J9" s="40">
        <f>C31*'E Balans VL '!D19/100/3.6*1000000+C31*'E Balans VL '!E19/100/3.6*1000000</f>
        <v>0</v>
      </c>
      <c r="K9" s="33"/>
      <c r="L9" s="33"/>
      <c r="M9" s="33"/>
      <c r="N9" s="33">
        <f>C31*'E Balans VL '!Y19/100/3.6*1000000</f>
        <v>509.04227582888353</v>
      </c>
      <c r="O9" s="33"/>
      <c r="P9" s="33"/>
      <c r="R9" s="32"/>
    </row>
    <row r="10" spans="1:18">
      <c r="A10" s="6" t="s">
        <v>41</v>
      </c>
      <c r="B10" s="37">
        <f t="shared" si="0"/>
        <v>613.11419999999998</v>
      </c>
      <c r="C10" s="33"/>
      <c r="D10" s="37">
        <f>IF( ISERROR(IND_voed_gas_kWh/1000),0,IND_voed_gas_kWh/1000)*0.902</f>
        <v>486.1501840373611</v>
      </c>
      <c r="E10" s="33">
        <f>C32*'E Balans VL '!I20/100/3.6*1000000</f>
        <v>6.2503615024599153</v>
      </c>
      <c r="F10" s="33">
        <f>C32*'E Balans VL '!L20/100/3.6*1000000+C32*'E Balans VL '!N20/100/3.6*1000000</f>
        <v>1158.1688891408423</v>
      </c>
      <c r="G10" s="34"/>
      <c r="H10" s="33"/>
      <c r="I10" s="33"/>
      <c r="J10" s="40">
        <f>C32*'E Balans VL '!D20/100/3.6*1000000+C32*'E Balans VL '!E20/100/3.6*1000000</f>
        <v>14.673828924744896</v>
      </c>
      <c r="K10" s="33"/>
      <c r="L10" s="33"/>
      <c r="M10" s="33"/>
      <c r="N10" s="33">
        <f>C32*'E Balans VL '!Y20/100/3.6*1000000</f>
        <v>323.18180549590676</v>
      </c>
      <c r="O10" s="33"/>
      <c r="P10" s="33"/>
      <c r="R10" s="32"/>
    </row>
    <row r="11" spans="1:18">
      <c r="A11" s="6" t="s">
        <v>40</v>
      </c>
      <c r="B11" s="37">
        <f t="shared" si="0"/>
        <v>2699.5709999999999</v>
      </c>
      <c r="C11" s="33"/>
      <c r="D11" s="37">
        <f>IF( ISERROR(IND_textiel_gas_kWh/1000),0,IND_textiel_gas_kWh/1000)*0.902</f>
        <v>135.55705520791619</v>
      </c>
      <c r="E11" s="33">
        <f>C33*'E Balans VL '!I21/100/3.6*1000000</f>
        <v>7.1551838273822765</v>
      </c>
      <c r="F11" s="33">
        <f>C33*'E Balans VL '!L21/100/3.6*1000000+C33*'E Balans VL '!N21/100/3.6*1000000</f>
        <v>120.56562567484931</v>
      </c>
      <c r="G11" s="34"/>
      <c r="H11" s="33"/>
      <c r="I11" s="33"/>
      <c r="J11" s="40">
        <f>C33*'E Balans VL '!D21/100/3.6*1000000+C33*'E Balans VL '!E21/100/3.6*1000000</f>
        <v>0</v>
      </c>
      <c r="K11" s="33"/>
      <c r="L11" s="33"/>
      <c r="M11" s="33"/>
      <c r="N11" s="33">
        <f>C33*'E Balans VL '!Y21/100/3.6*1000000</f>
        <v>25.441526907968473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94.152000000000001</v>
      </c>
      <c r="C13" s="33"/>
      <c r="D13" s="37">
        <f>IF( ISERROR(IND_papier_gas_kWh/1000),0,IND_papier_gas_kWh/1000)*0.902</f>
        <v>0</v>
      </c>
      <c r="E13" s="33">
        <f>C35*'E Balans VL '!I23/100/3.6*1000000</f>
        <v>0.19499514710697166</v>
      </c>
      <c r="F13" s="33">
        <f>C35*'E Balans VL '!L23/100/3.6*1000000+C35*'E Balans VL '!N23/100/3.6*1000000</f>
        <v>1.8672360058451345</v>
      </c>
      <c r="G13" s="34"/>
      <c r="H13" s="33"/>
      <c r="I13" s="33"/>
      <c r="J13" s="40">
        <f>C35*'E Balans VL '!D23/100/3.6*1000000+C35*'E Balans VL '!E23/100/3.6*1000000</f>
        <v>0</v>
      </c>
      <c r="K13" s="33"/>
      <c r="L13" s="33"/>
      <c r="M13" s="33"/>
      <c r="N13" s="33">
        <f>C35*'E Balans VL '!Y23/100/3.6*1000000</f>
        <v>39.755481341398507</v>
      </c>
      <c r="O13" s="33"/>
      <c r="P13" s="33"/>
      <c r="R13" s="32"/>
    </row>
    <row r="14" spans="1:18">
      <c r="A14" s="6" t="s">
        <v>34</v>
      </c>
      <c r="B14" s="37">
        <f t="shared" si="0"/>
        <v>101.9375</v>
      </c>
      <c r="C14" s="33"/>
      <c r="D14" s="37">
        <f>IF( ISERROR(IND_chemie_gas_kWh/1000),0,IND_chemie_gas_kWh/1000)*0.902</f>
        <v>192.34252683253544</v>
      </c>
      <c r="E14" s="33">
        <f>C36*'E Balans VL '!I24/100/3.6*1000000</f>
        <v>0.38218044023618264</v>
      </c>
      <c r="F14" s="33">
        <f>C36*'E Balans VL '!L24/100/3.6*1000000+C36*'E Balans VL '!N24/100/3.6*1000000</f>
        <v>1.1859360348074415</v>
      </c>
      <c r="G14" s="34"/>
      <c r="H14" s="33"/>
      <c r="I14" s="33"/>
      <c r="J14" s="40">
        <f>C36*'E Balans VL '!D24/100/3.6*1000000+C36*'E Balans VL '!E24/100/3.6*1000000</f>
        <v>0</v>
      </c>
      <c r="K14" s="33"/>
      <c r="L14" s="33"/>
      <c r="M14" s="33"/>
      <c r="N14" s="33">
        <f>C36*'E Balans VL '!Y24/100/3.6*1000000</f>
        <v>1.7415532657052972</v>
      </c>
      <c r="O14" s="33"/>
      <c r="P14" s="33"/>
      <c r="R14" s="32"/>
    </row>
    <row r="15" spans="1:18">
      <c r="A15" s="6" t="s">
        <v>270</v>
      </c>
      <c r="B15" s="37">
        <f t="shared" si="0"/>
        <v>11409.869000000001</v>
      </c>
      <c r="C15" s="33"/>
      <c r="D15" s="37">
        <f>IF( ISERROR(IND_rest_gas_kWh/1000),0,IND_rest_gas_kWh/1000)*0.902</f>
        <v>6504.9186449582812</v>
      </c>
      <c r="E15" s="33">
        <f>C37*'E Balans VL '!I15/100/3.6*1000000</f>
        <v>580.4555246997794</v>
      </c>
      <c r="F15" s="33">
        <f>C37*'E Balans VL '!L15/100/3.6*1000000+C37*'E Balans VL '!N15/100/3.6*1000000</f>
        <v>2600.7384324653303</v>
      </c>
      <c r="G15" s="34"/>
      <c r="H15" s="33"/>
      <c r="I15" s="33"/>
      <c r="J15" s="40">
        <f>C37*'E Balans VL '!D15/100/3.6*1000000+C37*'E Balans VL '!E15/100/3.6*1000000</f>
        <v>47.868169829128846</v>
      </c>
      <c r="K15" s="33"/>
      <c r="L15" s="33"/>
      <c r="M15" s="33"/>
      <c r="N15" s="33">
        <f>C37*'E Balans VL '!Y15/100/3.6*1000000</f>
        <v>2143.730460690505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17858.144700000001</v>
      </c>
      <c r="C18" s="21">
        <f>C5+C16</f>
        <v>0</v>
      </c>
      <c r="D18" s="21">
        <f>MAX((D5+D16),0)</f>
        <v>9212.6723928352658</v>
      </c>
      <c r="E18" s="21">
        <f>MAX((E5+E16),0)</f>
        <v>1061.0090037168591</v>
      </c>
      <c r="F18" s="21">
        <f>MAX((F5+F16),0)</f>
        <v>5550.3290296526939</v>
      </c>
      <c r="G18" s="21"/>
      <c r="H18" s="21"/>
      <c r="I18" s="21"/>
      <c r="J18" s="21">
        <f>MAX((J5+J16),0)</f>
        <v>62.541998753873742</v>
      </c>
      <c r="K18" s="21"/>
      <c r="L18" s="21">
        <f>MAX((L5+L16),0)</f>
        <v>0</v>
      </c>
      <c r="M18" s="21"/>
      <c r="N18" s="21">
        <f>MAX((N5+N16),0)</f>
        <v>3077.2370729474646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0.18705594845380155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3340.4721944837297</v>
      </c>
      <c r="C22" s="23">
        <f ca="1">C18*C20</f>
        <v>0</v>
      </c>
      <c r="D22" s="23">
        <f>D18*D20</f>
        <v>1860.9598233527238</v>
      </c>
      <c r="E22" s="23">
        <f>E18*E20</f>
        <v>240.849043843727</v>
      </c>
      <c r="F22" s="23">
        <f>F18*F20</f>
        <v>1481.9378509172693</v>
      </c>
      <c r="G22" s="23"/>
      <c r="H22" s="23"/>
      <c r="I22" s="23"/>
      <c r="J22" s="23">
        <f>J18*J20</f>
        <v>22.139867558871302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1367.0550000000001</v>
      </c>
      <c r="C30" s="39">
        <f>IF(ISERROR(B30*3.6/1000000/'E Balans VL '!Z18*100),0,B30*3.6/1000000/'E Balans VL '!Z18*100)</f>
        <v>0.19134214238883618</v>
      </c>
      <c r="D30" s="237" t="s">
        <v>692</v>
      </c>
    </row>
    <row r="31" spans="1:18">
      <c r="A31" s="6" t="s">
        <v>33</v>
      </c>
      <c r="B31" s="37">
        <f>IF( ISERROR(IND_ander_ele_kWh/1000),0,IND_ander_ele_kWh/1000)</f>
        <v>1572.4459999999999</v>
      </c>
      <c r="C31" s="39">
        <f>IF(ISERROR(B31*3.6/1000000/'E Balans VL '!Z19*100),0,B31*3.6/1000000/'E Balans VL '!Z19*100)</f>
        <v>6.8825706333017489E-2</v>
      </c>
      <c r="D31" s="237" t="s">
        <v>692</v>
      </c>
    </row>
    <row r="32" spans="1:18">
      <c r="A32" s="171" t="s">
        <v>41</v>
      </c>
      <c r="B32" s="37">
        <f>IF( ISERROR(IND_voed_ele_kWh/1000),0,IND_voed_ele_kWh/1000)</f>
        <v>613.11419999999998</v>
      </c>
      <c r="C32" s="39">
        <f>IF(ISERROR(B32*3.6/1000000/'E Balans VL '!Z20*100),0,B32*3.6/1000000/'E Balans VL '!Z20*100)</f>
        <v>0.15178671540171035</v>
      </c>
      <c r="D32" s="237" t="s">
        <v>692</v>
      </c>
    </row>
    <row r="33" spans="1:5">
      <c r="A33" s="171" t="s">
        <v>40</v>
      </c>
      <c r="B33" s="37">
        <f>IF( ISERROR(IND_textiel_ele_kWh/1000),0,IND_textiel_ele_kWh/1000)</f>
        <v>2699.5709999999999</v>
      </c>
      <c r="C33" s="39">
        <f>IF(ISERROR(B33*3.6/1000000/'E Balans VL '!Z21*100),0,B33*3.6/1000000/'E Balans VL '!Z21*100)</f>
        <v>0.30419409831872468</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94.152000000000001</v>
      </c>
      <c r="C35" s="39">
        <f>IF(ISERROR(B35*3.6/1000000/'E Balans VL '!Z22*100),0,B35*3.6/1000000/'E Balans VL '!Z22*100)</f>
        <v>2.671649640484294E-3</v>
      </c>
      <c r="D35" s="237" t="s">
        <v>692</v>
      </c>
    </row>
    <row r="36" spans="1:5">
      <c r="A36" s="171" t="s">
        <v>34</v>
      </c>
      <c r="B36" s="37">
        <f>IF( ISERROR(IND_chemie_ele_kWh/1000),0,IND_chemie_ele_kWh/1000)</f>
        <v>101.9375</v>
      </c>
      <c r="C36" s="39">
        <f>IF(ISERROR(B36*3.6/1000000/'E Balans VL '!Z24*100),0,B36*3.6/1000000/'E Balans VL '!Z24*100)</f>
        <v>2.5992506590303238E-3</v>
      </c>
      <c r="D36" s="237" t="s">
        <v>692</v>
      </c>
    </row>
    <row r="37" spans="1:5">
      <c r="A37" s="171" t="s">
        <v>270</v>
      </c>
      <c r="B37" s="37">
        <f>IF( ISERROR(IND_rest_ele_kWh/1000),0,IND_rest_ele_kWh/1000)</f>
        <v>11409.869000000001</v>
      </c>
      <c r="C37" s="39">
        <f>IF(ISERROR(B37*3.6/1000000/'E Balans VL '!Z15*100),0,B37*3.6/1000000/'E Balans VL '!Z15*100)</f>
        <v>8.4602225182764057E-2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1633.27809</v>
      </c>
      <c r="C5" s="17">
        <f>'Eigen informatie GS &amp; warmtenet'!B60</f>
        <v>0</v>
      </c>
      <c r="D5" s="30">
        <f>IF(ISERROR(SUM(LB_lb_gas_kWh,LB_rest_gas_kWh)/1000),0,SUM(LB_lb_gas_kWh,LB_rest_gas_kWh)/1000)*0.902</f>
        <v>20820.049831460816</v>
      </c>
      <c r="E5" s="17">
        <f>B17*'E Balans VL '!I25/3.6*1000000/100</f>
        <v>15.128105749326018</v>
      </c>
      <c r="F5" s="17">
        <f>B17*('E Balans VL '!L25/3.6*1000000+'E Balans VL '!N25/3.6*1000000)/100</f>
        <v>4143.9376534868479</v>
      </c>
      <c r="G5" s="18"/>
      <c r="H5" s="17"/>
      <c r="I5" s="17"/>
      <c r="J5" s="17">
        <f>('E Balans VL '!D25+'E Balans VL '!E25)/3.6*1000000*landbouw!B17/100</f>
        <v>250.39975863368295</v>
      </c>
      <c r="K5" s="17"/>
      <c r="L5" s="17">
        <f>L6*(-1)</f>
        <v>0</v>
      </c>
      <c r="M5" s="17"/>
      <c r="N5" s="17">
        <f>N6*(-1)</f>
        <v>0</v>
      </c>
      <c r="O5" s="17"/>
      <c r="P5" s="17"/>
      <c r="R5" s="32"/>
    </row>
    <row r="6" spans="1:18">
      <c r="A6" s="16" t="s">
        <v>494</v>
      </c>
      <c r="B6" s="17" t="s">
        <v>211</v>
      </c>
      <c r="C6" s="17">
        <f>'lokale energieproductie'!O92+'lokale energieproductie'!O61</f>
        <v>19182.857142857145</v>
      </c>
      <c r="D6" s="310">
        <f>('lokale energieproductie'!P61+'lokale energieproductie'!P92)*(-1)</f>
        <v>-38365.71428571429</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1633.27809</v>
      </c>
      <c r="C8" s="21">
        <f>C5+C6</f>
        <v>19182.857142857145</v>
      </c>
      <c r="D8" s="21">
        <f>MAX((D5+D6),0)</f>
        <v>0</v>
      </c>
      <c r="E8" s="21">
        <f>MAX((E5+E6),0)</f>
        <v>15.128105749326018</v>
      </c>
      <c r="F8" s="21">
        <f>MAX((F5+F6),0)</f>
        <v>4143.9376534868479</v>
      </c>
      <c r="G8" s="21"/>
      <c r="H8" s="21"/>
      <c r="I8" s="21"/>
      <c r="J8" s="21">
        <f>MAX((J5+J6),0)</f>
        <v>250.39975863368295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0.18705594845380155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305.51438221376344</v>
      </c>
      <c r="C12" s="23">
        <f ca="1">C8*C10</f>
        <v>4558.7495798319333</v>
      </c>
      <c r="D12" s="23">
        <f>D8*D10</f>
        <v>0</v>
      </c>
      <c r="E12" s="23">
        <f>E8*E10</f>
        <v>3.4340800050970062</v>
      </c>
      <c r="F12" s="23">
        <f>F8*F10</f>
        <v>1106.4313534809885</v>
      </c>
      <c r="G12" s="23"/>
      <c r="H12" s="23"/>
      <c r="I12" s="23"/>
      <c r="J12" s="23">
        <f>J8*J10</f>
        <v>88.641514556323756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0.23221751291647263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251.29394908421054</v>
      </c>
      <c r="C26" s="247">
        <f>B26*'GWP N2O_CH4'!B5</f>
        <v>5277.1729307684209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79.422701386274852</v>
      </c>
      <c r="C27" s="247">
        <f>B27*'GWP N2O_CH4'!B5</f>
        <v>1667.876729111772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3.3746944678413549</v>
      </c>
      <c r="C28" s="247">
        <f>B28*'GWP N2O_CH4'!B4</f>
        <v>1046.1552850308201</v>
      </c>
      <c r="D28" s="50"/>
    </row>
    <row r="29" spans="1:4">
      <c r="A29" s="41" t="s">
        <v>277</v>
      </c>
      <c r="B29" s="247">
        <f>B34*'ha_N2O bodem landbouw'!B4</f>
        <v>10.664477094766488</v>
      </c>
      <c r="C29" s="247">
        <f>B29*'GWP N2O_CH4'!B4</f>
        <v>3305.987899377611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2.3918543329532497E-3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4.8162358308708296E-5</v>
      </c>
      <c r="C5" s="464" t="s">
        <v>211</v>
      </c>
      <c r="D5" s="449">
        <f>SUM(D6:D11)</f>
        <v>1.4832669728469619E-4</v>
      </c>
      <c r="E5" s="449">
        <f>SUM(E6:E11)</f>
        <v>9.2316284047996931E-4</v>
      </c>
      <c r="F5" s="462" t="s">
        <v>211</v>
      </c>
      <c r="G5" s="449">
        <f>SUM(G6:G11)</f>
        <v>0.24894103432570588</v>
      </c>
      <c r="H5" s="449">
        <f>SUM(H6:H11)</f>
        <v>5.5507002689380386E-2</v>
      </c>
      <c r="I5" s="464" t="s">
        <v>211</v>
      </c>
      <c r="J5" s="464" t="s">
        <v>211</v>
      </c>
      <c r="K5" s="464" t="s">
        <v>211</v>
      </c>
      <c r="L5" s="464" t="s">
        <v>211</v>
      </c>
      <c r="M5" s="449">
        <f>SUM(M6:M11)</f>
        <v>1.6108831167204605E-2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2.7397641867269586E-5</v>
      </c>
      <c r="C6" s="450"/>
      <c r="D6" s="893">
        <f>vkm_2011_GW_PW*SUMIFS(TableVerdeelsleutelVkm[CNG],TableVerdeelsleutelVkm[Voertuigtype],"Lichte voertuigen")*SUMIFS(TableECFTransport[EnergieConsumptieFactor (PJ per km)],TableECFTransport[Index],CONCATENATE($A6,"_CNG_CNG"))</f>
        <v>6.3373761994412546E-5</v>
      </c>
      <c r="E6" s="893">
        <f>vkm_2011_GW_PW*SUMIFS(TableVerdeelsleutelVkm[LPG],TableVerdeelsleutelVkm[Voertuigtype],"Lichte voertuigen")*SUMIFS(TableECFTransport[EnergieConsumptieFactor (PJ per km)],TableECFTransport[Index],CONCATENATE($A6,"_LPG_LPG"))</f>
        <v>4.126516677647248E-4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8.5725331069703939E-2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2.4164199261653335E-2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5.7026969643662996E-3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5.6313785427705466E-2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1.9258291910291919E-5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3.2580716880143351E-3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2.0764716441438707E-5</v>
      </c>
      <c r="C8" s="450"/>
      <c r="D8" s="452">
        <f>vkm_2011_NGW_PW*SUMIFS(TableVerdeelsleutelVkm[CNG],TableVerdeelsleutelVkm[Voertuigtype],"Lichte voertuigen")*SUMIFS(TableECFTransport[EnergieConsumptieFactor (PJ per km)],TableECFTransport[Index],CONCATENATE($A8,"_CNG_CNG"))</f>
        <v>8.4952935290283626E-5</v>
      </c>
      <c r="E8" s="452">
        <f>vkm_2011_NGW_PW*SUMIFS(TableVerdeelsleutelVkm[LPG],TableVerdeelsleutelVkm[Voertuigtype],"Lichte voertuigen")*SUMIFS(TableECFTransport[EnergieConsumptieFactor (PJ per km)],TableECFTransport[Index],CONCATENATE($A8,"_LPG_LPG"))</f>
        <v>5.1051117271524451E-4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9.9140519767447532E-2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3.1321033637814341E-2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6.6990260382935396E-3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7.7613980608489267E-3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2.5114980024116798E-6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4.4903647653043028E-4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13.378432863530081</v>
      </c>
      <c r="C14" s="21"/>
      <c r="D14" s="21">
        <f t="shared" ref="D14:M14" si="0">((D5)*10^9/3600)+D12</f>
        <v>41.201860356860053</v>
      </c>
      <c r="E14" s="21">
        <f t="shared" si="0"/>
        <v>256.434122355547</v>
      </c>
      <c r="F14" s="21"/>
      <c r="G14" s="21">
        <f t="shared" si="0"/>
        <v>69150.287312696077</v>
      </c>
      <c r="H14" s="21">
        <f t="shared" si="0"/>
        <v>15418.611858161217</v>
      </c>
      <c r="I14" s="21"/>
      <c r="J14" s="21"/>
      <c r="K14" s="21"/>
      <c r="L14" s="21"/>
      <c r="M14" s="21">
        <f t="shared" si="0"/>
        <v>4474.6753242235018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0.18705594845380155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2.5025154481131278</v>
      </c>
      <c r="C18" s="23"/>
      <c r="D18" s="23">
        <f t="shared" ref="D18:M18" si="1">D14*D16</f>
        <v>8.3227757920857304</v>
      </c>
      <c r="E18" s="23">
        <f t="shared" si="1"/>
        <v>58.210545774709175</v>
      </c>
      <c r="F18" s="23"/>
      <c r="G18" s="23">
        <f t="shared" si="1"/>
        <v>18463.126712489855</v>
      </c>
      <c r="H18" s="23">
        <f t="shared" si="1"/>
        <v>3839.2343526821433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4.1160830933143974E-3</v>
      </c>
      <c r="H50" s="321">
        <f t="shared" si="2"/>
        <v>0</v>
      </c>
      <c r="I50" s="321">
        <f t="shared" si="2"/>
        <v>0</v>
      </c>
      <c r="J50" s="321">
        <f t="shared" si="2"/>
        <v>0</v>
      </c>
      <c r="K50" s="321">
        <f t="shared" si="2"/>
        <v>0</v>
      </c>
      <c r="L50" s="321">
        <f t="shared" si="2"/>
        <v>0</v>
      </c>
      <c r="M50" s="321">
        <f t="shared" si="2"/>
        <v>2.3472821978131846E-4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4.1160830933143974E-3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2.3472821978131846E-4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1143.356414809555</v>
      </c>
      <c r="H54" s="21">
        <f t="shared" si="3"/>
        <v>0</v>
      </c>
      <c r="I54" s="21">
        <f t="shared" si="3"/>
        <v>0</v>
      </c>
      <c r="J54" s="21">
        <f t="shared" si="3"/>
        <v>0</v>
      </c>
      <c r="K54" s="21">
        <f t="shared" si="3"/>
        <v>0</v>
      </c>
      <c r="L54" s="21">
        <f t="shared" si="3"/>
        <v>0</v>
      </c>
      <c r="M54" s="21">
        <f t="shared" si="3"/>
        <v>65.20228327258846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0.18705594845380155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305.27616275415119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8058.9268886539867</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5393.6005402270312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13428</v>
      </c>
      <c r="C8" s="571">
        <f>B101</f>
        <v>15797.64705882353</v>
      </c>
      <c r="D8" s="1056"/>
      <c r="E8" s="1056">
        <f>E101</f>
        <v>0</v>
      </c>
      <c r="F8" s="1057"/>
      <c r="G8" s="572"/>
      <c r="H8" s="1056">
        <f>I101</f>
        <v>0</v>
      </c>
      <c r="I8" s="1056">
        <f>G101+F101</f>
        <v>0</v>
      </c>
      <c r="J8" s="1056">
        <f>H101+D101+C101</f>
        <v>0</v>
      </c>
      <c r="K8" s="1056"/>
      <c r="L8" s="1056"/>
      <c r="M8" s="1056"/>
      <c r="N8" s="573"/>
      <c r="O8" s="574">
        <f>C8*$C$12+D8*$D$12+E8*$E$12+F8*$F$12+G8*$G$12+H8*$H$12+I8*$I$12+J8*$J$12</f>
        <v>3191.1247058823533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26880.527428881018</v>
      </c>
      <c r="C10" s="584">
        <f t="shared" ref="C10:L10" si="0">SUM(C8:C9)</f>
        <v>15797.64705882353</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3191.1247058823533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19182.857142857145</v>
      </c>
      <c r="C17" s="596">
        <f>B102</f>
        <v>22568.067226890758</v>
      </c>
      <c r="D17" s="597"/>
      <c r="E17" s="597">
        <f>E102</f>
        <v>0</v>
      </c>
      <c r="F17" s="1062"/>
      <c r="G17" s="598"/>
      <c r="H17" s="596">
        <f>I102</f>
        <v>0</v>
      </c>
      <c r="I17" s="597">
        <f>G102+F102</f>
        <v>0</v>
      </c>
      <c r="J17" s="597">
        <f>H102+D102+C102</f>
        <v>0</v>
      </c>
      <c r="K17" s="597"/>
      <c r="L17" s="597"/>
      <c r="M17" s="597"/>
      <c r="N17" s="1063"/>
      <c r="O17" s="599">
        <f>C17*$C$22+E17*$E$22+H17*$H$22+I17*$I$22+J17*$J$22+D17*$D$22+F17*$F$22+G17*$G$22+K17*$K$22+L17*$L$22</f>
        <v>4558.7495798319333</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19182.857142857145</v>
      </c>
      <c r="C20" s="583">
        <f>SUM(C17:C19)</f>
        <v>22568.067226890758</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4558.7495798319333</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42008</v>
      </c>
      <c r="C28" s="797">
        <v>9220</v>
      </c>
      <c r="D28" s="654" t="s">
        <v>907</v>
      </c>
      <c r="E28" s="653" t="s">
        <v>908</v>
      </c>
      <c r="F28" s="653" t="s">
        <v>909</v>
      </c>
      <c r="G28" s="653" t="s">
        <v>910</v>
      </c>
      <c r="H28" s="653" t="s">
        <v>911</v>
      </c>
      <c r="I28" s="653" t="s">
        <v>912</v>
      </c>
      <c r="J28" s="796">
        <v>41092</v>
      </c>
      <c r="K28" s="796">
        <v>38534</v>
      </c>
      <c r="L28" s="653" t="s">
        <v>913</v>
      </c>
      <c r="M28" s="653">
        <v>1584</v>
      </c>
      <c r="N28" s="653">
        <v>7128</v>
      </c>
      <c r="O28" s="653">
        <v>10182.857142857143</v>
      </c>
      <c r="P28" s="653">
        <v>20365.714285714286</v>
      </c>
      <c r="Q28" s="653">
        <v>0</v>
      </c>
      <c r="R28" s="653">
        <v>0</v>
      </c>
      <c r="S28" s="653">
        <v>0</v>
      </c>
      <c r="T28" s="653">
        <v>0</v>
      </c>
      <c r="U28" s="653">
        <v>0</v>
      </c>
      <c r="V28" s="653">
        <v>0</v>
      </c>
      <c r="W28" s="653">
        <v>0</v>
      </c>
      <c r="X28" s="653">
        <v>10</v>
      </c>
      <c r="Y28" s="653" t="s">
        <v>112</v>
      </c>
      <c r="Z28" s="655" t="s">
        <v>112</v>
      </c>
    </row>
    <row r="29" spans="1:26" s="607" customFormat="1" ht="25.5">
      <c r="A29" s="606"/>
      <c r="B29" s="797">
        <v>42008</v>
      </c>
      <c r="C29" s="797">
        <v>9220</v>
      </c>
      <c r="D29" s="654" t="s">
        <v>914</v>
      </c>
      <c r="E29" s="653" t="s">
        <v>915</v>
      </c>
      <c r="F29" s="653" t="s">
        <v>916</v>
      </c>
      <c r="G29" s="653" t="s">
        <v>910</v>
      </c>
      <c r="H29" s="653" t="s">
        <v>911</v>
      </c>
      <c r="I29" s="653" t="s">
        <v>915</v>
      </c>
      <c r="J29" s="796">
        <v>40113</v>
      </c>
      <c r="K29" s="796">
        <v>40113</v>
      </c>
      <c r="L29" s="653" t="s">
        <v>913</v>
      </c>
      <c r="M29" s="653">
        <v>1400</v>
      </c>
      <c r="N29" s="653">
        <v>6300</v>
      </c>
      <c r="O29" s="653">
        <v>9000</v>
      </c>
      <c r="P29" s="653">
        <v>18000</v>
      </c>
      <c r="Q29" s="653">
        <v>0</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2984</v>
      </c>
      <c r="N58" s="611">
        <f>SUM(N28:N57)</f>
        <v>13428</v>
      </c>
      <c r="O58" s="611">
        <f t="shared" ref="O58:W58" si="2">SUM(O28:O57)</f>
        <v>19182.857142857145</v>
      </c>
      <c r="P58" s="611">
        <f t="shared" si="2"/>
        <v>38365.71428571429</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2984</v>
      </c>
      <c r="N61" s="616">
        <f t="shared" si="4"/>
        <v>13428</v>
      </c>
      <c r="O61" s="616">
        <f t="shared" si="4"/>
        <v>19182.857142857145</v>
      </c>
      <c r="P61" s="616">
        <f t="shared" si="4"/>
        <v>38365.71428571429</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15797.64705882353</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22568.067226890758</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2019-08-12T08:09:24Z</dcterms:modified>
</cp:coreProperties>
</file>