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E18"/>
  <c r="F88" i="14" s="1"/>
  <c r="F18" i="59" s="1"/>
  <c r="D18" i="18"/>
  <c r="D20" s="1"/>
  <c r="C18"/>
  <c r="B18"/>
  <c r="L9"/>
  <c r="L10" s="1"/>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59" s="1"/>
  <c r="B17" i="18"/>
  <c r="B20" s="1"/>
  <c r="G12"/>
  <c r="F12"/>
  <c r="E12"/>
  <c r="D12"/>
  <c r="C12"/>
  <c r="K10"/>
  <c r="G10"/>
  <c r="E77" i="14"/>
  <c r="E9" i="59" s="1"/>
  <c r="B8" i="18"/>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N26" s="1"/>
  <c r="L24"/>
  <c r="L26" s="1"/>
  <c r="J24"/>
  <c r="I24"/>
  <c r="H24"/>
  <c r="Q50"/>
  <c r="P50"/>
  <c r="O50"/>
  <c r="M50"/>
  <c r="L50"/>
  <c r="K50"/>
  <c r="J50"/>
  <c r="G50"/>
  <c r="D50"/>
  <c r="Q49"/>
  <c r="Q52" s="1"/>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P52"/>
  <c r="R44"/>
  <c r="E25"/>
  <c r="E55" s="1"/>
  <c r="C25"/>
  <c r="B14" i="48" s="1"/>
  <c r="J26" i="14"/>
  <c r="I26"/>
  <c r="H26"/>
  <c r="F20" i="18" l="1"/>
  <c r="G88" i="14"/>
  <c r="G18" i="59" s="1"/>
  <c r="G20" s="1"/>
  <c r="L90" i="14"/>
  <c r="L18" i="59"/>
  <c r="L20" s="1"/>
  <c r="N78" i="14"/>
  <c r="N9" i="59"/>
  <c r="N10" s="1"/>
  <c r="G22" i="14"/>
  <c r="D14" i="48"/>
  <c r="K78" i="14"/>
  <c r="H90"/>
  <c r="H18" i="59"/>
  <c r="M77" i="14"/>
  <c r="M9" i="59" s="1"/>
  <c r="H9" i="18"/>
  <c r="D22" i="14"/>
  <c r="L22"/>
  <c r="E10" i="59"/>
  <c r="G77" i="14"/>
  <c r="G9" i="59" s="1"/>
  <c r="G10" s="1"/>
  <c r="P28" i="48"/>
  <c r="I77" i="14"/>
  <c r="I9" i="59" s="1"/>
  <c r="O10"/>
  <c r="H20"/>
  <c r="M22" i="14"/>
  <c r="K20" i="59"/>
  <c r="C98" i="18"/>
  <c r="C101" s="1"/>
  <c r="D13" i="15"/>
  <c r="C16" i="16"/>
  <c r="P22" i="14"/>
  <c r="E20" i="59"/>
  <c r="C13" i="15"/>
  <c r="B16" i="16"/>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G90" i="14"/>
  <c r="Q77"/>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G5" i="48"/>
  <c r="H10" i="14"/>
  <c r="H16" s="1"/>
  <c r="M78"/>
  <c r="M8" i="59"/>
  <c r="M10" s="1"/>
  <c r="O8" i="18"/>
  <c r="O10" s="1"/>
  <c r="J87" i="14"/>
  <c r="I10" i="18"/>
  <c r="Q76" i="14"/>
  <c r="D78"/>
  <c r="I78"/>
  <c r="B76"/>
  <c r="J10" i="18"/>
  <c r="J76" i="14"/>
  <c r="I87"/>
  <c r="I17" i="59" s="1"/>
  <c r="I20" s="1"/>
  <c r="I20" i="18"/>
  <c r="Q87" i="14"/>
  <c r="D90"/>
  <c r="A31" i="23"/>
  <c r="A32"/>
  <c r="A33"/>
  <c r="B78" i="14" l="1"/>
  <c r="B8" i="59"/>
  <c r="B10" s="1"/>
  <c r="J78" i="14"/>
  <c r="J8" i="59"/>
  <c r="J10" s="1"/>
  <c r="J90" i="14"/>
  <c r="J17" i="59"/>
  <c r="J20" s="1"/>
  <c r="Q90" i="14"/>
  <c r="B17" i="6" s="1"/>
  <c r="P17" i="59"/>
  <c r="P20" s="1"/>
  <c r="Q78" i="14"/>
  <c r="B9" i="6" s="1"/>
  <c r="P8" i="59"/>
  <c r="P10" s="1"/>
  <c r="C87" i="14"/>
  <c r="B87"/>
  <c r="I90"/>
  <c r="C76"/>
  <c r="B11" i="44"/>
  <c r="B25"/>
  <c r="B24"/>
  <c r="B90" i="14" l="1"/>
  <c r="B17" i="59"/>
  <c r="B20" s="1"/>
  <c r="C78" i="14"/>
  <c r="B4" i="6" s="1"/>
  <c r="C8" i="59"/>
  <c r="C10" s="1"/>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31"/>
  <c r="D29"/>
  <c r="D24"/>
  <c r="D28"/>
  <c r="D32"/>
  <c r="L32"/>
  <c r="L27"/>
  <c r="L24"/>
  <c r="L28"/>
  <c r="L22"/>
  <c r="L29"/>
  <c r="L31"/>
  <c r="L30"/>
  <c r="Q10" i="14"/>
  <c r="P5" i="48"/>
  <c r="P23" s="1"/>
  <c r="K28"/>
  <c r="K32"/>
  <c r="K27"/>
  <c r="K30"/>
  <c r="K26"/>
  <c r="K31"/>
  <c r="K24"/>
  <c r="K25"/>
  <c r="K29"/>
  <c r="K22"/>
  <c r="B7"/>
  <c r="C24" i="14"/>
  <c r="C26" s="1"/>
  <c r="J30" i="48"/>
  <c r="J24"/>
  <c r="J29"/>
  <c r="J32"/>
  <c r="J31"/>
  <c r="J28"/>
  <c r="J27"/>
  <c r="P4"/>
  <c r="Q11" i="14"/>
  <c r="P11"/>
  <c r="O4" i="48"/>
  <c r="I22"/>
  <c r="I26"/>
  <c r="I25"/>
  <c r="I32"/>
  <c r="I29"/>
  <c r="I28"/>
  <c r="I24"/>
  <c r="I31"/>
  <c r="I27"/>
  <c r="I30"/>
  <c r="E11" i="14"/>
  <c r="D4" i="48"/>
  <c r="D22" s="1"/>
  <c r="H26"/>
  <c r="H32"/>
  <c r="H28"/>
  <c r="H29"/>
  <c r="H25"/>
  <c r="H24"/>
  <c r="H22"/>
  <c r="H30"/>
  <c r="H23"/>
  <c r="D11" i="14"/>
  <c r="C4" i="48"/>
  <c r="G30"/>
  <c r="G24"/>
  <c r="G25"/>
  <c r="G29"/>
  <c r="G26"/>
  <c r="G32"/>
  <c r="G22"/>
  <c r="G23"/>
  <c r="C11" i="14"/>
  <c r="B4" i="48"/>
  <c r="F24"/>
  <c r="F32"/>
  <c r="F29"/>
  <c r="F27"/>
  <c r="F30"/>
  <c r="F31"/>
  <c r="F28"/>
  <c r="N30"/>
  <c r="N27"/>
  <c r="N31"/>
  <c r="N32"/>
  <c r="N24"/>
  <c r="N29"/>
  <c r="N28"/>
  <c r="C19" i="14"/>
  <c r="B10" i="48"/>
  <c r="E32"/>
  <c r="E31"/>
  <c r="E28"/>
  <c r="E30"/>
  <c r="E24"/>
  <c r="E29"/>
  <c r="M32"/>
  <c r="M26"/>
  <c r="M25"/>
  <c r="M24"/>
  <c r="M29"/>
  <c r="M30"/>
  <c r="M22"/>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G13"/>
  <c r="H18" i="14"/>
  <c r="R18" s="1"/>
  <c r="H13" i="48"/>
  <c r="H31" s="1"/>
  <c r="I18" i="14"/>
  <c r="P22" i="16"/>
  <c r="Q43" i="14" s="1"/>
  <c r="Q13"/>
  <c r="Q16" s="1"/>
  <c r="Q27" s="1"/>
  <c r="P8" i="48"/>
  <c r="P26" s="1"/>
  <c r="C22" i="14"/>
  <c r="K23" i="48"/>
  <c r="K15"/>
  <c r="J10" i="14"/>
  <c r="J16" s="1"/>
  <c r="J27" s="1"/>
  <c r="I5" i="48"/>
  <c r="E9"/>
  <c r="E27" s="1"/>
  <c r="F20" i="14"/>
  <c r="F22" s="1"/>
  <c r="D9" i="48"/>
  <c r="D27" s="1"/>
  <c r="E20" i="14"/>
  <c r="E22" s="1"/>
  <c r="P10"/>
  <c r="O5" i="48"/>
  <c r="O23" s="1"/>
  <c r="J7"/>
  <c r="J25" s="1"/>
  <c r="K24" i="14"/>
  <c r="K26" s="1"/>
  <c r="P15" i="48"/>
  <c r="P22"/>
  <c r="P33" s="1"/>
  <c r="C20" i="14"/>
  <c r="B9" i="48"/>
  <c r="L63" i="14"/>
  <c r="J46"/>
  <c r="J61" s="1"/>
  <c r="K33" i="48"/>
  <c r="D10" i="14"/>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E7"/>
  <c r="E25" s="1"/>
  <c r="F24" i="14"/>
  <c r="F26" s="1"/>
  <c r="G31" i="48"/>
  <c r="Q13"/>
  <c r="M9"/>
  <c r="N20" i="14"/>
  <c r="H20"/>
  <c r="G9" i="48"/>
  <c r="M10"/>
  <c r="M28" s="1"/>
  <c r="N19" i="14"/>
  <c r="N22" s="1"/>
  <c r="N27" s="1"/>
  <c r="O22" i="16"/>
  <c r="P43" i="14" s="1"/>
  <c r="P46" s="1"/>
  <c r="P61" s="1"/>
  <c r="P13"/>
  <c r="P16" s="1"/>
  <c r="P27" s="1"/>
  <c r="O8" i="48"/>
  <c r="O26" s="1"/>
  <c r="O33" s="1"/>
  <c r="H19" i="14"/>
  <c r="G10" i="48"/>
  <c r="I23"/>
  <c r="I33" s="1"/>
  <c r="I15"/>
  <c r="K11" i="14"/>
  <c r="J4" i="48"/>
  <c r="Q46" i="14"/>
  <c r="Q61" s="1"/>
  <c r="Q63" s="1"/>
  <c r="J63"/>
  <c r="O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22" i="48"/>
  <c r="K10" i="14"/>
  <c r="J5" i="48"/>
  <c r="J23" s="1"/>
  <c r="E5"/>
  <c r="E23" s="1"/>
  <c r="F10" i="14"/>
  <c r="M27" i="48"/>
  <c r="M33" s="1"/>
  <c r="M15"/>
  <c r="I20" i="14"/>
  <c r="I22" s="1"/>
  <c r="I27" s="1"/>
  <c r="I63" s="1"/>
  <c r="H9" i="48"/>
  <c r="G28"/>
  <c r="Q10"/>
  <c r="E22"/>
  <c r="Q4"/>
  <c r="G27"/>
  <c r="G33" s="1"/>
  <c r="G15"/>
  <c r="R19" i="14"/>
  <c r="R11"/>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K46" s="1"/>
  <c r="K61" s="1"/>
  <c r="K63" s="1"/>
  <c r="K13"/>
  <c r="J8" i="48"/>
  <c r="F13" i="14"/>
  <c r="E8" i="48"/>
  <c r="F46" i="14"/>
  <c r="F61" s="1"/>
  <c r="R22"/>
  <c r="K16"/>
  <c r="K27" s="1"/>
  <c r="H63"/>
  <c r="R20"/>
  <c r="F16"/>
  <c r="F27" s="1"/>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<sst xmlns="http://schemas.openxmlformats.org/spreadsheetml/2006/main" count="2437" uniqueCount="920">
  <si>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</si>
  <si>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</si>
  <si>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</si>
  <si>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</si>
  <si>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</si>
  <si>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</si>
  <si>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</si>
  <si>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</si>
  <si>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</si>
  <si>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</si>
  <si>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</si>
  <si>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</si>
  <si>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</si>
  <si>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</si>
  <si>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</si>
  <si>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</si>
  <si>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</si>
  <si>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</si>
  <si>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</si>
  <si>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</si>
  <si>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</si>
  <si>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</si>
  <si>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</si>
  <si>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</si>
  <si>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</si>
  <si>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</si>
  <si>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</si>
  <si>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</si>
  <si>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</si>
  <si>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</si>
  <si>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</si>
  <si>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</si>
  <si>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</si>
  <si>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</si>
  <si>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</si>
  <si>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</si>
  <si>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</si>
  <si>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</si>
  <si>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</si>
  <si>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</si>
  <si>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</si>
  <si>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</si>
  <si>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</si>
  <si>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</si>
  <si>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</si>
  <si>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</si>
  <si>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</si>
  <si>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</si>
  <si>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</si>
  <si>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</si>
  <si>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</si>
  <si>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</si>
  <si>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</si>
  <si>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</si>
  <si>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</si>
  <si>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</si>
  <si>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</si>
  <si>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</si>
  <si>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</si>
  <si>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</si>
  <si>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</si>
  <si>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</si>
  <si>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</si>
  <si>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</si>
  <si>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</si>
  <si>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</si>
  <si>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</si>
  <si>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</si>
  <si>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</si>
  <si>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</si>
  <si>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</si>
  <si>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</si>
  <si>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</si>
  <si>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</si>
  <si>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</si>
  <si>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</si>
  <si>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</si>
  <si>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</si>
  <si>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</si>
  <si>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</si>
  <si>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</si>
  <si>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</si>
  <si>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</si>
  <si>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</si>
  <si>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</si>
  <si>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</si>
  <si>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</si>
  <si>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</si>
  <si>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</si>
  <si>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</si>
  <si>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</si>
  <si>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</si>
  <si>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</si>
  <si>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</si>
  <si>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</si>
  <si>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</si>
  <si>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</si>
  <si>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</si>
  <si>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</si>
  <si>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</si>
  <si>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</si>
  <si>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</si>
  <si>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</si>
  <si>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</si>
  <si>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</si>
  <si>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</si>
  <si>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</si>
  <si>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</si>
  <si>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</si>
  <si>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</si>
  <si>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</si>
  <si>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</si>
  <si>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</si>
  <si>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</si>
  <si>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</si>
  <si>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</si>
  <si>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</si>
  <si>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</si>
  <si>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</si>
  <si>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</si>
  <si>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</si>
  <si>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</si>
  <si>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</si>
  <si>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</si>
  <si>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</si>
  <si>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</si>
  <si>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</si>
  <si>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</si>
  <si>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</si>
  <si>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</si>
  <si>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</si>
  <si>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</si>
  <si>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</si>
  <si>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</si>
  <si>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</si>
  <si>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</si>
  <si>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</si>
  <si>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</si>
  <si>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</si>
  <si>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</si>
  <si>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</si>
  <si>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</si>
  <si>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</si>
  <si>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</si>
  <si>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</si>
  <si>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</si>
  <si>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</si>
  <si>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</si>
  <si>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</si>
  <si>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</si>
  <si>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</si>
  <si>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</si>
  <si>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</si>
  <si>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</si>
  <si>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</si>
  <si>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</si>
  <si>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</si>
  <si>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</si>
  <si>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</si>
  <si>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</si>
  <si>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</si>
  <si>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</si>
  <si>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</si>
  <si>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</si>
  <si>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</si>
  <si>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</si>
  <si>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</si>
  <si>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</si>
  <si>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</si>
  <si>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</si>
  <si>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</si>
  <si>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</si>
  <si>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</si>
  <si>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</si>
  <si>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</si>
  <si>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</si>
  <si>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</si>
  <si>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</si>
  <si>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</si>
  <si>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</si>
  <si>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</si>
  <si>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</si>
  <si>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</si>
  <si>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</si>
  <si>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</si>
  <si>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</si>
  <si>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</si>
  <si>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</si>
  <si>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</si>
  <si>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</si>
  <si>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</si>
  <si>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</si>
  <si>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</si>
  <si>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</si>
  <si>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</si>
  <si>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</si>
  <si>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</si>
  <si>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</si>
  <si>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</si>
  <si>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</si>
  <si>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</si>
  <si>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</si>
  <si>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</si>
  <si>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</si>
  <si>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</si>
  <si>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</si>
  <si>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</si>
  <si>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</si>
  <si>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</si>
  <si>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</si>
  <si>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</si>
  <si>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</si>
  <si>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</si>
  <si>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</si>
  <si>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</si>
  <si>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</si>
  <si>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</si>
  <si>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</si>
  <si>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</si>
  <si>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</si>
  <si>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</si>
  <si>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</si>
  <si>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</si>
  <si>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</si>
  <si>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</si>
  <si>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</si>
  <si>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</si>
  <si>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</si>
  <si>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</si>
  <si>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</si>
  <si>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</si>
  <si>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</si>
  <si>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</si>
  <si>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</si>
  <si>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</si>
  <si>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</si>
  <si>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</si>
  <si>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</si>
  <si>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</si>
  <si>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</si>
  <si>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</si>
  <si>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</si>
  <si>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</si>
  <si>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</si>
  <si>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</si>
  <si>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</si>
  <si>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</si>
  <si>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</si>
  <si>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</si>
  <si>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</si>
  <si>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</si>
  <si>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</si>
  <si>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</si>
  <si>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</si>
  <si>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</si>
  <si>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</si>
  <si>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</si>
  <si>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</si>
  <si>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</si>
  <si>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</si>
  <si>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</si>
  <si>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</si>
  <si>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</si>
  <si>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</si>
  <si>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</si>
  <si>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</si>
  <si>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</si>
  <si>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</si>
  <si>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</si>
  <si>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</si>
  <si>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</si>
  <si>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</si>
  <si>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</si>
  <si>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</si>
  <si>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</si>
  <si>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</si>
  <si>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</si>
  <si>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</si>
  <si>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</si>
  <si>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</si>
  <si>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</si>
  <si>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</si>
  <si>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</si>
  <si>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</si>
  <si>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</si>
  <si>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</si>
  <si>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</si>
  <si>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</si>
  <si>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</si>
  <si>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</si>
  <si>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</si>
  <si>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</si>
  <si>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</si>
  <si>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</si>
  <si>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</si>
  <si>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</si>
  <si>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</si>
  <si>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</si>
  <si>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</si>
  <si>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</si>
  <si>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</si>
  <si>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</si>
  <si>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</si>
  <si>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</si>
  <si>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</si>
  <si>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</si>
  <si>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</si>
  <si>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</si>
  <si>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</si>
  <si>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</si>
  <si>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</si>
  <si>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</si>
  <si>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</si>
  <si>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</si>
  <si>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</si>
  <si>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</si>
  <si>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</si>
  <si>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</si>
  <si>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</si>
  <si>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</si>
  <si>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</si>
  <si>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</si>
  <si>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</si>
  <si>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</si>
  <si>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</si>
  <si>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</si>
  <si>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</si>
  <si>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</si>
  <si>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</si>
  <si>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</si>
  <si>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</si>
  <si>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</si>
  <si>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</si>
  <si>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</si>
  <si>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</si>
  <si>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</si>
  <si>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</si>
  <si>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</si>
  <si>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</si>
  <si>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</si>
  <si>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</si>
  <si>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</si>
  <si>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</si>
  <si>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</si>
  <si>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</si>
  <si>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</si>
  <si>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</si>
  <si>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</si>
  <si>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</si>
  <si>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</si>
  <si>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</si>
  <si>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</si>
  <si>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</si>
  <si>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</si>
  <si>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</si>
  <si>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</si>
  <si>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</si>
  <si>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</si>
  <si>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</si>
  <si>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</si>
  <si>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</si>
  <si>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</si>
  <si>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</si>
  <si>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</si>
  <si>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</si>
  <si>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</si>
  <si>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</si>
  <si>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</si>
  <si>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</si>
  <si>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</si>
  <si>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</si>
  <si>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</si>
  <si>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</si>
  <si>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</si>
  <si>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</si>
  <si>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</si>
  <si>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</si>
  <si>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</si>
  <si>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</si>
  <si>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</si>
  <si>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</si>
  <si>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</si>
  <si>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</si>
  <si>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</si>
  <si>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</si>
  <si>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</si>
  <si>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</si>
  <si>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</si>
  <si>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</si>
  <si>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</si>
  <si>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</si>
  <si>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</si>
  <si>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</si>
  <si>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</si>
  <si>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</si>
  <si>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</si>
  <si>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</si>
  <si>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</si>
  <si>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</si>
  <si>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</si>
  <si>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</si>
  <si>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</si>
  <si>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</si>
  <si>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</si>
  <si>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</si>
  <si>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</si>
  <si>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</si>
  <si>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</si>
  <si>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</si>
  <si>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</si>
  <si>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</si>
  <si>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</si>
  <si>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</si>
  <si>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</si>
  <si>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</si>
  <si>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</si>
  <si>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</si>
  <si>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</si>
  <si>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</si>
  <si>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</si>
  <si>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</si>
  <si>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</si>
  <si>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</si>
  <si>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</si>
  <si>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</si>
  <si>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</si>
  <si>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</si>
  <si>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</si>
  <si>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</si>
  <si>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</si>
  <si>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</si>
  <si>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</si>
  <si>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</si>
  <si>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</si>
  <si>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</si>
  <si>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</si>
  <si>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</si>
  <si>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</si>
  <si>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</si>
  <si>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</si>
  <si>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</si>
  <si>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</si>
  <si>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</si>
  <si>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</si>
  <si>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</si>
  <si>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</si>
  <si>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</si>
  <si>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</si>
  <si>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</si>
  <si>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</si>
  <si>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</si>
  <si>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</si>
  <si>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</si>
  <si>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</si>
  <si>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</si>
  <si>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</si>
  <si>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</si>
  <si>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</si>
  <si>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</si>
  <si>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</si>
  <si>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</si>
  <si>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</si>
  <si>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</si>
  <si>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</si>
  <si>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</si>
  <si>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</si>
  <si>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</si>
  <si>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</si>
  <si>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</si>
  <si>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</si>
  <si>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</si>
  <si>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</si>
  <si>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</si>
  <si>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</si>
  <si>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</si>
  <si>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</si>
  <si>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</si>
  <si>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</si>
  <si>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</si>
  <si>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</si>
  <si>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</si>
  <si>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</si>
  <si>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</si>
  <si>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</si>
  <si>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</si>
  <si>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</si>
  <si>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</si>
  <si>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</si>
  <si>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</si>
  <si>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</si>
  <si>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</si>
  <si>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</si>
  <si>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</si>
  <si>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</si>
  <si>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</si>
  <si>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</si>
  <si>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</si>
  <si>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</si>
  <si>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</si>
  <si>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</si>
  <si>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</si>
  <si>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</si>
  <si>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</si>
  <si>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</si>
  <si>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</si>
  <si>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</si>
  <si>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</si>
  <si>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</si>
  <si>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</si>
  <si>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</si>
  <si>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</si>
  <si>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</si>
  <si>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</si>
  <si>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</si>
  <si>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</si>
  <si>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</si>
  <si>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</si>
  <si>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</si>
  <si>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</si>
  <si>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</si>
  <si>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</si>
  <si>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</si>
  <si>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</si>
  <si>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</si>
  <si>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</si>
  <si>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</si>
  <si>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</si>
  <si>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</si>
  <si>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</si>
  <si>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</si>
  <si>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</si>
  <si>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</si>
  <si>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</si>
  <si>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</si>
  <si>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</si>
  <si>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</si>
  <si>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</si>
  <si>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</si>
  <si>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</si>
  <si>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</si>
  <si>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</si>
  <si>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</si>
  <si>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</si>
  <si>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</si>
  <si>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</si>
  <si>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</si>
  <si>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</si>
  <si>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</si>
  <si>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</si>
  <si>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</si>
  <si>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</si>
  <si>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</si>
  <si>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</si>
  <si>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</si>
  <si>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</si>
  <si>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</si>
  <si>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</si>
  <si>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</si>
  <si>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</si>
  <si>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</si>
  <si>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</si>
  <si>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</si>
  <si>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</si>
  <si>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</si>
  <si>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</si>
  <si>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</si>
  <si>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</si>
  <si>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</si>
  <si>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</si>
  <si>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</si>
  <si>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</si>
  <si>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</si>
  <si>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</si>
  <si>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</si>
  <si>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</si>
  <si>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</si>
  <si>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</si>
  <si>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</si>
  <si>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</si>
  <si>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</si>
  <si>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</si>
  <si>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</si>
  <si>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</si>
  <si>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</si>
  <si>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</si>
  <si>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</si>
  <si>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</si>
  <si>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</si>
  <si>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</si>
  <si>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</si>
  <si>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</si>
  <si>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</si>
  <si>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</si>
  <si>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</si>
  <si>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</si>
  <si>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</si>
  <si>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</si>
  <si>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</si>
  <si>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</si>
  <si>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</si>
  <si>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</si>
  <si>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</si>
  <si>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</si>
  <si>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</si>
  <si>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</si>
  <si>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</si>
  <si>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</si>
  <si>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</si>
  <si>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</si>
  <si>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</si>
  <si>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</si>
  <si>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</si>
  <si>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</si>
  <si>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</si>
  <si>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</si>
  <si>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</si>
  <si>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</si>
  <si>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</si>
  <si>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</si>
  <si>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</si>
  <si>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</si>
  <si>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</si>
  <si>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</si>
  <si>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</si>
  <si>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</si>
  <si>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</si>
  <si>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</si>
  <si>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</si>
  <si>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</si>
  <si>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</si>
  <si>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</si>
  <si>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</si>
  <si>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</si>
  <si>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</si>
  <si>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</si>
  <si>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</si>
  <si>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</si>
  <si>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</si>
  <si>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</si>
  <si>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</si>
  <si>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</si>
  <si>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</si>
  <si>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</si>
  <si>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</si>
  <si>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</si>
  <si>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</si>
  <si>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</si>
  <si>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</si>
  <si>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</si>
  <si>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</si>
  <si>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</si>
  <si>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</si>
  <si>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</si>
  <si>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</si>
  <si>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</si>
  <si>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</si>
  <si>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</si>
  <si>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</si>
  <si>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</si>
  <si>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</si>
  <si>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</si>
  <si>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</si>
  <si>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</si>
  <si>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</si>
  <si>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</si>
  <si>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</si>
  <si>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</si>
  <si>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</si>
  <si>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</si>
  <si>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</si>
  <si>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</si>
  <si>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</si>
  <si>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</si>
  <si>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</si>
  <si>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</si>
  <si>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</si>
  <si>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</si>
  <si>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</si>
  <si>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</si>
  <si>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</si>
  <si>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</si>
  <si>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</si>
  <si>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</si>
  <si>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</si>
  <si>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</si>
  <si>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</si>
  <si>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</si>
  <si>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</si>
  <si>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</si>
  <si>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</si>
  <si>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</si>
  <si>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</si>
  <si>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</si>
  <si>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</si>
  <si>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</si>
  <si>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</si>
  <si>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</si>
  <si>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</si>
  <si>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</si>
  <si>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</si>
  <si>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</si>
  <si>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</si>
  <si>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</si>
  <si>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</si>
  <si>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</si>
  <si>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</si>
  <si>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</si>
  <si>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</si>
  <si>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</si>
  <si>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</si>
  <si>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</si>
  <si>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</si>
  <si>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</si>
  <si>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</si>
  <si>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</si>
  <si>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</si>
  <si>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</si>
  <si>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</si>
  <si>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</si>
  <si>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</si>
  <si>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</si>
  <si>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</si>
  <si>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</si>
  <si>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</si>
  <si>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</si>
  <si>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</si>
  <si>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</si>
  <si>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</si>
  <si>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</si>
  <si>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</si>
  <si>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</si>
  <si>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</si>
  <si>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</si>
  <si>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</si>
  <si>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</si>
  <si>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</si>
  <si>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</si>
  <si>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</si>
  <si>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</si>
  <si>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</si>
  <si>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</si>
  <si>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</si>
  <si>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</si>
  <si>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</si>
  <si>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</si>
  <si>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</si>
  <si>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</si>
  <si>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</si>
  <si>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</si>
  <si>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</si>
  <si>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</si>
  <si>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</si>
  <si>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</si>
  <si>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</si>
  <si>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</si>
  <si>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</si>
  <si>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</si>
  <si>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</si>
  <si>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</si>
  <si>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</si>
  <si>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</si>
  <si>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</si>
  <si>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</si>
  <si>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</si>
  <si>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</si>
  <si>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</si>
  <si>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</si>
  <si>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</si>
  <si>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</si>
  <si>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</si>
  <si>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</si>
  <si>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</si>
  <si>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</si>
  <si>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</si>
  <si>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</si>
  <si>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</si>
  <si>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</si>
  <si>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</si>
  <si>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</si>
  <si>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</si>
  <si>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</si>
  <si>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</si>
  <si>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</si>
  <si>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</si>
  <si>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</si>
  <si>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</si>
  <si>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</si>
  <si>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</si>
  <si>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</si>
  <si>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</si>
  <si>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</si>
  <si>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</si>
  <si>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</si>
  <si>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</si>
  <si>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</si>
  <si>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</si>
  <si>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</si>
  <si>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</si>
  <si>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</si>
  <si>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</si>
  <si>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</si>
  <si>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</si>
  <si>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</si>
  <si>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</si>
  <si>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</si>
  <si>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</si>
  <si>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</si>
  <si>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</si>
  <si>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</si>
  <si>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</si>
  <si>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</si>
  <si>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</si>
  <si>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</si>
  <si>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</si>
  <si>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</si>
  <si>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</si>
  <si>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</si>
  <si>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</si>
  <si>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</si>
  <si>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</si>
  <si>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</si>
  <si>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</si>
  <si>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</si>
  <si>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</si>
  <si>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</si>
  <si>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</si>
  <si>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</si>
  <si>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</si>
  <si>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</si>
  <si>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</si>
  <si>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</si>
  <si>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</si>
  <si>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</si>
  <si>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</si>
  <si>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</si>
  <si>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</si>
  <si>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</si>
  <si>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</si>
  <si>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</si>
  <si>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</si>
  <si>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</si>
  <si>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</si>
  <si>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</si>
  <si>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</si>
  <si>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</si>
  <si>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</si>
  <si>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</si>
  <si>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</si>
  <si>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</si>
  <si>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</si>
  <si>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</si>
  <si>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</si>
  <si>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</si>
  <si>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</si>
  <si>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</si>
  <si>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</si>
  <si>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</si>
  <si>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</si>
  <si>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</si>
  <si>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</si>
  <si>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</si>
  <si>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</si>
  <si>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</si>
  <si>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</si>
  <si>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</si>
  <si>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</si>
  <si>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</si>
  <si>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</si>
  <si>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</si>
  <si>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</si>
  <si>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</si>
  <si>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</si>
  <si>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</si>
  <si>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</si>
  <si>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</si>
  <si>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</si>
  <si>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</si>
  <si>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</si>
  <si>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</si>
  <si>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</si>
  <si>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</si>
  <si>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</si>
  <si>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</si>
  <si>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</si>
  <si>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</si>
  <si>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</si>
  <si>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</si>
  <si>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</si>
  <si>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</si>
  <si>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</si>
  <si>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</si>
  <si>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</si>
  <si>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</si>
  <si>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</si>
  <si>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</si>
  <si>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</si>
  <si>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</si>
  <si>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</si>
  <si>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</si>
  <si>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42006</t>
  </si>
  <si>
    <t>DENDERMONDE</t>
  </si>
  <si>
    <t>Paarden&amp;pony's 200 - 600 kg</t>
  </si>
  <si>
    <t>Paarden&amp;pony's &lt; 200 kg</t>
  </si>
  <si>
    <t>referentietaak LNE (2017); Jaarverslag De Lijn (2014)</t>
  </si>
  <si>
    <t>op basis van VEA (maart 2018) en Inventaris Hernieuwbare Energiebronnen (juni 2018)</t>
  </si>
  <si>
    <t>VEA (maart 2016)</t>
  </si>
  <si>
    <t>VEA (juni 2018)</t>
  </si>
  <si>
    <t>Herman Fierlafijn</t>
  </si>
  <si>
    <t>Lindestraat 64 , 9200 Dendermonde</t>
  </si>
  <si>
    <t>WKK-0346 Herman Fierlafijn</t>
  </si>
  <si>
    <t>interne verbrandingsmotor</t>
  </si>
  <si>
    <t>WKK interne verbrandinsgmotor (gas)</t>
  </si>
  <si>
    <t>INTERGEM</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</si>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</sst>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313413.46366758435</c:v>
                </c:pt>
                <c:pt idx="1">
                  <c:v>193039.87153917621</c:v>
                </c:pt>
                <c:pt idx="2">
                  <c:v>2951.6260000000002</c:v>
                </c:pt>
                <c:pt idx="3">
                  <c:v>6076.7575623739667</c:v>
                </c:pt>
                <c:pt idx="4">
                  <c:v>202189.44719426299</c:v>
                </c:pt>
                <c:pt idx="5">
                  <c:v>203263.27066485659</c:v>
                </c:pt>
                <c:pt idx="6">
                  <c:v>3942.7377532973683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313413.46366758435</c:v>
                </c:pt>
                <c:pt idx="1">
                  <c:v>193039.87153917621</c:v>
                </c:pt>
                <c:pt idx="2">
                  <c:v>2951.6260000000002</c:v>
                </c:pt>
                <c:pt idx="3">
                  <c:v>6076.7575623739667</c:v>
                </c:pt>
                <c:pt idx="4">
                  <c:v>202189.44719426299</c:v>
                </c:pt>
                <c:pt idx="5">
                  <c:v>203263.27066485659</c:v>
                </c:pt>
                <c:pt idx="6">
                  <c:v>3942.7377532973683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60232.242906326785</c:v>
                </c:pt>
                <c:pt idx="2">
                  <c:v>38345.343040701955</c:v>
                </c:pt>
                <c:pt idx="3">
                  <c:v>559.66720504668012</c:v>
                </c:pt>
                <c:pt idx="4">
                  <c:v>1414.5451248334343</c:v>
                </c:pt>
                <c:pt idx="5">
                  <c:v>39640.508033014012</c:v>
                </c:pt>
                <c:pt idx="6">
                  <c:v>50942.629142702892</c:v>
                </c:pt>
                <c:pt idx="7">
                  <c:v>995.91675107098172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4512"/>
        <c:axId val="174150400"/>
      </c:barChart>
      <c:catAx>
        <c:axId val="174144512"/>
        <c:scaling>
          <c:orientation val="minMax"/>
        </c:scaling>
        <c:axPos val="b"/>
        <c:numFmt formatCode="General" sourceLinked="0"/>
        <c:tickLblPos val="nextTo"/>
        <c:crossAx val="174150400"/>
        <c:crosses val="autoZero"/>
        <c:auto val="1"/>
        <c:lblAlgn val="ctr"/>
        <c:lblOffset val="100"/>
      </c:catAx>
      <c:valAx>
        <c:axId val="174150400"/>
        <c:scaling>
          <c:orientation val="minMax"/>
        </c:scaling>
        <c:axPos val="l"/>
        <c:majorGridlines/>
        <c:numFmt formatCode="#,##0" sourceLinked="1"/>
        <c:tickLblPos val="nextTo"/>
        <c:crossAx val="174144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60232.242906326785</c:v>
                </c:pt>
                <c:pt idx="2">
                  <c:v>38345.343040701955</c:v>
                </c:pt>
                <c:pt idx="3">
                  <c:v>559.66720504668012</c:v>
                </c:pt>
                <c:pt idx="4">
                  <c:v>1414.5451248334343</c:v>
                </c:pt>
                <c:pt idx="5">
                  <c:v>39640.508033014012</c:v>
                </c:pt>
                <c:pt idx="6">
                  <c:v>50942.629142702892</c:v>
                </c:pt>
                <c:pt idx="7">
                  <c:v>995.91675107098172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42006</v>
      </c>
      <c r="B6" s="416"/>
      <c r="C6" s="417"/>
    </row>
    <row r="7" spans="1:7" s="414" customFormat="1" ht="15.75" customHeight="1">
      <c r="A7" s="418" t="str">
        <f>txtMunicipality</f>
        <v>DENDERMONDE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0.18961318440977282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0.18961318440977282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19467</v>
      </c>
      <c r="C9" s="342">
        <v>20245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2050</v>
      </c>
    </row>
    <row r="15" spans="1:6">
      <c r="A15" s="348" t="s">
        <v>184</v>
      </c>
      <c r="B15" s="334">
        <v>524</v>
      </c>
    </row>
    <row r="16" spans="1:6">
      <c r="A16" s="348" t="s">
        <v>6</v>
      </c>
      <c r="B16" s="334">
        <v>671</v>
      </c>
    </row>
    <row r="17" spans="1:6">
      <c r="A17" s="348" t="s">
        <v>7</v>
      </c>
      <c r="B17" s="334">
        <v>855</v>
      </c>
    </row>
    <row r="18" spans="1:6">
      <c r="A18" s="348" t="s">
        <v>8</v>
      </c>
      <c r="B18" s="334">
        <v>1122</v>
      </c>
    </row>
    <row r="19" spans="1:6">
      <c r="A19" s="348" t="s">
        <v>9</v>
      </c>
      <c r="B19" s="334">
        <v>1033</v>
      </c>
    </row>
    <row r="20" spans="1:6">
      <c r="A20" s="348" t="s">
        <v>10</v>
      </c>
      <c r="B20" s="334">
        <v>989</v>
      </c>
    </row>
    <row r="21" spans="1:6">
      <c r="A21" s="348" t="s">
        <v>11</v>
      </c>
      <c r="B21" s="334">
        <v>0</v>
      </c>
    </row>
    <row r="22" spans="1:6">
      <c r="A22" s="348" t="s">
        <v>12</v>
      </c>
      <c r="B22" s="334">
        <v>4515</v>
      </c>
    </row>
    <row r="23" spans="1:6">
      <c r="A23" s="348" t="s">
        <v>13</v>
      </c>
      <c r="B23" s="334">
        <v>0</v>
      </c>
    </row>
    <row r="24" spans="1:6">
      <c r="A24" s="348" t="s">
        <v>14</v>
      </c>
      <c r="B24" s="334">
        <v>0</v>
      </c>
    </row>
    <row r="25" spans="1:6">
      <c r="A25" s="348" t="s">
        <v>15</v>
      </c>
      <c r="B25" s="334">
        <v>0</v>
      </c>
    </row>
    <row r="26" spans="1:6">
      <c r="A26" s="348" t="s">
        <v>16</v>
      </c>
      <c r="B26" s="334">
        <v>921</v>
      </c>
    </row>
    <row r="27" spans="1:6">
      <c r="A27" s="348" t="s">
        <v>17</v>
      </c>
      <c r="B27" s="334">
        <v>0</v>
      </c>
    </row>
    <row r="28" spans="1:6" s="356" customFormat="1">
      <c r="A28" s="355" t="s">
        <v>18</v>
      </c>
      <c r="B28" s="355">
        <v>81689</v>
      </c>
    </row>
    <row r="29" spans="1:6">
      <c r="A29" s="355" t="s">
        <v>901</v>
      </c>
      <c r="B29" s="355">
        <v>314</v>
      </c>
      <c r="C29" s="356"/>
      <c r="D29" s="356"/>
      <c r="E29" s="356"/>
      <c r="F29" s="356"/>
    </row>
    <row r="30" spans="1:6">
      <c r="A30" s="341" t="s">
        <v>902</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2650594.4161713901</v>
      </c>
      <c r="E36" s="334">
        <v>5</v>
      </c>
      <c r="F36" s="334">
        <v>15710.97</v>
      </c>
    </row>
    <row r="37" spans="1:6">
      <c r="A37" s="348" t="s">
        <v>25</v>
      </c>
      <c r="B37" s="348" t="s">
        <v>28</v>
      </c>
      <c r="C37" s="334">
        <v>0</v>
      </c>
      <c r="D37" s="334">
        <v>0</v>
      </c>
      <c r="E37" s="334">
        <v>0</v>
      </c>
      <c r="F37" s="334">
        <v>0</v>
      </c>
    </row>
    <row r="38" spans="1:6">
      <c r="A38" s="348" t="s">
        <v>25</v>
      </c>
      <c r="B38" s="348" t="s">
        <v>29</v>
      </c>
      <c r="C38" s="334">
        <v>0</v>
      </c>
      <c r="D38" s="334">
        <v>0</v>
      </c>
      <c r="E38" s="334">
        <v>2</v>
      </c>
      <c r="F38" s="334">
        <v>20280.060000000001</v>
      </c>
    </row>
    <row r="39" spans="1:6">
      <c r="A39" s="348" t="s">
        <v>30</v>
      </c>
      <c r="B39" s="348" t="s">
        <v>31</v>
      </c>
      <c r="C39" s="334">
        <v>14460</v>
      </c>
      <c r="D39" s="334">
        <v>202955008.61881</v>
      </c>
      <c r="E39" s="334">
        <v>19534</v>
      </c>
      <c r="F39" s="334">
        <v>70511732</v>
      </c>
    </row>
    <row r="40" spans="1:6">
      <c r="A40" s="348" t="s">
        <v>30</v>
      </c>
      <c r="B40" s="348" t="s">
        <v>29</v>
      </c>
      <c r="C40" s="334">
        <v>0</v>
      </c>
      <c r="D40" s="334">
        <v>0</v>
      </c>
      <c r="E40" s="334">
        <v>0</v>
      </c>
      <c r="F40" s="334">
        <v>0</v>
      </c>
    </row>
    <row r="41" spans="1:6">
      <c r="A41" s="348" t="s">
        <v>32</v>
      </c>
      <c r="B41" s="348" t="s">
        <v>33</v>
      </c>
      <c r="C41" s="334">
        <v>156</v>
      </c>
      <c r="D41" s="334">
        <v>3703924.97529358</v>
      </c>
      <c r="E41" s="334">
        <v>347</v>
      </c>
      <c r="F41" s="334">
        <v>16001366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6642377.3606972396</v>
      </c>
      <c r="E44" s="334">
        <v>39</v>
      </c>
      <c r="F44" s="334">
        <v>10352706</v>
      </c>
    </row>
    <row r="45" spans="1:6">
      <c r="A45" s="348" t="s">
        <v>32</v>
      </c>
      <c r="B45" s="348" t="s">
        <v>37</v>
      </c>
      <c r="C45" s="334">
        <v>0</v>
      </c>
      <c r="D45" s="334">
        <v>0</v>
      </c>
      <c r="E45" s="334">
        <v>6</v>
      </c>
      <c r="F45" s="334">
        <v>164928.29999999999</v>
      </c>
    </row>
    <row r="46" spans="1:6">
      <c r="A46" s="348" t="s">
        <v>32</v>
      </c>
      <c r="B46" s="348" t="s">
        <v>38</v>
      </c>
      <c r="C46" s="334">
        <v>0</v>
      </c>
      <c r="D46" s="334">
        <v>0</v>
      </c>
      <c r="E46" s="334">
        <v>0</v>
      </c>
      <c r="F46" s="334">
        <v>0</v>
      </c>
    </row>
    <row r="47" spans="1:6">
      <c r="A47" s="348" t="s">
        <v>32</v>
      </c>
      <c r="B47" s="348" t="s">
        <v>39</v>
      </c>
      <c r="C47" s="334">
        <v>13</v>
      </c>
      <c r="D47" s="334">
        <v>2229025.1552784098</v>
      </c>
      <c r="E47" s="334">
        <v>18</v>
      </c>
      <c r="F47" s="334">
        <v>644583.30000000005</v>
      </c>
    </row>
    <row r="48" spans="1:6">
      <c r="A48" s="348" t="s">
        <v>32</v>
      </c>
      <c r="B48" s="348" t="s">
        <v>29</v>
      </c>
      <c r="C48" s="334">
        <v>47</v>
      </c>
      <c r="D48" s="334">
        <v>61412282.582472302</v>
      </c>
      <c r="E48" s="334">
        <v>53</v>
      </c>
      <c r="F48" s="334">
        <v>28157014</v>
      </c>
    </row>
    <row r="49" spans="1:6">
      <c r="A49" s="348" t="s">
        <v>32</v>
      </c>
      <c r="B49" s="348" t="s">
        <v>40</v>
      </c>
      <c r="C49" s="334">
        <v>0</v>
      </c>
      <c r="D49" s="334">
        <v>0</v>
      </c>
      <c r="E49" s="334">
        <v>0</v>
      </c>
      <c r="F49" s="334">
        <v>0</v>
      </c>
    </row>
    <row r="50" spans="1:6">
      <c r="A50" s="348" t="s">
        <v>32</v>
      </c>
      <c r="B50" s="348" t="s">
        <v>41</v>
      </c>
      <c r="C50" s="334">
        <v>36</v>
      </c>
      <c r="D50" s="334">
        <v>2604721.8523595599</v>
      </c>
      <c r="E50" s="334">
        <v>54</v>
      </c>
      <c r="F50" s="334">
        <v>11093763</v>
      </c>
    </row>
    <row r="51" spans="1:6">
      <c r="A51" s="348" t="s">
        <v>42</v>
      </c>
      <c r="B51" s="348" t="s">
        <v>43</v>
      </c>
      <c r="C51" s="334">
        <v>13</v>
      </c>
      <c r="D51" s="334">
        <v>388518.26358211797</v>
      </c>
      <c r="E51" s="334">
        <v>73</v>
      </c>
      <c r="F51" s="334">
        <v>1087352</v>
      </c>
    </row>
    <row r="52" spans="1:6">
      <c r="A52" s="348" t="s">
        <v>42</v>
      </c>
      <c r="B52" s="348" t="s">
        <v>29</v>
      </c>
      <c r="C52" s="334">
        <v>6</v>
      </c>
      <c r="D52" s="334">
        <v>1542503.85359064</v>
      </c>
      <c r="E52" s="334">
        <v>6</v>
      </c>
      <c r="F52" s="334">
        <v>63486.99</v>
      </c>
    </row>
    <row r="53" spans="1:6">
      <c r="A53" s="348" t="s">
        <v>44</v>
      </c>
      <c r="B53" s="348" t="s">
        <v>45</v>
      </c>
      <c r="C53" s="334">
        <v>394</v>
      </c>
      <c r="D53" s="334">
        <v>8719217.0637909994</v>
      </c>
      <c r="E53" s="334">
        <v>690</v>
      </c>
      <c r="F53" s="334">
        <v>2557599</v>
      </c>
    </row>
    <row r="54" spans="1:6">
      <c r="A54" s="348" t="s">
        <v>46</v>
      </c>
      <c r="B54" s="348" t="s">
        <v>47</v>
      </c>
      <c r="C54" s="334">
        <v>0</v>
      </c>
      <c r="D54" s="334">
        <v>0</v>
      </c>
      <c r="E54" s="334">
        <v>1</v>
      </c>
      <c r="F54" s="334">
        <v>2951626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175</v>
      </c>
      <c r="D57" s="334">
        <v>13838719.021275301</v>
      </c>
      <c r="E57" s="334">
        <v>357</v>
      </c>
      <c r="F57" s="334">
        <v>11408174</v>
      </c>
    </row>
    <row r="58" spans="1:6">
      <c r="A58" s="348" t="s">
        <v>49</v>
      </c>
      <c r="B58" s="348" t="s">
        <v>51</v>
      </c>
      <c r="C58" s="334">
        <v>83</v>
      </c>
      <c r="D58" s="334">
        <v>12466054.057347</v>
      </c>
      <c r="E58" s="334">
        <v>127</v>
      </c>
      <c r="F58" s="334">
        <v>10285357</v>
      </c>
    </row>
    <row r="59" spans="1:6">
      <c r="A59" s="348" t="s">
        <v>49</v>
      </c>
      <c r="B59" s="348" t="s">
        <v>52</v>
      </c>
      <c r="C59" s="334">
        <v>353</v>
      </c>
      <c r="D59" s="334">
        <v>18470451.621768702</v>
      </c>
      <c r="E59" s="334">
        <v>582</v>
      </c>
      <c r="F59" s="334">
        <v>26449619</v>
      </c>
    </row>
    <row r="60" spans="1:6">
      <c r="A60" s="348" t="s">
        <v>49</v>
      </c>
      <c r="B60" s="348" t="s">
        <v>53</v>
      </c>
      <c r="C60" s="334">
        <v>190</v>
      </c>
      <c r="D60" s="334">
        <v>7159786.4068585001</v>
      </c>
      <c r="E60" s="334">
        <v>230</v>
      </c>
      <c r="F60" s="334">
        <v>5406923</v>
      </c>
    </row>
    <row r="61" spans="1:6">
      <c r="A61" s="348" t="s">
        <v>49</v>
      </c>
      <c r="B61" s="348" t="s">
        <v>54</v>
      </c>
      <c r="C61" s="334">
        <v>419</v>
      </c>
      <c r="D61" s="334">
        <v>38310287.600956403</v>
      </c>
      <c r="E61" s="334">
        <v>841</v>
      </c>
      <c r="F61" s="334">
        <v>23531438</v>
      </c>
    </row>
    <row r="62" spans="1:6">
      <c r="A62" s="348" t="s">
        <v>49</v>
      </c>
      <c r="B62" s="348" t="s">
        <v>55</v>
      </c>
      <c r="C62" s="334">
        <v>44</v>
      </c>
      <c r="D62" s="334">
        <v>6842226.4470995096</v>
      </c>
      <c r="E62" s="334">
        <v>55</v>
      </c>
      <c r="F62" s="334">
        <v>2255304</v>
      </c>
    </row>
    <row r="63" spans="1:6">
      <c r="A63" s="348" t="s">
        <v>49</v>
      </c>
      <c r="B63" s="348" t="s">
        <v>29</v>
      </c>
      <c r="C63" s="334">
        <v>106</v>
      </c>
      <c r="D63" s="334">
        <v>5837579.2916560201</v>
      </c>
      <c r="E63" s="334">
        <v>103</v>
      </c>
      <c r="F63" s="334">
        <v>3619939</v>
      </c>
    </row>
    <row r="64" spans="1:6">
      <c r="A64" s="348" t="s">
        <v>56</v>
      </c>
      <c r="B64" s="348" t="s">
        <v>57</v>
      </c>
      <c r="C64" s="334">
        <v>0</v>
      </c>
      <c r="D64" s="334">
        <v>0</v>
      </c>
      <c r="E64" s="334">
        <v>0</v>
      </c>
      <c r="F64" s="334">
        <v>0</v>
      </c>
    </row>
    <row r="65" spans="1:6">
      <c r="A65" s="348" t="s">
        <v>56</v>
      </c>
      <c r="B65" s="348" t="s">
        <v>29</v>
      </c>
      <c r="C65" s="334">
        <v>5</v>
      </c>
      <c r="D65" s="334">
        <v>160716.32275666099</v>
      </c>
      <c r="E65" s="334">
        <v>12</v>
      </c>
      <c r="F65" s="334">
        <v>60662</v>
      </c>
    </row>
    <row r="66" spans="1:6">
      <c r="A66" s="348" t="s">
        <v>56</v>
      </c>
      <c r="B66" s="348" t="s">
        <v>58</v>
      </c>
      <c r="C66" s="334">
        <v>4</v>
      </c>
      <c r="D66" s="334">
        <v>20862.177321806099</v>
      </c>
      <c r="E66" s="334">
        <v>23</v>
      </c>
      <c r="F66" s="334">
        <v>393429.7</v>
      </c>
    </row>
    <row r="67" spans="1:6">
      <c r="A67" s="355" t="s">
        <v>56</v>
      </c>
      <c r="B67" s="355" t="s">
        <v>59</v>
      </c>
      <c r="C67" s="334">
        <v>0</v>
      </c>
      <c r="D67" s="334">
        <v>0</v>
      </c>
      <c r="E67" s="334">
        <v>0</v>
      </c>
      <c r="F67" s="334">
        <v>0</v>
      </c>
    </row>
    <row r="68" spans="1:6">
      <c r="A68" s="341" t="s">
        <v>56</v>
      </c>
      <c r="B68" s="341" t="s">
        <v>60</v>
      </c>
      <c r="C68" s="334">
        <v>12</v>
      </c>
      <c r="D68" s="334">
        <v>3357103.4811268202</v>
      </c>
      <c r="E68" s="334">
        <v>18</v>
      </c>
      <c r="F68" s="334">
        <v>810208.7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168820345</v>
      </c>
      <c r="E73" s="476">
        <v>179766559.4539794</v>
      </c>
    </row>
    <row r="74" spans="1:6">
      <c r="A74" s="348" t="s">
        <v>64</v>
      </c>
      <c r="B74" s="348" t="s">
        <v>714</v>
      </c>
      <c r="C74" s="1311" t="s">
        <v>716</v>
      </c>
      <c r="D74" s="476">
        <v>19442849.170619536</v>
      </c>
      <c r="E74" s="476">
        <v>20189663.07806731</v>
      </c>
    </row>
    <row r="75" spans="1:6">
      <c r="A75" s="348" t="s">
        <v>65</v>
      </c>
      <c r="B75" s="348" t="s">
        <v>713</v>
      </c>
      <c r="C75" s="1311" t="s">
        <v>717</v>
      </c>
      <c r="D75" s="476">
        <v>49281527</v>
      </c>
      <c r="E75" s="476">
        <v>53743326.00966312</v>
      </c>
    </row>
    <row r="76" spans="1:6">
      <c r="A76" s="348" t="s">
        <v>65</v>
      </c>
      <c r="B76" s="348" t="s">
        <v>714</v>
      </c>
      <c r="C76" s="1311" t="s">
        <v>718</v>
      </c>
      <c r="D76" s="476">
        <v>2026631.1706195348</v>
      </c>
      <c r="E76" s="476">
        <v>2127159.572202635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1053593.6587609302</v>
      </c>
      <c r="C83" s="476">
        <v>1068992.7395479092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15592.271588917494</v>
      </c>
    </row>
    <row r="91" spans="1:6">
      <c r="A91" s="348" t="s">
        <v>68</v>
      </c>
      <c r="B91" s="334">
        <v>6195.2477089575914</v>
      </c>
    </row>
    <row r="92" spans="1:6">
      <c r="A92" s="341" t="s">
        <v>69</v>
      </c>
      <c r="B92" s="342">
        <v>9124.0069538277785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27</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159</v>
      </c>
    </row>
    <row r="130" spans="1:6">
      <c r="A130" s="348" t="s">
        <v>295</v>
      </c>
      <c r="B130" s="334">
        <v>2</v>
      </c>
    </row>
    <row r="131" spans="1:6">
      <c r="A131" s="348" t="s">
        <v>296</v>
      </c>
      <c r="B131" s="334">
        <v>3</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235207.04992847273</v>
      </c>
      <c r="C3" s="43" t="s">
        <v>170</v>
      </c>
      <c r="D3" s="43"/>
      <c r="E3" s="154"/>
      <c r="F3" s="43"/>
      <c r="G3" s="43"/>
      <c r="H3" s="43"/>
      <c r="I3" s="43"/>
      <c r="J3" s="43"/>
      <c r="K3" s="96"/>
    </row>
    <row r="4" spans="1:11">
      <c r="A4" s="384" t="s">
        <v>171</v>
      </c>
      <c r="B4" s="49">
        <f>IF(ISERROR('SEAP template'!B78+'SEAP template'!C78),0,'SEAP template'!B78+'SEAP template'!C78)</f>
        <v>33404.52625170286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0.18961318440977282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77.142857142857139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2951.6260000000002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2951.6260000000002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0.18961318440977282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559.66720504668012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70511.732000000004</v>
      </c>
      <c r="C5" s="17">
        <f>IF(ISERROR('Eigen informatie GS &amp; warmtenet'!B57),0,'Eigen informatie GS &amp; warmtenet'!B57)</f>
        <v>0</v>
      </c>
      <c r="D5" s="30">
        <f>(SUM(HH_hh_gas_kWh,HH_rest_gas_kWh)/1000)*0.902</f>
        <v>183065.41777416662</v>
      </c>
      <c r="E5" s="17">
        <f>B46*B57</f>
        <v>6262.3795366143904</v>
      </c>
      <c r="F5" s="17">
        <f>B51*B62</f>
        <v>18967.002424632163</v>
      </c>
      <c r="G5" s="18"/>
      <c r="H5" s="17"/>
      <c r="I5" s="17"/>
      <c r="J5" s="17">
        <f>B50*B61+C50*C61</f>
        <v>6278.5989397898284</v>
      </c>
      <c r="K5" s="17"/>
      <c r="L5" s="17"/>
      <c r="M5" s="17"/>
      <c r="N5" s="17">
        <f>B48*B59+C48*C59</f>
        <v>20657.045283423751</v>
      </c>
      <c r="O5" s="17">
        <f>B69*B70*B71</f>
        <v>293.90666666666669</v>
      </c>
      <c r="P5" s="17">
        <f>B77*B78*B79/1000-B77*B78*B79/1000/B80</f>
        <v>1182.1333333333332</v>
      </c>
    </row>
    <row r="6" spans="1:16">
      <c r="A6" s="16" t="s">
        <v>631</v>
      </c>
      <c r="B6" s="789">
        <f>kWh_PV_kleiner_dan_10kW</f>
        <v>6195.2477089575914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76706.979708957602</v>
      </c>
      <c r="C8" s="21">
        <f>C5</f>
        <v>0</v>
      </c>
      <c r="D8" s="21">
        <f>D5</f>
        <v>183065.41777416662</v>
      </c>
      <c r="E8" s="21">
        <f>E5</f>
        <v>6262.3795366143904</v>
      </c>
      <c r="F8" s="21">
        <f>F5</f>
        <v>18967.002424632163</v>
      </c>
      <c r="G8" s="21"/>
      <c r="H8" s="21"/>
      <c r="I8" s="21"/>
      <c r="J8" s="21">
        <f>J5</f>
        <v>6278.5989397898284</v>
      </c>
      <c r="K8" s="21"/>
      <c r="L8" s="21">
        <f>L5</f>
        <v>0</v>
      </c>
      <c r="M8" s="21">
        <f>M5</f>
        <v>0</v>
      </c>
      <c r="N8" s="21">
        <f>N5</f>
        <v>20657.045283423751</v>
      </c>
      <c r="O8" s="21">
        <f>O5</f>
        <v>293.90666666666669</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0.18961318440977282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14544.65468907128</v>
      </c>
      <c r="C12" s="23">
        <f ca="1">C10*C8</f>
        <v>0</v>
      </c>
      <c r="D12" s="23">
        <f>D8*D10</f>
        <v>36979.214390381661</v>
      </c>
      <c r="E12" s="23">
        <f>E10*E8</f>
        <v>1421.5601548114666</v>
      </c>
      <c r="F12" s="23">
        <f>F10*F8</f>
        <v>5064.1896473767874</v>
      </c>
      <c r="G12" s="23"/>
      <c r="H12" s="23"/>
      <c r="I12" s="23"/>
      <c r="J12" s="23">
        <f>J10*J8</f>
        <v>2222.6240246855991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740</v>
      </c>
      <c r="B28" s="37">
        <f>aantalHuishoudens2011</f>
        <v>19467</v>
      </c>
      <c r="C28" s="36"/>
      <c r="D28" s="228"/>
    </row>
    <row r="29" spans="1:7" s="15" customFormat="1">
      <c r="A29" s="230" t="s">
        <v>741</v>
      </c>
      <c r="B29" s="37">
        <f>SUM(HH_hh_gas_aantal,HH_rest_gas_aantal)</f>
        <v>14460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14460</v>
      </c>
      <c r="C32" s="167">
        <f>IF(ISERROR(B32/SUM($B$32,$B$34,$B$35,$B$36,$B$38,$B$39)*100),0,B32/SUM($B$32,$B$34,$B$35,$B$36,$B$38,$B$39)*100)</f>
        <v>74.516877093532599</v>
      </c>
      <c r="D32" s="233"/>
      <c r="G32" s="15"/>
    </row>
    <row r="33" spans="1:7">
      <c r="A33" s="171" t="s">
        <v>72</v>
      </c>
      <c r="B33" s="34" t="s">
        <v>111</v>
      </c>
      <c r="C33" s="167"/>
      <c r="D33" s="233"/>
      <c r="G33" s="15"/>
    </row>
    <row r="34" spans="1:7">
      <c r="A34" s="171" t="s">
        <v>73</v>
      </c>
      <c r="B34" s="33">
        <f>IF((($B$28-$B$32-$B$39-$B$77-$B$38)*C20/100)&lt;0,0,($B$28-$B$32-$B$39-$B$77-$B$38)*C20/100)</f>
        <v>419.716594157862</v>
      </c>
      <c r="C34" s="167">
        <f>IF(ISERROR(B34/SUM($B$32,$B$34,$B$35,$B$36,$B$38,$B$39)*100),0,B34/SUM($B$32,$B$34,$B$35,$B$36,$B$38,$B$39)*100)</f>
        <v>2.1629301425295644</v>
      </c>
      <c r="D34" s="233"/>
      <c r="G34" s="15"/>
    </row>
    <row r="35" spans="1:7">
      <c r="A35" s="171" t="s">
        <v>74</v>
      </c>
      <c r="B35" s="33">
        <f>IF((($B$28-$B$32-$B$39-$B$77-$B$38)*C21/100)&lt;0,0,($B$28-$B$32-$B$39-$B$77-$B$38)*C21/100)</f>
        <v>3211.2044748290859</v>
      </c>
      <c r="C35" s="167">
        <f>IF(ISERROR(B35/SUM($B$32,$B$34,$B$35,$B$36,$B$38,$B$39)*100),0,B35/SUM($B$32,$B$34,$B$35,$B$36,$B$38,$B$39)*100)</f>
        <v>16.548335350832701</v>
      </c>
      <c r="D35" s="233"/>
      <c r="G35" s="15"/>
    </row>
    <row r="36" spans="1:7">
      <c r="A36" s="171" t="s">
        <v>75</v>
      </c>
      <c r="B36" s="33">
        <f>IF((($B$28-$B$32-$B$39-$B$77-$B$38)*C22/100)&lt;0,0,($B$28-$B$32-$B$39-$B$77-$B$38)*C22/100)</f>
        <v>365.0789310130516</v>
      </c>
      <c r="C36" s="167">
        <f>IF(ISERROR(B36/SUM($B$32,$B$34,$B$35,$B$36,$B$38,$B$39)*100),0,B36/SUM($B$32,$B$34,$B$35,$B$36,$B$38,$B$39)*100)</f>
        <v>1.8813652719044143</v>
      </c>
      <c r="D36" s="233"/>
      <c r="G36" s="15"/>
    </row>
    <row r="37" spans="1:7">
      <c r="A37" s="171" t="s">
        <v>76</v>
      </c>
      <c r="B37" s="34" t="s">
        <v>111</v>
      </c>
      <c r="C37" s="167"/>
      <c r="D37" s="173"/>
      <c r="G37" s="15"/>
    </row>
    <row r="38" spans="1:7">
      <c r="A38" s="171" t="s">
        <v>77</v>
      </c>
      <c r="B38" s="33">
        <f>IF((B24-(B29-B18)*0.1)&lt;0,0,B24-(B29-B18)*0.1)</f>
        <v>178.5</v>
      </c>
      <c r="C38" s="167">
        <f>IF(ISERROR(B38/SUM($B$32,$B$34,$B$35,$B$36,$B$38,$B$39)*100),0,B38/SUM($B$32,$B$34,$B$35,$B$36,$B$38,$B$39)*100)</f>
        <v>0.91986601391393974</v>
      </c>
      <c r="D38" s="234"/>
      <c r="G38" s="15"/>
    </row>
    <row r="39" spans="1:7">
      <c r="A39" s="171" t="s">
        <v>78</v>
      </c>
      <c r="B39" s="33">
        <f>IF((B25-(B29-B18))&lt;0,0,B25-(B29-B18)*0.9)</f>
        <v>770.5</v>
      </c>
      <c r="C39" s="167">
        <f>IF(ISERROR(B39/SUM($B$32,$B$34,$B$35,$B$36,$B$38,$B$39)*100),0,B39/SUM($B$32,$B$34,$B$35,$B$36,$B$38,$B$39)*100)</f>
        <v>3.9706261272867818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14460</v>
      </c>
      <c r="C44" s="34" t="s">
        <v>111</v>
      </c>
      <c r="D44" s="174"/>
    </row>
    <row r="45" spans="1:7">
      <c r="A45" s="171" t="s">
        <v>72</v>
      </c>
      <c r="B45" s="33" t="str">
        <f t="shared" si="0"/>
        <v>-</v>
      </c>
      <c r="C45" s="34" t="s">
        <v>111</v>
      </c>
      <c r="D45" s="174"/>
    </row>
    <row r="46" spans="1:7">
      <c r="A46" s="171" t="s">
        <v>73</v>
      </c>
      <c r="B46" s="33">
        <f t="shared" si="0"/>
        <v>419.716594157862</v>
      </c>
      <c r="C46" s="34" t="s">
        <v>111</v>
      </c>
      <c r="D46" s="174"/>
    </row>
    <row r="47" spans="1:7">
      <c r="A47" s="171" t="s">
        <v>74</v>
      </c>
      <c r="B47" s="33">
        <f t="shared" si="0"/>
        <v>3211.2044748290859</v>
      </c>
      <c r="C47" s="34" t="s">
        <v>111</v>
      </c>
      <c r="D47" s="174"/>
    </row>
    <row r="48" spans="1:7">
      <c r="A48" s="171" t="s">
        <v>75</v>
      </c>
      <c r="B48" s="33">
        <f t="shared" si="0"/>
        <v>365.0789310130516</v>
      </c>
      <c r="C48" s="33">
        <f>B48*10</f>
        <v>3650.7893101305162</v>
      </c>
      <c r="D48" s="234"/>
    </row>
    <row r="49" spans="1:6">
      <c r="A49" s="171" t="s">
        <v>76</v>
      </c>
      <c r="B49" s="33" t="str">
        <f t="shared" si="0"/>
        <v>-</v>
      </c>
      <c r="C49" s="34" t="s">
        <v>111</v>
      </c>
      <c r="D49" s="234"/>
    </row>
    <row r="50" spans="1:6">
      <c r="A50" s="171" t="s">
        <v>77</v>
      </c>
      <c r="B50" s="33">
        <f t="shared" si="0"/>
        <v>178.5</v>
      </c>
      <c r="C50" s="33">
        <f>B50*2</f>
        <v>357</v>
      </c>
      <c r="D50" s="234"/>
    </row>
    <row r="51" spans="1:6">
      <c r="A51" s="171" t="s">
        <v>78</v>
      </c>
      <c r="B51" s="33">
        <f t="shared" si="0"/>
        <v>770.5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82956.754000000001</v>
      </c>
      <c r="C5" s="17">
        <f>IF(ISERROR('Eigen informatie GS &amp; warmtenet'!B58),0,'Eigen informatie GS &amp; warmtenet'!B58)</f>
        <v>0</v>
      </c>
      <c r="D5" s="30">
        <f>SUM(D6:D12)</f>
        <v>92838.444211159222</v>
      </c>
      <c r="E5" s="17">
        <f>SUM(E6:E12)</f>
        <v>660.80412671880083</v>
      </c>
      <c r="F5" s="17">
        <f>SUM(F6:F12)</f>
        <v>12171.587723854032</v>
      </c>
      <c r="G5" s="18"/>
      <c r="H5" s="17"/>
      <c r="I5" s="17"/>
      <c r="J5" s="17">
        <f>SUM(J6:J12)</f>
        <v>0</v>
      </c>
      <c r="K5" s="17"/>
      <c r="L5" s="17"/>
      <c r="M5" s="17"/>
      <c r="N5" s="17">
        <f>SUM(N6:N12)</f>
        <v>8881.5262393488974</v>
      </c>
      <c r="O5" s="17">
        <f>B38*B39*B40</f>
        <v>3.1266666666666669</v>
      </c>
      <c r="P5" s="17">
        <f>B46*B47*B48/1000-B46*B47*B48/1000/B49</f>
        <v>57.2</v>
      </c>
      <c r="R5" s="32"/>
    </row>
    <row r="6" spans="1:18">
      <c r="A6" s="32" t="s">
        <v>54</v>
      </c>
      <c r="B6" s="37">
        <f>B26</f>
        <v>23531.437999999998</v>
      </c>
      <c r="C6" s="33"/>
      <c r="D6" s="37">
        <f>IF(ISERROR(TER_kantoor_gas_kWh/1000),0,TER_kantoor_gas_kWh/1000)*0.902</f>
        <v>34555.879416062679</v>
      </c>
      <c r="E6" s="33">
        <f>$C$26*'E Balans VL '!I12/100/3.6*1000000</f>
        <v>68.174028437500837</v>
      </c>
      <c r="F6" s="33">
        <f>$C$26*('E Balans VL '!L12+'E Balans VL '!N12)/100/3.6*1000000</f>
        <v>2663.240343825164</v>
      </c>
      <c r="G6" s="34"/>
      <c r="H6" s="33"/>
      <c r="I6" s="33"/>
      <c r="J6" s="33">
        <f>$C$26*('E Balans VL '!D12+'E Balans VL '!E12)/100/3.6*1000000</f>
        <v>0</v>
      </c>
      <c r="K6" s="33"/>
      <c r="L6" s="33"/>
      <c r="M6" s="33"/>
      <c r="N6" s="33">
        <f>$C$26*'E Balans VL '!Y12/100/3.6*1000000</f>
        <v>235.5323556423283</v>
      </c>
      <c r="O6" s="33"/>
      <c r="P6" s="33"/>
      <c r="R6" s="32"/>
    </row>
    <row r="7" spans="1:18">
      <c r="A7" s="32" t="s">
        <v>53</v>
      </c>
      <c r="B7" s="37">
        <f t="shared" ref="B7:B12" si="0">B27</f>
        <v>5406.9229999999998</v>
      </c>
      <c r="C7" s="33"/>
      <c r="D7" s="37">
        <f>IF(ISERROR(TER_horeca_gas_kWh/1000),0,TER_horeca_gas_kWh/1000)*0.902</f>
        <v>6458.1273389863672</v>
      </c>
      <c r="E7" s="33">
        <f>$C$27*'E Balans VL '!I9/100/3.6*1000000</f>
        <v>226.96752089570319</v>
      </c>
      <c r="F7" s="33">
        <f>$C$27*('E Balans VL '!L9+'E Balans VL '!N9)/100/3.6*1000000</f>
        <v>1161.7882859490637</v>
      </c>
      <c r="G7" s="34"/>
      <c r="H7" s="33"/>
      <c r="I7" s="33"/>
      <c r="J7" s="33">
        <f>$C$27*('E Balans VL '!D9+'E Balans VL '!E9)/100/3.6*1000000</f>
        <v>0</v>
      </c>
      <c r="K7" s="33"/>
      <c r="L7" s="33"/>
      <c r="M7" s="33"/>
      <c r="N7" s="33">
        <f>$C$27*'E Balans VL '!Y9/100/3.6*1000000</f>
        <v>1.3933167718429826</v>
      </c>
      <c r="O7" s="33"/>
      <c r="P7" s="33"/>
      <c r="R7" s="32"/>
    </row>
    <row r="8" spans="1:18">
      <c r="A8" s="6" t="s">
        <v>52</v>
      </c>
      <c r="B8" s="37">
        <f t="shared" si="0"/>
        <v>26449.618999999999</v>
      </c>
      <c r="C8" s="33"/>
      <c r="D8" s="37">
        <f>IF(ISERROR(TER_handel_gas_kWh/1000),0,TER_handel_gas_kWh/1000)*0.902</f>
        <v>16660.347362835368</v>
      </c>
      <c r="E8" s="33">
        <f>$C$28*'E Balans VL '!I13/100/3.6*1000000</f>
        <v>284.09092145212804</v>
      </c>
      <c r="F8" s="33">
        <f>$C$28*('E Balans VL '!L13+'E Balans VL '!N13)/100/3.6*1000000</f>
        <v>3424.1215960010918</v>
      </c>
      <c r="G8" s="34"/>
      <c r="H8" s="33"/>
      <c r="I8" s="33"/>
      <c r="J8" s="33">
        <f>$C$28*('E Balans VL '!D13+'E Balans VL '!E13)/100/3.6*1000000</f>
        <v>0</v>
      </c>
      <c r="K8" s="33"/>
      <c r="L8" s="33"/>
      <c r="M8" s="33"/>
      <c r="N8" s="33">
        <f>$C$28*'E Balans VL '!Y13/100/3.6*1000000</f>
        <v>214.56075353999108</v>
      </c>
      <c r="O8" s="33"/>
      <c r="P8" s="33"/>
      <c r="R8" s="32"/>
    </row>
    <row r="9" spans="1:18">
      <c r="A9" s="32" t="s">
        <v>51</v>
      </c>
      <c r="B9" s="37">
        <f t="shared" si="0"/>
        <v>10285.357</v>
      </c>
      <c r="C9" s="33"/>
      <c r="D9" s="37">
        <f>IF(ISERROR(TER_gezond_gas_kWh/1000),0,TER_gezond_gas_kWh/1000)*0.902</f>
        <v>11244.380759726993</v>
      </c>
      <c r="E9" s="33">
        <f>$C$29*'E Balans VL '!I10/100/3.6*1000000</f>
        <v>8.1878094110684767</v>
      </c>
      <c r="F9" s="33">
        <f>$C$29*('E Balans VL '!L10+'E Balans VL '!N10)/100/3.6*1000000</f>
        <v>1250.3337801464263</v>
      </c>
      <c r="G9" s="34"/>
      <c r="H9" s="33"/>
      <c r="I9" s="33"/>
      <c r="J9" s="33">
        <f>$C$29*('E Balans VL '!D10+'E Balans VL '!E10)/100/3.6*1000000</f>
        <v>0</v>
      </c>
      <c r="K9" s="33"/>
      <c r="L9" s="33"/>
      <c r="M9" s="33"/>
      <c r="N9" s="33">
        <f>$C$29*'E Balans VL '!Y10/100/3.6*1000000</f>
        <v>83.082388919700577</v>
      </c>
      <c r="O9" s="33"/>
      <c r="P9" s="33"/>
      <c r="R9" s="32"/>
    </row>
    <row r="10" spans="1:18">
      <c r="A10" s="32" t="s">
        <v>50</v>
      </c>
      <c r="B10" s="37">
        <f t="shared" si="0"/>
        <v>11408.174000000001</v>
      </c>
      <c r="C10" s="33"/>
      <c r="D10" s="37">
        <f>IF(ISERROR(TER_ander_gas_kWh/1000),0,TER_ander_gas_kWh/1000)*0.902</f>
        <v>12482.524557190322</v>
      </c>
      <c r="E10" s="33">
        <f>$C$30*'E Balans VL '!I14/100/3.6*1000000</f>
        <v>39.096411606639009</v>
      </c>
      <c r="F10" s="33">
        <f>$C$30*('E Balans VL '!L14+'E Balans VL '!N14)/100/3.6*1000000</f>
        <v>2548.1224980159868</v>
      </c>
      <c r="G10" s="34"/>
      <c r="H10" s="33"/>
      <c r="I10" s="33"/>
      <c r="J10" s="33">
        <f>$C$30*('E Balans VL '!D14+'E Balans VL '!E14)/100/3.6*1000000</f>
        <v>0</v>
      </c>
      <c r="K10" s="33"/>
      <c r="L10" s="33"/>
      <c r="M10" s="33"/>
      <c r="N10" s="33">
        <f>$C$30*'E Balans VL '!Y14/100/3.6*1000000</f>
        <v>8035.980087236343</v>
      </c>
      <c r="O10" s="33"/>
      <c r="P10" s="33"/>
      <c r="R10" s="32"/>
    </row>
    <row r="11" spans="1:18">
      <c r="A11" s="32" t="s">
        <v>55</v>
      </c>
      <c r="B11" s="37">
        <f t="shared" si="0"/>
        <v>2255.3040000000001</v>
      </c>
      <c r="C11" s="33"/>
      <c r="D11" s="37">
        <f>IF(ISERROR(TER_onderwijs_gas_kWh/1000),0,TER_onderwijs_gas_kWh/1000)*0.902</f>
        <v>6171.6882552837578</v>
      </c>
      <c r="E11" s="33">
        <f>$C$31*'E Balans VL '!I11/100/3.6*1000000</f>
        <v>1.5590221973032232</v>
      </c>
      <c r="F11" s="33">
        <f>$C$31*('E Balans VL '!L11+'E Balans VL '!N11)/100/3.6*1000000</f>
        <v>590.37307506390528</v>
      </c>
      <c r="G11" s="34"/>
      <c r="H11" s="33"/>
      <c r="I11" s="33"/>
      <c r="J11" s="33">
        <f>$C$31*('E Balans VL '!D11+'E Balans VL '!E11)/100/3.6*1000000</f>
        <v>0</v>
      </c>
      <c r="K11" s="33"/>
      <c r="L11" s="33"/>
      <c r="M11" s="33"/>
      <c r="N11" s="33">
        <f>$C$31*'E Balans VL '!Y11/100/3.6*1000000</f>
        <v>2.2449630401900285</v>
      </c>
      <c r="O11" s="33"/>
      <c r="P11" s="33"/>
      <c r="R11" s="32"/>
    </row>
    <row r="12" spans="1:18">
      <c r="A12" s="32" t="s">
        <v>260</v>
      </c>
      <c r="B12" s="37">
        <f t="shared" si="0"/>
        <v>3619.9389999999999</v>
      </c>
      <c r="C12" s="33"/>
      <c r="D12" s="37">
        <f>IF(ISERROR(TER_rest_gas_kWh/1000),0,TER_rest_gas_kWh/1000)*0.902</f>
        <v>5265.4965210737309</v>
      </c>
      <c r="E12" s="33">
        <f>$C$32*'E Balans VL '!I8/100/3.6*1000000</f>
        <v>32.728412718458266</v>
      </c>
      <c r="F12" s="33">
        <f>$C$32*('E Balans VL '!L8+'E Balans VL '!N8)/100/3.6*1000000</f>
        <v>533.60814485239507</v>
      </c>
      <c r="G12" s="34"/>
      <c r="H12" s="33"/>
      <c r="I12" s="33"/>
      <c r="J12" s="33">
        <f>$C$32*('E Balans VL '!D8+'E Balans VL '!E8)/100/3.6*1000000</f>
        <v>0</v>
      </c>
      <c r="K12" s="33"/>
      <c r="L12" s="33"/>
      <c r="M12" s="33"/>
      <c r="N12" s="33">
        <f>$C$32*'E Balans VL '!Y8/100/3.6*1000000</f>
        <v>308.73237419850238</v>
      </c>
      <c r="O12" s="33"/>
      <c r="P12" s="33"/>
      <c r="R12" s="32"/>
    </row>
    <row r="13" spans="1:18">
      <c r="A13" s="16" t="s">
        <v>494</v>
      </c>
      <c r="B13" s="247">
        <f ca="1">'lokale energieproductie'!N91+'lokale energieproductie'!N60</f>
        <v>2439</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-6968.5714285714294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85395.754000000001</v>
      </c>
      <c r="C16" s="21">
        <f t="shared" ca="1" si="1"/>
        <v>0</v>
      </c>
      <c r="D16" s="21">
        <f t="shared" ca="1" si="1"/>
        <v>92838.444211159222</v>
      </c>
      <c r="E16" s="21">
        <f t="shared" si="1"/>
        <v>660.80412671880083</v>
      </c>
      <c r="F16" s="21">
        <f t="shared" ca="1" si="1"/>
        <v>12171.587723854032</v>
      </c>
      <c r="G16" s="21">
        <f t="shared" si="1"/>
        <v>0</v>
      </c>
      <c r="H16" s="21">
        <f t="shared" si="1"/>
        <v>0</v>
      </c>
      <c r="I16" s="21">
        <f t="shared" si="1"/>
        <v>0</v>
      </c>
      <c r="J16" s="21">
        <f t="shared" si="1"/>
        <v>0</v>
      </c>
      <c r="K16" s="21">
        <f t="shared" si="1"/>
        <v>0</v>
      </c>
      <c r="L16" s="21">
        <f t="shared" ca="1" si="1"/>
        <v>0</v>
      </c>
      <c r="M16" s="21">
        <f t="shared" si="1"/>
        <v>0</v>
      </c>
      <c r="N16" s="21">
        <f t="shared" ca="1" si="1"/>
        <v>1912.9548107774681</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0.18961318440977282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16192.160851013596</v>
      </c>
      <c r="C20" s="23">
        <f t="shared" ref="C20:P20" ca="1" si="2">C16*C18</f>
        <v>0</v>
      </c>
      <c r="D20" s="23">
        <f t="shared" ca="1" si="2"/>
        <v>18753.365730654165</v>
      </c>
      <c r="E20" s="23">
        <f t="shared" si="2"/>
        <v>150.0025367651678</v>
      </c>
      <c r="F20" s="23">
        <f t="shared" ca="1" si="2"/>
        <v>3249.813922269027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23531.437999999998</v>
      </c>
      <c r="C26" s="39">
        <f>IF(ISERROR(B26*3.6/1000000/'E Balans VL '!Z12*100),0,B26*3.6/1000000/'E Balans VL '!Z12*100)</f>
        <v>0.51689524073656834</v>
      </c>
      <c r="D26" s="237" t="s">
        <v>692</v>
      </c>
      <c r="F26" s="6"/>
    </row>
    <row r="27" spans="1:18">
      <c r="A27" s="231" t="s">
        <v>53</v>
      </c>
      <c r="B27" s="33">
        <f>IF(ISERROR(TER_horeca_ele_kWh/1000),0,TER_horeca_ele_kWh/1000)</f>
        <v>5406.9229999999998</v>
      </c>
      <c r="C27" s="39">
        <f>IF(ISERROR(B27*3.6/1000000/'E Balans VL '!Z9*100),0,B27*3.6/1000000/'E Balans VL '!Z9*100)</f>
        <v>0.43450015989504387</v>
      </c>
      <c r="D27" s="237" t="s">
        <v>692</v>
      </c>
      <c r="F27" s="6"/>
    </row>
    <row r="28" spans="1:18">
      <c r="A28" s="171" t="s">
        <v>52</v>
      </c>
      <c r="B28" s="33">
        <f>IF(ISERROR(TER_handel_ele_kWh/1000),0,TER_handel_ele_kWh/1000)</f>
        <v>26449.618999999999</v>
      </c>
      <c r="C28" s="39">
        <f>IF(ISERROR(B28*3.6/1000000/'E Balans VL '!Z13*100),0,B28*3.6/1000000/'E Balans VL '!Z13*100)</f>
        <v>0.78209675573819004</v>
      </c>
      <c r="D28" s="237" t="s">
        <v>692</v>
      </c>
      <c r="F28" s="6"/>
    </row>
    <row r="29" spans="1:18">
      <c r="A29" s="231" t="s">
        <v>51</v>
      </c>
      <c r="B29" s="33">
        <f>IF(ISERROR(TER_gezond_ele_kWh/1000),0,TER_gezond_ele_kWh/1000)</f>
        <v>10285.357</v>
      </c>
      <c r="C29" s="39">
        <f>IF(ISERROR(B29*3.6/1000000/'E Balans VL '!Z10*100),0,B29*3.6/1000000/'E Balans VL '!Z10*100)</f>
        <v>1.1588941893900675</v>
      </c>
      <c r="D29" s="237" t="s">
        <v>692</v>
      </c>
      <c r="F29" s="6"/>
    </row>
    <row r="30" spans="1:18">
      <c r="A30" s="231" t="s">
        <v>50</v>
      </c>
      <c r="B30" s="33">
        <f>IF(ISERROR(TER_ander_ele_kWh/1000),0,TER_ander_ele_kWh/1000)</f>
        <v>11408.174000000001</v>
      </c>
      <c r="C30" s="39">
        <f>IF(ISERROR(B30*3.6/1000000/'E Balans VL '!Z14*100),0,B30*3.6/1000000/'E Balans VL '!Z14*100)</f>
        <v>0.8627806982274262</v>
      </c>
      <c r="D30" s="237" t="s">
        <v>692</v>
      </c>
      <c r="F30" s="6"/>
    </row>
    <row r="31" spans="1:18">
      <c r="A31" s="231" t="s">
        <v>55</v>
      </c>
      <c r="B31" s="33">
        <f>IF(ISERROR(TER_onderwijs_ele_kWh/1000),0,TER_onderwijs_ele_kWh/1000)</f>
        <v>2255.3040000000001</v>
      </c>
      <c r="C31" s="39">
        <f>IF(ISERROR(B31*3.6/1000000/'E Balans VL '!Z11*100),0,B31*3.6/1000000/'E Balans VL '!Z11*100)</f>
        <v>0.46814875576524673</v>
      </c>
      <c r="D31" s="237" t="s">
        <v>692</v>
      </c>
    </row>
    <row r="32" spans="1:18">
      <c r="A32" s="231" t="s">
        <v>260</v>
      </c>
      <c r="B32" s="33">
        <f>IF(ISERROR(TER_rest_ele_kWh/1000),0,TER_rest_ele_kWh/1000)</f>
        <v>3619.9389999999999</v>
      </c>
      <c r="C32" s="39">
        <f>IF(ISERROR(B32*3.6/1000000/'E Balans VL '!Z8*100),0,B32*3.6/1000000/'E Balans VL '!Z8*100)</f>
        <v>3.0495856537002344E-2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66414.3606</v>
      </c>
      <c r="C5" s="17">
        <f>IF(ISERROR('Eigen informatie GS &amp; warmtenet'!B59),0,'Eigen informatie GS &amp; warmtenet'!B59)</f>
        <v>0</v>
      </c>
      <c r="D5" s="30">
        <f>SUM(D6:D15)</f>
        <v>69086.283397343184</v>
      </c>
      <c r="E5" s="17">
        <f>SUM(E6:E15)</f>
        <v>6206.1755018111571</v>
      </c>
      <c r="F5" s="17">
        <f>SUM(F6:F15)</f>
        <v>43248.479821255612</v>
      </c>
      <c r="G5" s="18"/>
      <c r="H5" s="17"/>
      <c r="I5" s="17"/>
      <c r="J5" s="17">
        <f>SUM(J6:J15)</f>
        <v>383.88257530892395</v>
      </c>
      <c r="K5" s="17"/>
      <c r="L5" s="17"/>
      <c r="M5" s="17"/>
      <c r="N5" s="17">
        <f>SUM(N6:N15)</f>
        <v>16850.265298544102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10352.706</v>
      </c>
      <c r="C8" s="33"/>
      <c r="D8" s="37">
        <f>IF( ISERROR(IND_metaal_Gas_kWH/1000),0,IND_metaal_Gas_kWH/1000)*0.902</f>
        <v>5991.4243793489104</v>
      </c>
      <c r="E8" s="33">
        <f>C30*'E Balans VL '!I18/100/3.6*1000000</f>
        <v>259.09199748525634</v>
      </c>
      <c r="F8" s="33">
        <f>C30*'E Balans VL '!L18/100/3.6*1000000+C30*'E Balans VL '!N18/100/3.6*1000000</f>
        <v>3244.5895574080305</v>
      </c>
      <c r="G8" s="34"/>
      <c r="H8" s="33"/>
      <c r="I8" s="33"/>
      <c r="J8" s="40">
        <f>C30*'E Balans VL '!D18/100/3.6*1000000+C30*'E Balans VL '!E18/100/3.6*1000000</f>
        <v>0</v>
      </c>
      <c r="K8" s="33"/>
      <c r="L8" s="33"/>
      <c r="M8" s="33"/>
      <c r="N8" s="33">
        <f>C30*'E Balans VL '!Y18/100/3.6*1000000</f>
        <v>260.08684233494409</v>
      </c>
      <c r="O8" s="33"/>
      <c r="P8" s="33"/>
      <c r="R8" s="32"/>
    </row>
    <row r="9" spans="1:18">
      <c r="A9" s="6" t="s">
        <v>33</v>
      </c>
      <c r="B9" s="37">
        <f t="shared" si="0"/>
        <v>16001.366</v>
      </c>
      <c r="C9" s="33"/>
      <c r="D9" s="37">
        <f>IF( ISERROR(IND_andere_gas_kWh/1000),0,IND_andere_gas_kWh/1000)*0.902</f>
        <v>3340.940327714809</v>
      </c>
      <c r="E9" s="33">
        <f>C31*'E Balans VL '!I19/100/3.6*1000000</f>
        <v>4399.7193530839268</v>
      </c>
      <c r="F9" s="33">
        <f>C31*'E Balans VL '!L19/100/3.6*1000000+C31*'E Balans VL '!N19/100/3.6*1000000</f>
        <v>12611.860845600939</v>
      </c>
      <c r="G9" s="34"/>
      <c r="H9" s="33"/>
      <c r="I9" s="33"/>
      <c r="J9" s="40">
        <f>C31*'E Balans VL '!D19/100/3.6*1000000+C31*'E Balans VL '!E19/100/3.6*1000000</f>
        <v>0</v>
      </c>
      <c r="K9" s="33"/>
      <c r="L9" s="33"/>
      <c r="M9" s="33"/>
      <c r="N9" s="33">
        <f>C31*'E Balans VL '!Y19/100/3.6*1000000</f>
        <v>5180.0645395841375</v>
      </c>
      <c r="O9" s="33"/>
      <c r="P9" s="33"/>
      <c r="R9" s="32"/>
    </row>
    <row r="10" spans="1:18">
      <c r="A10" s="6" t="s">
        <v>41</v>
      </c>
      <c r="B10" s="37">
        <f t="shared" si="0"/>
        <v>11093.763000000001</v>
      </c>
      <c r="C10" s="33"/>
      <c r="D10" s="37">
        <f>IF( ISERROR(IND_voed_gas_kWh/1000),0,IND_voed_gas_kWh/1000)*0.902</f>
        <v>2349.459110828323</v>
      </c>
      <c r="E10" s="33">
        <f>C32*'E Balans VL '!I20/100/3.6*1000000</f>
        <v>113.09480219609043</v>
      </c>
      <c r="F10" s="33">
        <f>C32*'E Balans VL '!L20/100/3.6*1000000+C32*'E Balans VL '!N20/100/3.6*1000000</f>
        <v>20956.048922210219</v>
      </c>
      <c r="G10" s="34"/>
      <c r="H10" s="33"/>
      <c r="I10" s="33"/>
      <c r="J10" s="40">
        <f>C32*'E Balans VL '!D20/100/3.6*1000000+C32*'E Balans VL '!E20/100/3.6*1000000</f>
        <v>265.51004754687585</v>
      </c>
      <c r="K10" s="33"/>
      <c r="L10" s="33"/>
      <c r="M10" s="33"/>
      <c r="N10" s="33">
        <f>C32*'E Balans VL '!Y20/100/3.6*1000000</f>
        <v>5847.6909458037135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164.92829999999998</v>
      </c>
      <c r="C12" s="33"/>
      <c r="D12" s="37">
        <f>IF( ISERROR(IND_min_gas_kWh/1000),0,IND_min_gas_kWh/1000)*0.902</f>
        <v>0</v>
      </c>
      <c r="E12" s="33">
        <f>C34*'E Balans VL '!I22/100/3.6*1000000</f>
        <v>0.49949321489978171</v>
      </c>
      <c r="F12" s="33">
        <f>C34*'E Balans VL '!L22/100/3.6*1000000+C34*'E Balans VL '!N22/100/3.6*1000000</f>
        <v>5.1541511698142468</v>
      </c>
      <c r="G12" s="34"/>
      <c r="H12" s="33"/>
      <c r="I12" s="33"/>
      <c r="J12" s="40">
        <f>C34*'E Balans VL '!D22/100/3.6*1000000+C34*'E Balans VL '!E22/100/3.6*1000000</f>
        <v>0.24455205670399105</v>
      </c>
      <c r="K12" s="33"/>
      <c r="L12" s="33"/>
      <c r="M12" s="33"/>
      <c r="N12" s="33">
        <f>C34*'E Balans VL '!Y22/100/3.6*1000000</f>
        <v>0</v>
      </c>
      <c r="O12" s="33"/>
      <c r="P12" s="33"/>
      <c r="R12" s="32"/>
    </row>
    <row r="13" spans="1:18">
      <c r="A13" s="6" t="s">
        <v>39</v>
      </c>
      <c r="B13" s="37">
        <f t="shared" si="0"/>
        <v>644.58330000000001</v>
      </c>
      <c r="C13" s="33"/>
      <c r="D13" s="37">
        <f>IF( ISERROR(IND_papier_gas_kWh/1000),0,IND_papier_gas_kWh/1000)*0.902</f>
        <v>2010.5806900611258</v>
      </c>
      <c r="E13" s="33">
        <f>C35*'E Balans VL '!I23/100/3.6*1000000</f>
        <v>1.3349755226250879</v>
      </c>
      <c r="F13" s="33">
        <f>C35*'E Balans VL '!L23/100/3.6*1000000+C35*'E Balans VL '!N23/100/3.6*1000000</f>
        <v>12.783468715762558</v>
      </c>
      <c r="G13" s="34"/>
      <c r="H13" s="33"/>
      <c r="I13" s="33"/>
      <c r="J13" s="40">
        <f>C35*'E Balans VL '!D23/100/3.6*1000000+C35*'E Balans VL '!E23/100/3.6*1000000</f>
        <v>0</v>
      </c>
      <c r="K13" s="33"/>
      <c r="L13" s="33"/>
      <c r="M13" s="33"/>
      <c r="N13" s="33">
        <f>C35*'E Balans VL '!Y23/100/3.6*1000000</f>
        <v>272.17392467634335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28157.013999999999</v>
      </c>
      <c r="C15" s="33"/>
      <c r="D15" s="37">
        <f>IF( ISERROR(IND_rest_gas_kWh/1000),0,IND_rest_gas_kWh/1000)*0.902</f>
        <v>55393.87888939002</v>
      </c>
      <c r="E15" s="33">
        <f>C37*'E Balans VL '!I15/100/3.6*1000000</f>
        <v>1432.4348803083574</v>
      </c>
      <c r="F15" s="33">
        <f>C37*'E Balans VL '!L15/100/3.6*1000000+C37*'E Balans VL '!N15/100/3.6*1000000</f>
        <v>6418.0428761508456</v>
      </c>
      <c r="G15" s="34"/>
      <c r="H15" s="33"/>
      <c r="I15" s="33"/>
      <c r="J15" s="40">
        <f>C37*'E Balans VL '!D15/100/3.6*1000000+C37*'E Balans VL '!E15/100/3.6*1000000</f>
        <v>118.12797570534408</v>
      </c>
      <c r="K15" s="33"/>
      <c r="L15" s="33"/>
      <c r="M15" s="33"/>
      <c r="N15" s="33">
        <f>C37*'E Balans VL '!Y15/100/3.6*1000000</f>
        <v>5290.2490461449643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66414.3606</v>
      </c>
      <c r="C18" s="21">
        <f>C5+C16</f>
        <v>0</v>
      </c>
      <c r="D18" s="21">
        <f>MAX((D5+D16),0)</f>
        <v>69086.283397343184</v>
      </c>
      <c r="E18" s="21">
        <f>MAX((E5+E16),0)</f>
        <v>6206.1755018111571</v>
      </c>
      <c r="F18" s="21">
        <f>MAX((F5+F16),0)</f>
        <v>43248.479821255612</v>
      </c>
      <c r="G18" s="21"/>
      <c r="H18" s="21"/>
      <c r="I18" s="21"/>
      <c r="J18" s="21">
        <f>MAX((J5+J16),0)</f>
        <v>383.88257530892395</v>
      </c>
      <c r="K18" s="21"/>
      <c r="L18" s="21">
        <f>MAX((L5+L16),0)</f>
        <v>0</v>
      </c>
      <c r="M18" s="21"/>
      <c r="N18" s="21">
        <f>MAX((N5+N16),0)</f>
        <v>16850.265298544102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0.18961318440977282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12593.03840390495</v>
      </c>
      <c r="C22" s="23">
        <f ca="1">C18*C20</f>
        <v>0</v>
      </c>
      <c r="D22" s="23">
        <f>D18*D20</f>
        <v>13955.429246263324</v>
      </c>
      <c r="E22" s="23">
        <f>E18*E20</f>
        <v>1408.8018389111328</v>
      </c>
      <c r="F22" s="23">
        <f>F18*F20</f>
        <v>11547.344112275248</v>
      </c>
      <c r="G22" s="23"/>
      <c r="H22" s="23"/>
      <c r="I22" s="23"/>
      <c r="J22" s="23">
        <f>J18*J20</f>
        <v>135.89443165935907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10352.706</v>
      </c>
      <c r="C30" s="39">
        <f>IF(ISERROR(B30*3.6/1000000/'E Balans VL '!Z18*100),0,B30*3.6/1000000/'E Balans VL '!Z18*100)</f>
        <v>1.4490338322611442</v>
      </c>
      <c r="D30" s="237" t="s">
        <v>692</v>
      </c>
    </row>
    <row r="31" spans="1:18">
      <c r="A31" s="6" t="s">
        <v>33</v>
      </c>
      <c r="B31" s="37">
        <f>IF( ISERROR(IND_ander_ele_kWh/1000),0,IND_ander_ele_kWh/1000)</f>
        <v>16001.366</v>
      </c>
      <c r="C31" s="39">
        <f>IF(ISERROR(B31*3.6/1000000/'E Balans VL '!Z19*100),0,B31*3.6/1000000/'E Balans VL '!Z19*100)</f>
        <v>0.7003771940296396</v>
      </c>
      <c r="D31" s="237" t="s">
        <v>692</v>
      </c>
    </row>
    <row r="32" spans="1:18">
      <c r="A32" s="171" t="s">
        <v>41</v>
      </c>
      <c r="B32" s="37">
        <f>IF( ISERROR(IND_voed_ele_kWh/1000),0,IND_voed_ele_kWh/1000)</f>
        <v>11093.763000000001</v>
      </c>
      <c r="C32" s="39">
        <f>IF(ISERROR(B32*3.6/1000000/'E Balans VL '!Z20*100),0,B32*3.6/1000000/'E Balans VL '!Z20*100)</f>
        <v>2.746447313102558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164.92829999999998</v>
      </c>
      <c r="C34" s="39">
        <f>IF(ISERROR(B34*3.6/1000000/'E Balans VL '!Z22*100),0,B34*3.6/1000000/'E Balans VL '!Z22*100)</f>
        <v>4.6799922826991011E-3</v>
      </c>
      <c r="D34" s="237" t="s">
        <v>692</v>
      </c>
    </row>
    <row r="35" spans="1:5">
      <c r="A35" s="171" t="s">
        <v>39</v>
      </c>
      <c r="B35" s="37">
        <f>IF( ISERROR(IND_papier_ele_kWh/1000),0,IND_papier_ele_kWh/1000)</f>
        <v>644.58330000000001</v>
      </c>
      <c r="C35" s="39">
        <f>IF(ISERROR(B35*3.6/1000000/'E Balans VL '!Z22*100),0,B35*3.6/1000000/'E Balans VL '!Z22*100)</f>
        <v>1.8290644295470941E-2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28157.013999999999</v>
      </c>
      <c r="C37" s="39">
        <f>IF(ISERROR(B37*3.6/1000000/'E Balans VL '!Z15*100),0,B37*3.6/1000000/'E Balans VL '!Z15*100)</f>
        <v>0.20877943812520899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1150.83899</v>
      </c>
      <c r="C5" s="17">
        <f>'Eigen informatie GS &amp; warmtenet'!B60</f>
        <v>0</v>
      </c>
      <c r="D5" s="30">
        <f>IF(ISERROR(SUM(LB_lb_gas_kWh,LB_rest_gas_kWh)/1000),0,SUM(LB_lb_gas_kWh,LB_rest_gas_kWh)/1000)*0.902</f>
        <v>1741.7819496898278</v>
      </c>
      <c r="E5" s="17">
        <f>B17*'E Balans VL '!I25/3.6*1000000/100</f>
        <v>10.659552741056821</v>
      </c>
      <c r="F5" s="17">
        <f>B17*('E Balans VL '!L25/3.6*1000000+'E Balans VL '!N25/3.6*1000000)/100</f>
        <v>2919.8977522326122</v>
      </c>
      <c r="G5" s="18"/>
      <c r="H5" s="17"/>
      <c r="I5" s="17"/>
      <c r="J5" s="17">
        <f>('E Balans VL '!D25+'E Balans VL '!E25)/3.6*1000000*landbouw!B17/100</f>
        <v>176.4364605676131</v>
      </c>
      <c r="K5" s="17"/>
      <c r="L5" s="17">
        <f>L6*(-1)</f>
        <v>0</v>
      </c>
      <c r="M5" s="17"/>
      <c r="N5" s="17">
        <f>N6*(-1)</f>
        <v>154.28571428571431</v>
      </c>
      <c r="O5" s="17"/>
      <c r="P5" s="17"/>
      <c r="R5" s="32"/>
    </row>
    <row r="6" spans="1:18">
      <c r="A6" s="16" t="s">
        <v>494</v>
      </c>
      <c r="B6" s="17" t="s">
        <v>211</v>
      </c>
      <c r="C6" s="17">
        <f>'lokale energieproductie'!O92+'lokale energieproductie'!O61</f>
        <v>77.142857142857139</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1150.83899</v>
      </c>
      <c r="C8" s="21">
        <f>C5+C6</f>
        <v>77.142857142857139</v>
      </c>
      <c r="D8" s="21">
        <f>MAX((D5+D6),0)</f>
        <v>1741.7819496898278</v>
      </c>
      <c r="E8" s="21">
        <f>MAX((E5+E6),0)</f>
        <v>10.659552741056821</v>
      </c>
      <c r="F8" s="21">
        <f>MAX((F5+F6),0)</f>
        <v>2919.8977522326122</v>
      </c>
      <c r="G8" s="21"/>
      <c r="H8" s="21"/>
      <c r="I8" s="21"/>
      <c r="J8" s="21">
        <f>MAX((J5+J6),0)</f>
        <v>176.4364605676131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0.18961318440977282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218.21424563682669</v>
      </c>
      <c r="C12" s="23">
        <f ca="1">C8*C10</f>
        <v>0</v>
      </c>
      <c r="D12" s="23">
        <f>D8*D10</f>
        <v>351.83995383734526</v>
      </c>
      <c r="E12" s="23">
        <f>E8*E10</f>
        <v>2.4197184722198983</v>
      </c>
      <c r="F12" s="23">
        <f>F8*F10</f>
        <v>779.61269984610749</v>
      </c>
      <c r="G12" s="23"/>
      <c r="H12" s="23"/>
      <c r="I12" s="23"/>
      <c r="J12" s="23">
        <f>J8*J10</f>
        <v>62.458507040935032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0.16362490237354824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329.28087355497274</v>
      </c>
      <c r="C26" s="247">
        <f>B26*'GWP N2O_CH4'!B5</f>
        <v>6914.898344654428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68.481005217060471</v>
      </c>
      <c r="C27" s="247">
        <f>B27*'GWP N2O_CH4'!B5</f>
        <v>1438.1011095582699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4.9684767357293875</v>
      </c>
      <c r="C28" s="247">
        <f>B28*'GWP N2O_CH4'!B4</f>
        <v>1540.2277880761101</v>
      </c>
      <c r="D28" s="50"/>
    </row>
    <row r="29" spans="1:4">
      <c r="A29" s="41" t="s">
        <v>277</v>
      </c>
      <c r="B29" s="247">
        <f>B34*'ha_N2O bodem landbouw'!B4</f>
        <v>13.570563652558224</v>
      </c>
      <c r="C29" s="247">
        <f>B29*'GWP N2O_CH4'!B4</f>
        <v>4206.8747322930494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3.043638350437096E-3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1.0760986625435188E-4</v>
      </c>
      <c r="C5" s="464" t="s">
        <v>211</v>
      </c>
      <c r="D5" s="449">
        <f>SUM(D6:D11)</f>
        <v>2.9214836429419057E-4</v>
      </c>
      <c r="E5" s="449">
        <f>SUM(E6:E11)</f>
        <v>1.852350051916555E-3</v>
      </c>
      <c r="F5" s="462" t="s">
        <v>211</v>
      </c>
      <c r="G5" s="449">
        <f>SUM(G6:G11)</f>
        <v>0.58221393383907183</v>
      </c>
      <c r="H5" s="449">
        <f>SUM(H6:H11)</f>
        <v>0.11021061404783665</v>
      </c>
      <c r="I5" s="464" t="s">
        <v>211</v>
      </c>
      <c r="J5" s="464" t="s">
        <v>211</v>
      </c>
      <c r="K5" s="464" t="s">
        <v>211</v>
      </c>
      <c r="L5" s="464" t="s">
        <v>211</v>
      </c>
      <c r="M5" s="449">
        <f>SUM(M6:M11)</f>
        <v>3.7071118224110126E-2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8.3294721773243392E-5</v>
      </c>
      <c r="C6" s="450"/>
      <c r="D6" s="893">
        <f>vkm_2011_GW_PW*SUMIFS(TableVerdeelsleutelVkm[CNG],TableVerdeelsleutelVkm[Voertuigtype],"Lichte voertuigen")*SUMIFS(TableECFTransport[EnergieConsumptieFactor (PJ per km)],TableECFTransport[Index],CONCATENATE($A6,"_CNG_CNG"))</f>
        <v>1.9266986183049951E-4</v>
      </c>
      <c r="E6" s="893">
        <f>vkm_2011_GW_PW*SUMIFS(TableVerdeelsleutelVkm[LPG],TableVerdeelsleutelVkm[Voertuigtype],"Lichte voertuigen")*SUMIFS(TableECFTransport[EnergieConsumptieFactor (PJ per km)],TableECFTransport[Index],CONCATENATE($A6,"_LPG_LPG"))</f>
        <v>1.254549790169699E-3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0.2606234374097896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7.3464361061568104E-2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1.7337424852299849E-2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0.18137931596210768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6.2028432057220807E-5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1.0493821533027567E-2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2.4315144481108494E-5</v>
      </c>
      <c r="C8" s="450"/>
      <c r="D8" s="452">
        <f>vkm_2011_NGW_PW*SUMIFS(TableVerdeelsleutelVkm[CNG],TableVerdeelsleutelVkm[Voertuigtype],"Lichte voertuigen")*SUMIFS(TableECFTransport[EnergieConsumptieFactor (PJ per km)],TableECFTransport[Index],CONCATENATE($A8,"_CNG_CNG"))</f>
        <v>9.9478502463691069E-5</v>
      </c>
      <c r="E8" s="452">
        <f>vkm_2011_NGW_PW*SUMIFS(TableVerdeelsleutelVkm[LPG],TableVerdeelsleutelVkm[Voertuigtype],"Lichte voertuigen")*SUMIFS(TableECFTransport[EnergieConsumptieFactor (PJ per km)],TableECFTransport[Index],CONCATENATE($A8,"_LPG_LPG"))</f>
        <v>5.9780026174685607E-4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0.11609193262408248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3.6676419846566825E-2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7.8444502944789267E-3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2.4119247843092016E-2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7.8047076445106586E-6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1.3954215443037861E-3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29.891629515097744</v>
      </c>
      <c r="C14" s="21"/>
      <c r="D14" s="21">
        <f t="shared" ref="D14:M14" si="0">((D5)*10^9/3600)+D12</f>
        <v>81.152323415052933</v>
      </c>
      <c r="E14" s="21">
        <f t="shared" si="0"/>
        <v>514.54168108793192</v>
      </c>
      <c r="F14" s="21"/>
      <c r="G14" s="21">
        <f t="shared" si="0"/>
        <v>161726.09273307552</v>
      </c>
      <c r="H14" s="21">
        <f t="shared" si="0"/>
        <v>30614.059457732401</v>
      </c>
      <c r="I14" s="21"/>
      <c r="J14" s="21"/>
      <c r="K14" s="21"/>
      <c r="L14" s="21"/>
      <c r="M14" s="21">
        <f t="shared" si="0"/>
        <v>10297.53284003059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0.18961318440977282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5.6678470595548367</v>
      </c>
      <c r="C18" s="23"/>
      <c r="D18" s="23">
        <f t="shared" ref="D18:M18" si="1">D14*D16</f>
        <v>16.392769329840693</v>
      </c>
      <c r="E18" s="23">
        <f t="shared" si="1"/>
        <v>116.80096160696056</v>
      </c>
      <c r="F18" s="23"/>
      <c r="G18" s="23">
        <f t="shared" si="1"/>
        <v>43180.866759731165</v>
      </c>
      <c r="H18" s="23">
        <f t="shared" si="1"/>
        <v>7622.9008049753675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1.3428091025676157E-2</v>
      </c>
      <c r="H50" s="321">
        <f t="shared" si="2"/>
        <v>0</v>
      </c>
      <c r="I50" s="321">
        <f t="shared" si="2"/>
        <v>0</v>
      </c>
      <c r="J50" s="321">
        <f t="shared" si="2"/>
        <v>0</v>
      </c>
      <c r="K50" s="321">
        <f t="shared" si="2"/>
        <v>0</v>
      </c>
      <c r="L50" s="321">
        <f t="shared" si="2"/>
        <v>0</v>
      </c>
      <c r="M50" s="321">
        <f t="shared" si="2"/>
        <v>7.6576488619436837E-4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1.3428091025676157E-2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7.6576488619436837E-4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3730.0252849100439</v>
      </c>
      <c r="H54" s="21">
        <f t="shared" si="3"/>
        <v>0</v>
      </c>
      <c r="I54" s="21">
        <f t="shared" si="3"/>
        <v>0</v>
      </c>
      <c r="J54" s="21">
        <f t="shared" si="3"/>
        <v>0</v>
      </c>
      <c r="K54" s="21">
        <f t="shared" si="3"/>
        <v>0</v>
      </c>
      <c r="L54" s="21">
        <f t="shared" si="3"/>
        <v>0</v>
      </c>
      <c r="M54" s="21">
        <f t="shared" si="3"/>
        <v>212.71246838732455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0.18961318440977282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995.91675107098172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88347.38</v>
      </c>
      <c r="D10" s="1025">
        <f ca="1">tertiair!C16</f>
        <v>0</v>
      </c>
      <c r="E10" s="1025">
        <f ca="1">tertiair!D16</f>
        <v>92838.444211159222</v>
      </c>
      <c r="F10" s="1025">
        <f>tertiair!E16</f>
        <v>660.80412671880083</v>
      </c>
      <c r="G10" s="1025">
        <f ca="1">tertiair!F16</f>
        <v>12171.587723854032</v>
      </c>
      <c r="H10" s="1025">
        <f>tertiair!G16</f>
        <v>0</v>
      </c>
      <c r="I10" s="1025">
        <f>tertiair!H16</f>
        <v>0</v>
      </c>
      <c r="J10" s="1025">
        <f>tertiair!I16</f>
        <v>0</v>
      </c>
      <c r="K10" s="1025">
        <f>tertiair!J16</f>
        <v>0</v>
      </c>
      <c r="L10" s="1025">
        <f>tertiair!K16</f>
        <v>0</v>
      </c>
      <c r="M10" s="1025">
        <f ca="1">tertiair!L16</f>
        <v>0</v>
      </c>
      <c r="N10" s="1025">
        <f>tertiair!M16</f>
        <v>0</v>
      </c>
      <c r="O10" s="1025">
        <f ca="1">tertiair!N16</f>
        <v>1912.9548107774681</v>
      </c>
      <c r="P10" s="1025">
        <f>tertiair!O16</f>
        <v>3.1266666666666669</v>
      </c>
      <c r="Q10" s="1026">
        <f>tertiair!P16</f>
        <v>57.2</v>
      </c>
      <c r="R10" s="701">
        <f ca="1">SUM(C10:Q10)</f>
        <v>195991.49753917623</v>
      </c>
      <c r="S10" s="67"/>
    </row>
    <row r="11" spans="1:19" s="474" customFormat="1">
      <c r="A11" s="810" t="s">
        <v>225</v>
      </c>
      <c r="B11" s="815"/>
      <c r="C11" s="1025">
        <f>huishoudens!B8</f>
        <v>76706.979708957602</v>
      </c>
      <c r="D11" s="1025">
        <f>huishoudens!C8</f>
        <v>0</v>
      </c>
      <c r="E11" s="1025">
        <f>huishoudens!D8</f>
        <v>183065.41777416662</v>
      </c>
      <c r="F11" s="1025">
        <f>huishoudens!E8</f>
        <v>6262.3795366143904</v>
      </c>
      <c r="G11" s="1025">
        <f>huishoudens!F8</f>
        <v>18967.002424632163</v>
      </c>
      <c r="H11" s="1025">
        <f>huishoudens!G8</f>
        <v>0</v>
      </c>
      <c r="I11" s="1025">
        <f>huishoudens!H8</f>
        <v>0</v>
      </c>
      <c r="J11" s="1025">
        <f>huishoudens!I8</f>
        <v>0</v>
      </c>
      <c r="K11" s="1025">
        <f>huishoudens!J8</f>
        <v>6278.5989397898284</v>
      </c>
      <c r="L11" s="1025">
        <f>huishoudens!K8</f>
        <v>0</v>
      </c>
      <c r="M11" s="1025">
        <f>huishoudens!L8</f>
        <v>0</v>
      </c>
      <c r="N11" s="1025">
        <f>huishoudens!M8</f>
        <v>0</v>
      </c>
      <c r="O11" s="1025">
        <f>huishoudens!N8</f>
        <v>20657.045283423751</v>
      </c>
      <c r="P11" s="1025">
        <f>huishoudens!O8</f>
        <v>293.90666666666669</v>
      </c>
      <c r="Q11" s="1026">
        <f>huishoudens!P8</f>
        <v>1182.1333333333332</v>
      </c>
      <c r="R11" s="701">
        <f>SUM(C11:Q11)</f>
        <v>313413.46366758435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66414.3606</v>
      </c>
      <c r="D13" s="1025">
        <f>industrie!C18</f>
        <v>0</v>
      </c>
      <c r="E13" s="1025">
        <f>industrie!D18</f>
        <v>69086.283397343184</v>
      </c>
      <c r="F13" s="1025">
        <f>industrie!E18</f>
        <v>6206.1755018111571</v>
      </c>
      <c r="G13" s="1025">
        <f>industrie!F18</f>
        <v>43248.479821255612</v>
      </c>
      <c r="H13" s="1025">
        <f>industrie!G18</f>
        <v>0</v>
      </c>
      <c r="I13" s="1025">
        <f>industrie!H18</f>
        <v>0</v>
      </c>
      <c r="J13" s="1025">
        <f>industrie!I18</f>
        <v>0</v>
      </c>
      <c r="K13" s="1025">
        <f>industrie!J18</f>
        <v>383.88257530892395</v>
      </c>
      <c r="L13" s="1025">
        <f>industrie!K18</f>
        <v>0</v>
      </c>
      <c r="M13" s="1025">
        <f>industrie!L18</f>
        <v>0</v>
      </c>
      <c r="N13" s="1025">
        <f>industrie!M18</f>
        <v>0</v>
      </c>
      <c r="O13" s="1025">
        <f>industrie!N18</f>
        <v>16850.265298544102</v>
      </c>
      <c r="P13" s="1025">
        <f>industrie!O18</f>
        <v>0</v>
      </c>
      <c r="Q13" s="1026">
        <f>industrie!P18</f>
        <v>0</v>
      </c>
      <c r="R13" s="701">
        <f>SUM(C13:Q13)</f>
        <v>202189.44719426299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231468.72030895762</v>
      </c>
      <c r="D16" s="733">
        <f t="shared" ref="D16:R16" ca="1" si="0">SUM(D9:D15)</f>
        <v>0</v>
      </c>
      <c r="E16" s="733">
        <f t="shared" ca="1" si="0"/>
        <v>344990.145382669</v>
      </c>
      <c r="F16" s="733">
        <f t="shared" si="0"/>
        <v>13129.359165144349</v>
      </c>
      <c r="G16" s="733">
        <f t="shared" ca="1" si="0"/>
        <v>74387.069969741802</v>
      </c>
      <c r="H16" s="733">
        <f t="shared" si="0"/>
        <v>0</v>
      </c>
      <c r="I16" s="733">
        <f t="shared" si="0"/>
        <v>0</v>
      </c>
      <c r="J16" s="733">
        <f t="shared" si="0"/>
        <v>0</v>
      </c>
      <c r="K16" s="733">
        <f t="shared" si="0"/>
        <v>6662.4815150987524</v>
      </c>
      <c r="L16" s="733">
        <f t="shared" si="0"/>
        <v>0</v>
      </c>
      <c r="M16" s="733">
        <f t="shared" ca="1" si="0"/>
        <v>0</v>
      </c>
      <c r="N16" s="733">
        <f t="shared" si="0"/>
        <v>0</v>
      </c>
      <c r="O16" s="733">
        <f t="shared" ca="1" si="0"/>
        <v>39420.265392745321</v>
      </c>
      <c r="P16" s="733">
        <f t="shared" si="0"/>
        <v>297.03333333333336</v>
      </c>
      <c r="Q16" s="733">
        <f t="shared" si="0"/>
        <v>1239.3333333333333</v>
      </c>
      <c r="R16" s="733">
        <f t="shared" ca="1" si="0"/>
        <v>711594.4084010236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3730.0252849100439</v>
      </c>
      <c r="I19" s="1025">
        <f>transport!H54</f>
        <v>0</v>
      </c>
      <c r="J19" s="1025">
        <f>transport!I54</f>
        <v>0</v>
      </c>
      <c r="K19" s="1025">
        <f>transport!J54</f>
        <v>0</v>
      </c>
      <c r="L19" s="1025">
        <f>transport!K54</f>
        <v>0</v>
      </c>
      <c r="M19" s="1025">
        <f>transport!L54</f>
        <v>0</v>
      </c>
      <c r="N19" s="1025">
        <f>transport!M54</f>
        <v>212.71246838732455</v>
      </c>
      <c r="O19" s="1025">
        <f>transport!N54</f>
        <v>0</v>
      </c>
      <c r="P19" s="1025">
        <f>transport!O54</f>
        <v>0</v>
      </c>
      <c r="Q19" s="1026">
        <f>transport!P54</f>
        <v>0</v>
      </c>
      <c r="R19" s="701">
        <f>SUM(C19:Q19)</f>
        <v>3942.7377532973683</v>
      </c>
      <c r="S19" s="67"/>
    </row>
    <row r="20" spans="1:19" s="474" customFormat="1">
      <c r="A20" s="810" t="s">
        <v>307</v>
      </c>
      <c r="B20" s="815"/>
      <c r="C20" s="1025">
        <f>transport!B14</f>
        <v>29.891629515097744</v>
      </c>
      <c r="D20" s="1025">
        <f>transport!C14</f>
        <v>0</v>
      </c>
      <c r="E20" s="1025">
        <f>transport!D14</f>
        <v>81.152323415052933</v>
      </c>
      <c r="F20" s="1025">
        <f>transport!E14</f>
        <v>514.54168108793192</v>
      </c>
      <c r="G20" s="1025">
        <f>transport!F14</f>
        <v>0</v>
      </c>
      <c r="H20" s="1025">
        <f>transport!G14</f>
        <v>161726.09273307552</v>
      </c>
      <c r="I20" s="1025">
        <f>transport!H14</f>
        <v>30614.059457732401</v>
      </c>
      <c r="J20" s="1025">
        <f>transport!I14</f>
        <v>0</v>
      </c>
      <c r="K20" s="1025">
        <f>transport!J14</f>
        <v>0</v>
      </c>
      <c r="L20" s="1025">
        <f>transport!K14</f>
        <v>0</v>
      </c>
      <c r="M20" s="1025">
        <f>transport!L14</f>
        <v>0</v>
      </c>
      <c r="N20" s="1025">
        <f>transport!M14</f>
        <v>10297.53284003059</v>
      </c>
      <c r="O20" s="1025">
        <f>transport!N14</f>
        <v>0</v>
      </c>
      <c r="P20" s="1025">
        <f>transport!O14</f>
        <v>0</v>
      </c>
      <c r="Q20" s="1026">
        <f>transport!P14</f>
        <v>0</v>
      </c>
      <c r="R20" s="701">
        <f>SUM(C20:Q20)</f>
        <v>203263.27066485659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29.891629515097744</v>
      </c>
      <c r="D22" s="813">
        <f t="shared" ref="D22:R22" si="1">SUM(D18:D21)</f>
        <v>0</v>
      </c>
      <c r="E22" s="813">
        <f t="shared" si="1"/>
        <v>81.152323415052933</v>
      </c>
      <c r="F22" s="813">
        <f t="shared" si="1"/>
        <v>514.54168108793192</v>
      </c>
      <c r="G22" s="813">
        <f t="shared" si="1"/>
        <v>0</v>
      </c>
      <c r="H22" s="813">
        <f t="shared" si="1"/>
        <v>165456.11801798557</v>
      </c>
      <c r="I22" s="813">
        <f t="shared" si="1"/>
        <v>30614.059457732401</v>
      </c>
      <c r="J22" s="813">
        <f t="shared" si="1"/>
        <v>0</v>
      </c>
      <c r="K22" s="813">
        <f t="shared" si="1"/>
        <v>0</v>
      </c>
      <c r="L22" s="813">
        <f t="shared" si="1"/>
        <v>0</v>
      </c>
      <c r="M22" s="813">
        <f t="shared" si="1"/>
        <v>0</v>
      </c>
      <c r="N22" s="813">
        <f t="shared" si="1"/>
        <v>10510.245308417914</v>
      </c>
      <c r="O22" s="813">
        <f t="shared" si="1"/>
        <v>0</v>
      </c>
      <c r="P22" s="813">
        <f t="shared" si="1"/>
        <v>0</v>
      </c>
      <c r="Q22" s="813">
        <f t="shared" si="1"/>
        <v>0</v>
      </c>
      <c r="R22" s="813">
        <f t="shared" si="1"/>
        <v>207206.00841815397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1150.83899</v>
      </c>
      <c r="D24" s="1025">
        <f>+landbouw!C8</f>
        <v>77.142857142857139</v>
      </c>
      <c r="E24" s="1025">
        <f>+landbouw!D8</f>
        <v>1741.7819496898278</v>
      </c>
      <c r="F24" s="1025">
        <f>+landbouw!E8</f>
        <v>10.659552741056821</v>
      </c>
      <c r="G24" s="1025">
        <f>+landbouw!F8</f>
        <v>2919.8977522326122</v>
      </c>
      <c r="H24" s="1025">
        <f>+landbouw!G8</f>
        <v>0</v>
      </c>
      <c r="I24" s="1025">
        <f>+landbouw!H8</f>
        <v>0</v>
      </c>
      <c r="J24" s="1025">
        <f>+landbouw!I8</f>
        <v>0</v>
      </c>
      <c r="K24" s="1025">
        <f>+landbouw!J8</f>
        <v>176.4364605676131</v>
      </c>
      <c r="L24" s="1025">
        <f>+landbouw!K8</f>
        <v>0</v>
      </c>
      <c r="M24" s="1025">
        <f>+landbouw!L8</f>
        <v>0</v>
      </c>
      <c r="N24" s="1025">
        <f>+landbouw!M8</f>
        <v>0</v>
      </c>
      <c r="O24" s="1025">
        <f>+landbouw!N8</f>
        <v>0</v>
      </c>
      <c r="P24" s="1025">
        <f>+landbouw!O8</f>
        <v>0</v>
      </c>
      <c r="Q24" s="1026">
        <f>+landbouw!P8</f>
        <v>0</v>
      </c>
      <c r="R24" s="701">
        <f>SUM(C24:Q24)</f>
        <v>6076.7575623739667</v>
      </c>
      <c r="S24" s="67"/>
    </row>
    <row r="25" spans="1:19" s="474" customFormat="1" ht="15" thickBot="1">
      <c r="A25" s="832" t="s">
        <v>864</v>
      </c>
      <c r="B25" s="1028"/>
      <c r="C25" s="1029">
        <f>IF(Onbekend_ele_kWh="---",0,Onbekend_ele_kWh)/1000+IF(REST_rest_ele_kWh="---",0,REST_rest_ele_kWh)/1000</f>
        <v>2557.5990000000002</v>
      </c>
      <c r="D25" s="1029"/>
      <c r="E25" s="1029">
        <f>IF(onbekend_gas_kWh="---",0,onbekend_gas_kWh)/1000+IF(REST_rest_gas_kWh="---",0,REST_rest_gas_kWh)/1000</f>
        <v>8719.2170637909985</v>
      </c>
      <c r="F25" s="1029"/>
      <c r="G25" s="1029"/>
      <c r="H25" s="1029"/>
      <c r="I25" s="1029"/>
      <c r="J25" s="1029"/>
      <c r="K25" s="1029"/>
      <c r="L25" s="1029"/>
      <c r="M25" s="1029"/>
      <c r="N25" s="1029"/>
      <c r="O25" s="1029"/>
      <c r="P25" s="1029"/>
      <c r="Q25" s="1030"/>
      <c r="R25" s="701">
        <f>SUM(C25:Q25)</f>
        <v>11276.816063790999</v>
      </c>
      <c r="S25" s="67"/>
    </row>
    <row r="26" spans="1:19" s="474" customFormat="1" ht="15.75" thickBot="1">
      <c r="A26" s="706" t="s">
        <v>865</v>
      </c>
      <c r="B26" s="818"/>
      <c r="C26" s="813">
        <f>SUM(C24:C25)</f>
        <v>3708.4379900000004</v>
      </c>
      <c r="D26" s="813">
        <f t="shared" ref="D26:R26" si="2">SUM(D24:D25)</f>
        <v>77.142857142857139</v>
      </c>
      <c r="E26" s="813">
        <f t="shared" si="2"/>
        <v>10460.999013480827</v>
      </c>
      <c r="F26" s="813">
        <f t="shared" si="2"/>
        <v>10.659552741056821</v>
      </c>
      <c r="G26" s="813">
        <f t="shared" si="2"/>
        <v>2919.8977522326122</v>
      </c>
      <c r="H26" s="813">
        <f t="shared" si="2"/>
        <v>0</v>
      </c>
      <c r="I26" s="813">
        <f t="shared" si="2"/>
        <v>0</v>
      </c>
      <c r="J26" s="813">
        <f t="shared" si="2"/>
        <v>0</v>
      </c>
      <c r="K26" s="813">
        <f t="shared" si="2"/>
        <v>176.4364605676131</v>
      </c>
      <c r="L26" s="813">
        <f t="shared" si="2"/>
        <v>0</v>
      </c>
      <c r="M26" s="813">
        <f t="shared" si="2"/>
        <v>0</v>
      </c>
      <c r="N26" s="813">
        <f t="shared" si="2"/>
        <v>0</v>
      </c>
      <c r="O26" s="813">
        <f t="shared" si="2"/>
        <v>0</v>
      </c>
      <c r="P26" s="813">
        <f t="shared" si="2"/>
        <v>0</v>
      </c>
      <c r="Q26" s="813">
        <f t="shared" si="2"/>
        <v>0</v>
      </c>
      <c r="R26" s="813">
        <f t="shared" si="2"/>
        <v>17353.573626164965</v>
      </c>
      <c r="S26" s="67"/>
    </row>
    <row r="27" spans="1:19" s="474" customFormat="1" ht="17.25" thickTop="1" thickBot="1">
      <c r="A27" s="707" t="s">
        <v>116</v>
      </c>
      <c r="B27" s="806"/>
      <c r="C27" s="708">
        <f ca="1">C22+C16+C26</f>
        <v>235207.04992847273</v>
      </c>
      <c r="D27" s="708">
        <f t="shared" ref="D27:R27" ca="1" si="3">D22+D16+D26</f>
        <v>77.142857142857139</v>
      </c>
      <c r="E27" s="708">
        <f t="shared" ca="1" si="3"/>
        <v>355532.29671956488</v>
      </c>
      <c r="F27" s="708">
        <f t="shared" si="3"/>
        <v>13654.560398973339</v>
      </c>
      <c r="G27" s="708">
        <f t="shared" ca="1" si="3"/>
        <v>77306.967721974419</v>
      </c>
      <c r="H27" s="708">
        <f t="shared" si="3"/>
        <v>165456.11801798557</v>
      </c>
      <c r="I27" s="708">
        <f t="shared" si="3"/>
        <v>30614.059457732401</v>
      </c>
      <c r="J27" s="708">
        <f t="shared" si="3"/>
        <v>0</v>
      </c>
      <c r="K27" s="708">
        <f t="shared" si="3"/>
        <v>6838.9179756663652</v>
      </c>
      <c r="L27" s="708">
        <f t="shared" si="3"/>
        <v>0</v>
      </c>
      <c r="M27" s="708">
        <f t="shared" ca="1" si="3"/>
        <v>0</v>
      </c>
      <c r="N27" s="708">
        <f t="shared" si="3"/>
        <v>10510.245308417914</v>
      </c>
      <c r="O27" s="708">
        <f t="shared" ca="1" si="3"/>
        <v>39420.265392745321</v>
      </c>
      <c r="P27" s="708">
        <f t="shared" si="3"/>
        <v>297.03333333333336</v>
      </c>
      <c r="Q27" s="708">
        <f t="shared" si="3"/>
        <v>1239.3333333333333</v>
      </c>
      <c r="R27" s="708">
        <f t="shared" ca="1" si="3"/>
        <v>936153.9904453425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16751.828056060276</v>
      </c>
      <c r="D40" s="1025">
        <f ca="1">tertiair!C20</f>
        <v>0</v>
      </c>
      <c r="E40" s="1025">
        <f ca="1">tertiair!D20</f>
        <v>18753.365730654165</v>
      </c>
      <c r="F40" s="1025">
        <f>tertiair!E20</f>
        <v>150.0025367651678</v>
      </c>
      <c r="G40" s="1025">
        <f ca="1">tertiair!F20</f>
        <v>3249.813922269027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38905.010245748643</v>
      </c>
    </row>
    <row r="41" spans="1:18">
      <c r="A41" s="823" t="s">
        <v>225</v>
      </c>
      <c r="B41" s="830"/>
      <c r="C41" s="1025">
        <f ca="1">huishoudens!B12</f>
        <v>14544.65468907128</v>
      </c>
      <c r="D41" s="1025">
        <f ca="1">huishoudens!C12</f>
        <v>0</v>
      </c>
      <c r="E41" s="1025">
        <f>huishoudens!D12</f>
        <v>36979.214390381661</v>
      </c>
      <c r="F41" s="1025">
        <f>huishoudens!E12</f>
        <v>1421.5601548114666</v>
      </c>
      <c r="G41" s="1025">
        <f>huishoudens!F12</f>
        <v>5064.1896473767874</v>
      </c>
      <c r="H41" s="1025">
        <f>huishoudens!G12</f>
        <v>0</v>
      </c>
      <c r="I41" s="1025">
        <f>huishoudens!H12</f>
        <v>0</v>
      </c>
      <c r="J41" s="1025">
        <f>huishoudens!I12</f>
        <v>0</v>
      </c>
      <c r="K41" s="1025">
        <f>huishoudens!J12</f>
        <v>2222.6240246855991</v>
      </c>
      <c r="L41" s="1025">
        <f>huishoudens!K12</f>
        <v>0</v>
      </c>
      <c r="M41" s="1025">
        <f>huishoudens!L12</f>
        <v>0</v>
      </c>
      <c r="N41" s="1025">
        <f>huishoudens!M12</f>
        <v>0</v>
      </c>
      <c r="O41" s="1025">
        <f>huishoudens!N12</f>
        <v>0</v>
      </c>
      <c r="P41" s="1025">
        <f>huishoudens!O12</f>
        <v>0</v>
      </c>
      <c r="Q41" s="775">
        <f>huishoudens!P12</f>
        <v>0</v>
      </c>
      <c r="R41" s="851">
        <f t="shared" ca="1" si="4"/>
        <v>60232.242906326785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12593.03840390495</v>
      </c>
      <c r="D43" s="1025">
        <f ca="1">industrie!C22</f>
        <v>0</v>
      </c>
      <c r="E43" s="1025">
        <f>industrie!D22</f>
        <v>13955.429246263324</v>
      </c>
      <c r="F43" s="1025">
        <f>industrie!E22</f>
        <v>1408.8018389111328</v>
      </c>
      <c r="G43" s="1025">
        <f>industrie!F22</f>
        <v>11547.344112275248</v>
      </c>
      <c r="H43" s="1025">
        <f>industrie!G22</f>
        <v>0</v>
      </c>
      <c r="I43" s="1025">
        <f>industrie!H22</f>
        <v>0</v>
      </c>
      <c r="J43" s="1025">
        <f>industrie!I22</f>
        <v>0</v>
      </c>
      <c r="K43" s="1025">
        <f>industrie!J22</f>
        <v>135.89443165935907</v>
      </c>
      <c r="L43" s="1025">
        <f>industrie!K22</f>
        <v>0</v>
      </c>
      <c r="M43" s="1025">
        <f>industrie!L22</f>
        <v>0</v>
      </c>
      <c r="N43" s="1025">
        <f>industrie!M22</f>
        <v>0</v>
      </c>
      <c r="O43" s="1025">
        <f>industrie!N22</f>
        <v>0</v>
      </c>
      <c r="P43" s="1025">
        <f>industrie!O22</f>
        <v>0</v>
      </c>
      <c r="Q43" s="775">
        <f>industrie!P22</f>
        <v>0</v>
      </c>
      <c r="R43" s="850">
        <f t="shared" ca="1" si="4"/>
        <v>39640.508033014012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43889.521149036504</v>
      </c>
      <c r="D46" s="733">
        <f t="shared" ref="D46:Q46" ca="1" si="5">SUM(D39:D45)</f>
        <v>0</v>
      </c>
      <c r="E46" s="733">
        <f t="shared" ca="1" si="5"/>
        <v>69688.00936729915</v>
      </c>
      <c r="F46" s="733">
        <f t="shared" si="5"/>
        <v>2980.3645304877673</v>
      </c>
      <c r="G46" s="733">
        <f t="shared" ca="1" si="5"/>
        <v>19861.347681921063</v>
      </c>
      <c r="H46" s="733">
        <f t="shared" si="5"/>
        <v>0</v>
      </c>
      <c r="I46" s="733">
        <f t="shared" si="5"/>
        <v>0</v>
      </c>
      <c r="J46" s="733">
        <f t="shared" si="5"/>
        <v>0</v>
      </c>
      <c r="K46" s="733">
        <f t="shared" si="5"/>
        <v>2358.5184563449584</v>
      </c>
      <c r="L46" s="733">
        <f t="shared" si="5"/>
        <v>0</v>
      </c>
      <c r="M46" s="733">
        <f t="shared" ca="1" si="5"/>
        <v>0</v>
      </c>
      <c r="N46" s="733">
        <f t="shared" si="5"/>
        <v>0</v>
      </c>
      <c r="O46" s="733">
        <f t="shared" ca="1" si="5"/>
        <v>0</v>
      </c>
      <c r="P46" s="733">
        <f t="shared" si="5"/>
        <v>0</v>
      </c>
      <c r="Q46" s="733">
        <f t="shared" si="5"/>
        <v>0</v>
      </c>
      <c r="R46" s="733">
        <f ca="1">SUM(R39:R45)</f>
        <v>138777.76118508945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995.91675107098172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995.91675107098172</v>
      </c>
    </row>
    <row r="50" spans="1:18">
      <c r="A50" s="826" t="s">
        <v>307</v>
      </c>
      <c r="B50" s="836"/>
      <c r="C50" s="704">
        <f ca="1">transport!B18</f>
        <v>5.6678470595548367</v>
      </c>
      <c r="D50" s="704">
        <f>transport!C18</f>
        <v>0</v>
      </c>
      <c r="E50" s="704">
        <f>transport!D18</f>
        <v>16.392769329840693</v>
      </c>
      <c r="F50" s="704">
        <f>transport!E18</f>
        <v>116.80096160696056</v>
      </c>
      <c r="G50" s="704">
        <f>transport!F18</f>
        <v>0</v>
      </c>
      <c r="H50" s="704">
        <f>transport!G18</f>
        <v>43180.866759731165</v>
      </c>
      <c r="I50" s="704">
        <f>transport!H18</f>
        <v>7622.9008049753675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50942.629142702892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5.6678470595548367</v>
      </c>
      <c r="D52" s="733">
        <f t="shared" ref="D52:Q52" ca="1" si="6">SUM(D48:D51)</f>
        <v>0</v>
      </c>
      <c r="E52" s="733">
        <f t="shared" si="6"/>
        <v>16.392769329840693</v>
      </c>
      <c r="F52" s="733">
        <f t="shared" si="6"/>
        <v>116.80096160696056</v>
      </c>
      <c r="G52" s="733">
        <f t="shared" si="6"/>
        <v>0</v>
      </c>
      <c r="H52" s="733">
        <f t="shared" si="6"/>
        <v>44176.783510802146</v>
      </c>
      <c r="I52" s="733">
        <f t="shared" si="6"/>
        <v>7622.9008049753675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51938.545893773873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218.21424563682669</v>
      </c>
      <c r="D54" s="704">
        <f ca="1">+landbouw!C12</f>
        <v>0</v>
      </c>
      <c r="E54" s="704">
        <f>+landbouw!D12</f>
        <v>351.83995383734526</v>
      </c>
      <c r="F54" s="704">
        <f>+landbouw!E12</f>
        <v>2.4197184722198983</v>
      </c>
      <c r="G54" s="704">
        <f>+landbouw!F12</f>
        <v>779.61269984610749</v>
      </c>
      <c r="H54" s="704">
        <f>+landbouw!G12</f>
        <v>0</v>
      </c>
      <c r="I54" s="704">
        <f>+landbouw!H12</f>
        <v>0</v>
      </c>
      <c r="J54" s="704">
        <f>+landbouw!I12</f>
        <v>0</v>
      </c>
      <c r="K54" s="704">
        <f>+landbouw!J12</f>
        <v>62.458507040935032</v>
      </c>
      <c r="L54" s="704">
        <f>+landbouw!K12</f>
        <v>0</v>
      </c>
      <c r="M54" s="704">
        <f>+landbouw!L12</f>
        <v>0</v>
      </c>
      <c r="N54" s="704">
        <f>+landbouw!M12</f>
        <v>0</v>
      </c>
      <c r="O54" s="704">
        <f>+landbouw!N12</f>
        <v>0</v>
      </c>
      <c r="P54" s="704">
        <f>+landbouw!O12</f>
        <v>0</v>
      </c>
      <c r="Q54" s="705">
        <f>+landbouw!P12</f>
        <v>0</v>
      </c>
      <c r="R54" s="732">
        <f ca="1">SUM(C54:Q54)</f>
        <v>1414.5451248334343</v>
      </c>
    </row>
    <row r="55" spans="1:18" ht="15" thickBot="1">
      <c r="A55" s="826" t="s">
        <v>864</v>
      </c>
      <c r="B55" s="836"/>
      <c r="C55" s="704">
        <f ca="1">C25*'EF ele_warmte'!B12</f>
        <v>484.95449083325059</v>
      </c>
      <c r="D55" s="704"/>
      <c r="E55" s="704">
        <f>E25*EF_CO2_aardgas</f>
        <v>1761.2818468857818</v>
      </c>
      <c r="F55" s="704"/>
      <c r="G55" s="704"/>
      <c r="H55" s="704"/>
      <c r="I55" s="704"/>
      <c r="J55" s="704"/>
      <c r="K55" s="704"/>
      <c r="L55" s="704"/>
      <c r="M55" s="704"/>
      <c r="N55" s="704"/>
      <c r="O55" s="704"/>
      <c r="P55" s="704"/>
      <c r="Q55" s="705"/>
      <c r="R55" s="732">
        <f ca="1">SUM(C55:Q55)</f>
        <v>2246.2363377190322</v>
      </c>
    </row>
    <row r="56" spans="1:18" ht="15.75" thickBot="1">
      <c r="A56" s="824" t="s">
        <v>865</v>
      </c>
      <c r="B56" s="837"/>
      <c r="C56" s="733">
        <f ca="1">SUM(C54:C55)</f>
        <v>703.16873647007731</v>
      </c>
      <c r="D56" s="733">
        <f t="shared" ref="D56:Q56" ca="1" si="7">SUM(D54:D55)</f>
        <v>0</v>
      </c>
      <c r="E56" s="733">
        <f t="shared" si="7"/>
        <v>2113.1218007231269</v>
      </c>
      <c r="F56" s="733">
        <f t="shared" si="7"/>
        <v>2.4197184722198983</v>
      </c>
      <c r="G56" s="733">
        <f t="shared" si="7"/>
        <v>779.61269984610749</v>
      </c>
      <c r="H56" s="733">
        <f t="shared" si="7"/>
        <v>0</v>
      </c>
      <c r="I56" s="733">
        <f t="shared" si="7"/>
        <v>0</v>
      </c>
      <c r="J56" s="733">
        <f t="shared" si="7"/>
        <v>0</v>
      </c>
      <c r="K56" s="733">
        <f t="shared" si="7"/>
        <v>62.458507040935032</v>
      </c>
      <c r="L56" s="733">
        <f t="shared" si="7"/>
        <v>0</v>
      </c>
      <c r="M56" s="733">
        <f t="shared" si="7"/>
        <v>0</v>
      </c>
      <c r="N56" s="733">
        <f t="shared" si="7"/>
        <v>0</v>
      </c>
      <c r="O56" s="733">
        <f t="shared" si="7"/>
        <v>0</v>
      </c>
      <c r="P56" s="733">
        <f t="shared" si="7"/>
        <v>0</v>
      </c>
      <c r="Q56" s="734">
        <f t="shared" si="7"/>
        <v>0</v>
      </c>
      <c r="R56" s="735">
        <f ca="1">SUM(R54:R55)</f>
        <v>3660.7814625524666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44598.357732566139</v>
      </c>
      <c r="D61" s="741">
        <f t="shared" ref="D61:Q61" ca="1" si="8">D46+D52+D56</f>
        <v>0</v>
      </c>
      <c r="E61" s="741">
        <f t="shared" ca="1" si="8"/>
        <v>71817.523937352118</v>
      </c>
      <c r="F61" s="741">
        <f t="shared" si="8"/>
        <v>3099.5852105669478</v>
      </c>
      <c r="G61" s="741">
        <f t="shared" ca="1" si="8"/>
        <v>20640.96038176717</v>
      </c>
      <c r="H61" s="741">
        <f t="shared" si="8"/>
        <v>44176.783510802146</v>
      </c>
      <c r="I61" s="741">
        <f t="shared" si="8"/>
        <v>7622.9008049753675</v>
      </c>
      <c r="J61" s="741">
        <f t="shared" si="8"/>
        <v>0</v>
      </c>
      <c r="K61" s="741">
        <f t="shared" si="8"/>
        <v>2420.9769633858932</v>
      </c>
      <c r="L61" s="741">
        <f t="shared" si="8"/>
        <v>0</v>
      </c>
      <c r="M61" s="741">
        <f t="shared" ca="1" si="8"/>
        <v>0</v>
      </c>
      <c r="N61" s="741">
        <f t="shared" si="8"/>
        <v>0</v>
      </c>
      <c r="O61" s="741">
        <f t="shared" ca="1" si="8"/>
        <v>0</v>
      </c>
      <c r="P61" s="741">
        <f t="shared" si="8"/>
        <v>0</v>
      </c>
      <c r="Q61" s="741">
        <f t="shared" si="8"/>
        <v>0</v>
      </c>
      <c r="R61" s="741">
        <f ca="1">R46+R52+R56</f>
        <v>194377.08854141578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0.18961318440977282</v>
      </c>
      <c r="D63" s="782">
        <f t="shared" ca="1" si="9"/>
        <v>0</v>
      </c>
      <c r="E63" s="1036">
        <f t="shared" ca="1" si="9"/>
        <v>0.20200000000000004</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15592.271588917494</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15319.25466278537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54</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63.529411764705898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2439</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6968.5714285714294</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33404.52625170286</v>
      </c>
      <c r="C78" s="756">
        <f>SUM(C72:C77)</f>
        <v>0</v>
      </c>
      <c r="D78" s="757">
        <f t="shared" ref="D78:H78" si="10">SUM(D76:D77)</f>
        <v>0</v>
      </c>
      <c r="E78" s="757">
        <f t="shared" si="10"/>
        <v>0</v>
      </c>
      <c r="F78" s="757">
        <f t="shared" si="10"/>
        <v>0</v>
      </c>
      <c r="G78" s="757">
        <f t="shared" si="10"/>
        <v>0</v>
      </c>
      <c r="H78" s="757">
        <f t="shared" si="10"/>
        <v>0</v>
      </c>
      <c r="I78" s="757">
        <f>SUM(I76:I77)</f>
        <v>0</v>
      </c>
      <c r="J78" s="757">
        <f>SUM(J76:J77)</f>
        <v>7032.1008403361357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77.142857142857139</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90.756302521008422</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77.142857142857139</v>
      </c>
      <c r="C90" s="756">
        <f>SUM(C87:C89)</f>
        <v>0</v>
      </c>
      <c r="D90" s="756">
        <f t="shared" ref="D90:H90" si="12">SUM(D87:D89)</f>
        <v>0</v>
      </c>
      <c r="E90" s="756">
        <f t="shared" si="12"/>
        <v>0</v>
      </c>
      <c r="F90" s="756">
        <f t="shared" si="12"/>
        <v>0</v>
      </c>
      <c r="G90" s="756">
        <f t="shared" si="12"/>
        <v>0</v>
      </c>
      <c r="H90" s="756">
        <f t="shared" si="12"/>
        <v>0</v>
      </c>
      <c r="I90" s="756">
        <f>SUM(I87:I89)</f>
        <v>0</v>
      </c>
      <c r="J90" s="756">
        <f>SUM(J87:J89)</f>
        <v>90.756302521008422</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15592.271588917494</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15319.25466278537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54</v>
      </c>
      <c r="C8" s="571">
        <f>B101</f>
        <v>0</v>
      </c>
      <c r="D8" s="1056"/>
      <c r="E8" s="1056">
        <f>E101</f>
        <v>0</v>
      </c>
      <c r="F8" s="1057"/>
      <c r="G8" s="572"/>
      <c r="H8" s="1056">
        <f>I101</f>
        <v>0</v>
      </c>
      <c r="I8" s="1056">
        <f>G101+F101</f>
        <v>0</v>
      </c>
      <c r="J8" s="1056">
        <f>H101+D101+C101</f>
        <v>63.529411764705898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2439</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33404.52625170286</v>
      </c>
      <c r="C10" s="584">
        <f t="shared" ref="C10:L10" si="0">SUM(C8:C9)</f>
        <v>0</v>
      </c>
      <c r="D10" s="584">
        <f t="shared" si="0"/>
        <v>0</v>
      </c>
      <c r="E10" s="584">
        <f t="shared" si="0"/>
        <v>0</v>
      </c>
      <c r="F10" s="584">
        <f t="shared" si="0"/>
        <v>0</v>
      </c>
      <c r="G10" s="584">
        <f t="shared" si="0"/>
        <v>0</v>
      </c>
      <c r="H10" s="584">
        <f t="shared" si="0"/>
        <v>0</v>
      </c>
      <c r="I10" s="584">
        <f t="shared" si="0"/>
        <v>0</v>
      </c>
      <c r="J10" s="584">
        <f t="shared" si="0"/>
        <v>7032.1008403361357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77.142857142857139</v>
      </c>
      <c r="C17" s="596">
        <f>B102</f>
        <v>0</v>
      </c>
      <c r="D17" s="597"/>
      <c r="E17" s="597">
        <f>E102</f>
        <v>0</v>
      </c>
      <c r="F17" s="1062"/>
      <c r="G17" s="598"/>
      <c r="H17" s="596">
        <f>I102</f>
        <v>0</v>
      </c>
      <c r="I17" s="597">
        <f>G102+F102</f>
        <v>0</v>
      </c>
      <c r="J17" s="597">
        <f>H102+D102+C102</f>
        <v>90.756302521008422</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77.142857142857139</v>
      </c>
      <c r="C20" s="583">
        <f>SUM(C17:C19)</f>
        <v>0</v>
      </c>
      <c r="D20" s="583">
        <f t="shared" ref="D20:L20" si="1">SUM(D17:D19)</f>
        <v>0</v>
      </c>
      <c r="E20" s="583">
        <f t="shared" si="1"/>
        <v>0</v>
      </c>
      <c r="F20" s="583">
        <f t="shared" si="1"/>
        <v>0</v>
      </c>
      <c r="G20" s="583">
        <f t="shared" si="1"/>
        <v>0</v>
      </c>
      <c r="H20" s="583">
        <f t="shared" si="1"/>
        <v>0</v>
      </c>
      <c r="I20" s="583">
        <f t="shared" si="1"/>
        <v>0</v>
      </c>
      <c r="J20" s="583">
        <f t="shared" si="1"/>
        <v>90.756302521008422</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42006</v>
      </c>
      <c r="C28" s="797">
        <v>9200</v>
      </c>
      <c r="D28" s="654" t="s">
        <v>907</v>
      </c>
      <c r="E28" s="653" t="s">
        <v>908</v>
      </c>
      <c r="F28" s="653" t="s">
        <v>909</v>
      </c>
      <c r="G28" s="653" t="s">
        <v>910</v>
      </c>
      <c r="H28" s="653" t="s">
        <v>911</v>
      </c>
      <c r="I28" s="653" t="s">
        <v>908</v>
      </c>
      <c r="J28" s="796">
        <v>40968</v>
      </c>
      <c r="K28" s="796">
        <v>41091</v>
      </c>
      <c r="L28" s="653" t="s">
        <v>912</v>
      </c>
      <c r="M28" s="653">
        <v>12</v>
      </c>
      <c r="N28" s="653">
        <v>54</v>
      </c>
      <c r="O28" s="653">
        <v>77.142857142857139</v>
      </c>
      <c r="P28" s="653">
        <v>0</v>
      </c>
      <c r="Q28" s="653">
        <v>0</v>
      </c>
      <c r="R28" s="653">
        <v>0</v>
      </c>
      <c r="S28" s="653">
        <v>0</v>
      </c>
      <c r="T28" s="653">
        <v>0</v>
      </c>
      <c r="U28" s="653">
        <v>0</v>
      </c>
      <c r="V28" s="653">
        <v>154.28571428571431</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v>
      </c>
      <c r="N58" s="611">
        <f>SUM(N28:N57)</f>
        <v>54</v>
      </c>
      <c r="O58" s="611">
        <f t="shared" ref="O58:W58" si="2">SUM(O28:O57)</f>
        <v>77.142857142857139</v>
      </c>
      <c r="P58" s="611">
        <f t="shared" si="2"/>
        <v>0</v>
      </c>
      <c r="Q58" s="611">
        <f t="shared" si="2"/>
        <v>0</v>
      </c>
      <c r="R58" s="611">
        <f t="shared" si="2"/>
        <v>0</v>
      </c>
      <c r="S58" s="611">
        <f t="shared" si="2"/>
        <v>0</v>
      </c>
      <c r="T58" s="611">
        <f t="shared" si="2"/>
        <v>0</v>
      </c>
      <c r="U58" s="611">
        <f t="shared" si="2"/>
        <v>0</v>
      </c>
      <c r="V58" s="611">
        <f t="shared" si="2"/>
        <v>154.28571428571431</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12</v>
      </c>
      <c r="N61" s="616">
        <f t="shared" si="4"/>
        <v>54</v>
      </c>
      <c r="O61" s="616">
        <f t="shared" si="4"/>
        <v>77.142857142857139</v>
      </c>
      <c r="P61" s="616">
        <f t="shared" si="4"/>
        <v>0</v>
      </c>
      <c r="Q61" s="616">
        <f t="shared" si="4"/>
        <v>0</v>
      </c>
      <c r="R61" s="616">
        <f t="shared" si="4"/>
        <v>0</v>
      </c>
      <c r="S61" s="616">
        <f t="shared" si="4"/>
        <v>0</v>
      </c>
      <c r="T61" s="616">
        <f t="shared" si="4"/>
        <v>0</v>
      </c>
      <c r="U61" s="616">
        <f t="shared" si="4"/>
        <v>0</v>
      </c>
      <c r="V61" s="616">
        <f t="shared" si="4"/>
        <v>154.28571428571431</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42006</v>
      </c>
      <c r="C64" s="797">
        <v>9200</v>
      </c>
      <c r="D64" s="656" t="s">
        <v>913</v>
      </c>
      <c r="E64" s="656" t="s">
        <v>914</v>
      </c>
      <c r="F64" s="656" t="s">
        <v>915</v>
      </c>
      <c r="G64" s="656" t="s">
        <v>916</v>
      </c>
      <c r="H64" s="656" t="s">
        <v>917</v>
      </c>
      <c r="I64" s="656" t="s">
        <v>918</v>
      </c>
      <c r="J64" s="796">
        <v>39295</v>
      </c>
      <c r="K64" s="796">
        <v>37469</v>
      </c>
      <c r="L64" s="656" t="s">
        <v>919</v>
      </c>
      <c r="M64" s="656">
        <v>542</v>
      </c>
      <c r="N64" s="656">
        <v>2439</v>
      </c>
      <c r="O64" s="656">
        <v>0</v>
      </c>
      <c r="P64" s="656">
        <v>0</v>
      </c>
      <c r="Q64" s="656">
        <v>6968.5714285714294</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542</v>
      </c>
      <c r="N89" s="611">
        <f t="shared" ref="N89:W89" si="5">SUM(N64:N88)</f>
        <v>2439</v>
      </c>
      <c r="O89" s="611">
        <f t="shared" si="5"/>
        <v>0</v>
      </c>
      <c r="P89" s="611">
        <f t="shared" si="5"/>
        <v>0</v>
      </c>
      <c r="Q89" s="611">
        <f t="shared" si="5"/>
        <v>6968.5714285714294</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542</v>
      </c>
      <c r="N91" s="611">
        <f t="shared" si="7"/>
        <v>2439</v>
      </c>
      <c r="O91" s="611">
        <f t="shared" si="7"/>
        <v>0</v>
      </c>
      <c r="P91" s="611">
        <f t="shared" si="7"/>
        <v>0</v>
      </c>
      <c r="Q91" s="611">
        <f t="shared" si="7"/>
        <v>6968.5714285714294</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63.529411764705898</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90.756302521008422</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76706.979708957602</v>
      </c>
      <c r="C4" s="478">
        <f>huishoudens!C8</f>
        <v>0</v>
      </c>
      <c r="D4" s="478">
        <f>huishoudens!D8</f>
        <v>183065.41777416662</v>
      </c>
      <c r="E4" s="478">
        <f>huishoudens!E8</f>
        <v>6262.3795366143904</v>
      </c>
      <c r="F4" s="478">
        <f>huishoudens!F8</f>
        <v>18967.002424632163</v>
      </c>
      <c r="G4" s="478">
        <f>huishoudens!G8</f>
        <v>0</v>
      </c>
      <c r="H4" s="478">
        <f>huishoudens!H8</f>
        <v>0</v>
      </c>
      <c r="I4" s="478">
        <f>huishoudens!I8</f>
        <v>0</v>
      </c>
      <c r="J4" s="478">
        <f>huishoudens!J8</f>
        <v>6278.5989397898284</v>
      </c>
      <c r="K4" s="478">
        <f>huishoudens!K8</f>
        <v>0</v>
      </c>
      <c r="L4" s="478">
        <f>huishoudens!L8</f>
        <v>0</v>
      </c>
      <c r="M4" s="478">
        <f>huishoudens!M8</f>
        <v>0</v>
      </c>
      <c r="N4" s="478">
        <f>huishoudens!N8</f>
        <v>20657.045283423751</v>
      </c>
      <c r="O4" s="478">
        <f>huishoudens!O8</f>
        <v>293.90666666666669</v>
      </c>
      <c r="P4" s="479">
        <f>huishoudens!P8</f>
        <v>1182.1333333333332</v>
      </c>
      <c r="Q4" s="480">
        <f>SUM(B4:P4)</f>
        <v>313413.46366758435</v>
      </c>
    </row>
    <row r="5" spans="1:17">
      <c r="A5" s="477" t="s">
        <v>156</v>
      </c>
      <c r="B5" s="478">
        <f ca="1">tertiair!B16</f>
        <v>85395.754000000001</v>
      </c>
      <c r="C5" s="478">
        <f ca="1">tertiair!C16</f>
        <v>0</v>
      </c>
      <c r="D5" s="478">
        <f ca="1">tertiair!D16</f>
        <v>92838.444211159222</v>
      </c>
      <c r="E5" s="478">
        <f>tertiair!E16</f>
        <v>660.80412671880083</v>
      </c>
      <c r="F5" s="478">
        <f ca="1">tertiair!F16</f>
        <v>12171.587723854032</v>
      </c>
      <c r="G5" s="478">
        <f>tertiair!G16</f>
        <v>0</v>
      </c>
      <c r="H5" s="478">
        <f>tertiair!H16</f>
        <v>0</v>
      </c>
      <c r="I5" s="478">
        <f>tertiair!I16</f>
        <v>0</v>
      </c>
      <c r="J5" s="478">
        <f>tertiair!J16</f>
        <v>0</v>
      </c>
      <c r="K5" s="478">
        <f>tertiair!K16</f>
        <v>0</v>
      </c>
      <c r="L5" s="478">
        <f ca="1">tertiair!L16</f>
        <v>0</v>
      </c>
      <c r="M5" s="478">
        <f>tertiair!M16</f>
        <v>0</v>
      </c>
      <c r="N5" s="478">
        <f ca="1">tertiair!N16</f>
        <v>1912.9548107774681</v>
      </c>
      <c r="O5" s="478">
        <f>tertiair!O16</f>
        <v>3.1266666666666669</v>
      </c>
      <c r="P5" s="479">
        <f>tertiair!P16</f>
        <v>57.2</v>
      </c>
      <c r="Q5" s="477">
        <f t="shared" ref="Q5:Q14" ca="1" si="0">SUM(B5:P5)</f>
        <v>193039.87153917621</v>
      </c>
    </row>
    <row r="6" spans="1:17">
      <c r="A6" s="477" t="s">
        <v>194</v>
      </c>
      <c r="B6" s="478">
        <f>'openbare verlichting'!B8</f>
        <v>2951.6260000000002</v>
      </c>
      <c r="C6" s="478"/>
      <c r="D6" s="478"/>
      <c r="E6" s="478"/>
      <c r="F6" s="478"/>
      <c r="G6" s="478"/>
      <c r="H6" s="478"/>
      <c r="I6" s="478"/>
      <c r="J6" s="478"/>
      <c r="K6" s="478"/>
      <c r="L6" s="478"/>
      <c r="M6" s="478"/>
      <c r="N6" s="478"/>
      <c r="O6" s="478"/>
      <c r="P6" s="479"/>
      <c r="Q6" s="477">
        <f t="shared" si="0"/>
        <v>2951.6260000000002</v>
      </c>
    </row>
    <row r="7" spans="1:17">
      <c r="A7" s="477" t="s">
        <v>112</v>
      </c>
      <c r="B7" s="478">
        <f>landbouw!B8</f>
        <v>1150.83899</v>
      </c>
      <c r="C7" s="478">
        <f>landbouw!C8</f>
        <v>77.142857142857139</v>
      </c>
      <c r="D7" s="478">
        <f>landbouw!D8</f>
        <v>1741.7819496898278</v>
      </c>
      <c r="E7" s="478">
        <f>landbouw!E8</f>
        <v>10.659552741056821</v>
      </c>
      <c r="F7" s="478">
        <f>landbouw!F8</f>
        <v>2919.8977522326122</v>
      </c>
      <c r="G7" s="478">
        <f>landbouw!G8</f>
        <v>0</v>
      </c>
      <c r="H7" s="478">
        <f>landbouw!H8</f>
        <v>0</v>
      </c>
      <c r="I7" s="478">
        <f>landbouw!I8</f>
        <v>0</v>
      </c>
      <c r="J7" s="478">
        <f>landbouw!J8</f>
        <v>176.4364605676131</v>
      </c>
      <c r="K7" s="478">
        <f>landbouw!K8</f>
        <v>0</v>
      </c>
      <c r="L7" s="478">
        <f>landbouw!L8</f>
        <v>0</v>
      </c>
      <c r="M7" s="478">
        <f>landbouw!M8</f>
        <v>0</v>
      </c>
      <c r="N7" s="478">
        <f>landbouw!N8</f>
        <v>0</v>
      </c>
      <c r="O7" s="478">
        <f>landbouw!O8</f>
        <v>0</v>
      </c>
      <c r="P7" s="479">
        <f>landbouw!P8</f>
        <v>0</v>
      </c>
      <c r="Q7" s="477">
        <f t="shared" si="0"/>
        <v>6076.7575623739667</v>
      </c>
    </row>
    <row r="8" spans="1:17">
      <c r="A8" s="477" t="s">
        <v>650</v>
      </c>
      <c r="B8" s="478">
        <f>industrie!B18</f>
        <v>66414.3606</v>
      </c>
      <c r="C8" s="478">
        <f>industrie!C18</f>
        <v>0</v>
      </c>
      <c r="D8" s="478">
        <f>industrie!D18</f>
        <v>69086.283397343184</v>
      </c>
      <c r="E8" s="478">
        <f>industrie!E18</f>
        <v>6206.1755018111571</v>
      </c>
      <c r="F8" s="478">
        <f>industrie!F18</f>
        <v>43248.479821255612</v>
      </c>
      <c r="G8" s="478">
        <f>industrie!G18</f>
        <v>0</v>
      </c>
      <c r="H8" s="478">
        <f>industrie!H18</f>
        <v>0</v>
      </c>
      <c r="I8" s="478">
        <f>industrie!I18</f>
        <v>0</v>
      </c>
      <c r="J8" s="478">
        <f>industrie!J18</f>
        <v>383.88257530892395</v>
      </c>
      <c r="K8" s="478">
        <f>industrie!K18</f>
        <v>0</v>
      </c>
      <c r="L8" s="478">
        <f>industrie!L18</f>
        <v>0</v>
      </c>
      <c r="M8" s="478">
        <f>industrie!M18</f>
        <v>0</v>
      </c>
      <c r="N8" s="478">
        <f>industrie!N18</f>
        <v>16850.265298544102</v>
      </c>
      <c r="O8" s="478">
        <f>industrie!O18</f>
        <v>0</v>
      </c>
      <c r="P8" s="479">
        <f>industrie!P18</f>
        <v>0</v>
      </c>
      <c r="Q8" s="477">
        <f t="shared" si="0"/>
        <v>202189.44719426299</v>
      </c>
    </row>
    <row r="9" spans="1:17" s="483" customFormat="1">
      <c r="A9" s="481" t="s">
        <v>571</v>
      </c>
      <c r="B9" s="482">
        <f>transport!B14</f>
        <v>29.891629515097744</v>
      </c>
      <c r="C9" s="482">
        <f>transport!C14</f>
        <v>0</v>
      </c>
      <c r="D9" s="482">
        <f>transport!D14</f>
        <v>81.152323415052933</v>
      </c>
      <c r="E9" s="482">
        <f>transport!E14</f>
        <v>514.54168108793192</v>
      </c>
      <c r="F9" s="482">
        <f>transport!F14</f>
        <v>0</v>
      </c>
      <c r="G9" s="482">
        <f>transport!G14</f>
        <v>161726.09273307552</v>
      </c>
      <c r="H9" s="482">
        <f>transport!H14</f>
        <v>30614.059457732401</v>
      </c>
      <c r="I9" s="482">
        <f>transport!I14</f>
        <v>0</v>
      </c>
      <c r="J9" s="482">
        <f>transport!J14</f>
        <v>0</v>
      </c>
      <c r="K9" s="482">
        <f>transport!K14</f>
        <v>0</v>
      </c>
      <c r="L9" s="482">
        <f>transport!L14</f>
        <v>0</v>
      </c>
      <c r="M9" s="482">
        <f>transport!M14</f>
        <v>10297.53284003059</v>
      </c>
      <c r="N9" s="482">
        <f>transport!N14</f>
        <v>0</v>
      </c>
      <c r="O9" s="482">
        <f>transport!O14</f>
        <v>0</v>
      </c>
      <c r="P9" s="482">
        <f>transport!P14</f>
        <v>0</v>
      </c>
      <c r="Q9" s="481">
        <f>SUM(B9:P9)</f>
        <v>203263.27066485659</v>
      </c>
    </row>
    <row r="10" spans="1:17">
      <c r="A10" s="477" t="s">
        <v>561</v>
      </c>
      <c r="B10" s="478">
        <f>transport!B54</f>
        <v>0</v>
      </c>
      <c r="C10" s="478">
        <f>transport!C54</f>
        <v>0</v>
      </c>
      <c r="D10" s="478">
        <f>transport!D54</f>
        <v>0</v>
      </c>
      <c r="E10" s="478">
        <f>transport!E54</f>
        <v>0</v>
      </c>
      <c r="F10" s="478">
        <f>transport!F54</f>
        <v>0</v>
      </c>
      <c r="G10" s="478">
        <f>transport!G54</f>
        <v>3730.0252849100439</v>
      </c>
      <c r="H10" s="478">
        <f>transport!H54</f>
        <v>0</v>
      </c>
      <c r="I10" s="478">
        <f>transport!I54</f>
        <v>0</v>
      </c>
      <c r="J10" s="478">
        <f>transport!J54</f>
        <v>0</v>
      </c>
      <c r="K10" s="478">
        <f>transport!K54</f>
        <v>0</v>
      </c>
      <c r="L10" s="478">
        <f>transport!L54</f>
        <v>0</v>
      </c>
      <c r="M10" s="478">
        <f>transport!M54</f>
        <v>212.71246838732455</v>
      </c>
      <c r="N10" s="478">
        <f>transport!N54</f>
        <v>0</v>
      </c>
      <c r="O10" s="478">
        <f>transport!O54</f>
        <v>0</v>
      </c>
      <c r="P10" s="479">
        <f>transport!P54</f>
        <v>0</v>
      </c>
      <c r="Q10" s="477">
        <f t="shared" si="0"/>
        <v>3942.7377532973683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2557.5990000000002</v>
      </c>
      <c r="C14" s="485"/>
      <c r="D14" s="485">
        <f>'SEAP template'!E25</f>
        <v>8719.2170637909985</v>
      </c>
      <c r="E14" s="485"/>
      <c r="F14" s="485"/>
      <c r="G14" s="485"/>
      <c r="H14" s="485"/>
      <c r="I14" s="485"/>
      <c r="J14" s="485"/>
      <c r="K14" s="485"/>
      <c r="L14" s="485"/>
      <c r="M14" s="485"/>
      <c r="N14" s="485"/>
      <c r="O14" s="485"/>
      <c r="P14" s="486"/>
      <c r="Q14" s="477">
        <f t="shared" si="0"/>
        <v>11276.816063790999</v>
      </c>
    </row>
    <row r="15" spans="1:17" s="487" customFormat="1">
      <c r="A15" s="1051" t="s">
        <v>565</v>
      </c>
      <c r="B15" s="991">
        <f ca="1">SUM(B4:B14)</f>
        <v>235207.04992847267</v>
      </c>
      <c r="C15" s="991">
        <f t="shared" ref="C15:Q15" ca="1" si="1">SUM(C4:C14)</f>
        <v>77.142857142857139</v>
      </c>
      <c r="D15" s="991">
        <f t="shared" ca="1" si="1"/>
        <v>355532.29671956488</v>
      </c>
      <c r="E15" s="991">
        <f t="shared" si="1"/>
        <v>13654.560398973339</v>
      </c>
      <c r="F15" s="991">
        <f t="shared" ca="1" si="1"/>
        <v>77306.967721974419</v>
      </c>
      <c r="G15" s="991">
        <f t="shared" si="1"/>
        <v>165456.11801798557</v>
      </c>
      <c r="H15" s="991">
        <f t="shared" si="1"/>
        <v>30614.059457732401</v>
      </c>
      <c r="I15" s="991">
        <f t="shared" si="1"/>
        <v>0</v>
      </c>
      <c r="J15" s="991">
        <f t="shared" si="1"/>
        <v>6838.9179756663652</v>
      </c>
      <c r="K15" s="991">
        <f t="shared" si="1"/>
        <v>0</v>
      </c>
      <c r="L15" s="991">
        <f t="shared" ca="1" si="1"/>
        <v>0</v>
      </c>
      <c r="M15" s="991">
        <f t="shared" si="1"/>
        <v>10510.245308417914</v>
      </c>
      <c r="N15" s="991">
        <f t="shared" ca="1" si="1"/>
        <v>39420.265392745321</v>
      </c>
      <c r="O15" s="991">
        <f t="shared" si="1"/>
        <v>297.03333333333336</v>
      </c>
      <c r="P15" s="991">
        <f t="shared" si="1"/>
        <v>1239.3333333333333</v>
      </c>
      <c r="Q15" s="991">
        <f t="shared" ca="1" si="1"/>
        <v>936153.9904453425</v>
      </c>
    </row>
    <row r="17" spans="1:17">
      <c r="A17" s="488" t="s">
        <v>566</v>
      </c>
      <c r="B17" s="787">
        <f ca="1">huishoudens!B10</f>
        <v>0.18961318440977282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14544.65468907128</v>
      </c>
      <c r="C22" s="478">
        <f t="shared" ref="C22:C32" ca="1" si="3">C4*$C$17</f>
        <v>0</v>
      </c>
      <c r="D22" s="478">
        <f t="shared" ref="D22:D32" si="4">D4*$D$17</f>
        <v>36979.214390381661</v>
      </c>
      <c r="E22" s="478">
        <f t="shared" ref="E22:E32" si="5">E4*$E$17</f>
        <v>1421.5601548114666</v>
      </c>
      <c r="F22" s="478">
        <f t="shared" ref="F22:F32" si="6">F4*$F$17</f>
        <v>5064.1896473767874</v>
      </c>
      <c r="G22" s="478">
        <f t="shared" ref="G22:G32" si="7">G4*$G$17</f>
        <v>0</v>
      </c>
      <c r="H22" s="478">
        <f t="shared" ref="H22:H32" si="8">H4*$H$17</f>
        <v>0</v>
      </c>
      <c r="I22" s="478">
        <f t="shared" ref="I22:I32" si="9">I4*$I$17</f>
        <v>0</v>
      </c>
      <c r="J22" s="478">
        <f t="shared" ref="J22:J32" si="10">J4*$J$17</f>
        <v>2222.6240246855991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60232.242906326785</v>
      </c>
    </row>
    <row r="23" spans="1:17">
      <c r="A23" s="477" t="s">
        <v>156</v>
      </c>
      <c r="B23" s="478">
        <f t="shared" ca="1" si="2"/>
        <v>16192.160851013596</v>
      </c>
      <c r="C23" s="478">
        <f t="shared" ca="1" si="3"/>
        <v>0</v>
      </c>
      <c r="D23" s="478">
        <f t="shared" ca="1" si="4"/>
        <v>18753.365730654165</v>
      </c>
      <c r="E23" s="478">
        <f t="shared" si="5"/>
        <v>150.0025367651678</v>
      </c>
      <c r="F23" s="478">
        <f t="shared" ca="1" si="6"/>
        <v>3249.813922269027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38345.343040701955</v>
      </c>
    </row>
    <row r="24" spans="1:17">
      <c r="A24" s="477" t="s">
        <v>194</v>
      </c>
      <c r="B24" s="478">
        <f t="shared" ca="1" si="2"/>
        <v>559.66720504668012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559.66720504668012</v>
      </c>
    </row>
    <row r="25" spans="1:17">
      <c r="A25" s="477" t="s">
        <v>112</v>
      </c>
      <c r="B25" s="478">
        <f t="shared" ca="1" si="2"/>
        <v>218.21424563682669</v>
      </c>
      <c r="C25" s="478">
        <f t="shared" ca="1" si="3"/>
        <v>0</v>
      </c>
      <c r="D25" s="478">
        <f t="shared" si="4"/>
        <v>351.83995383734526</v>
      </c>
      <c r="E25" s="478">
        <f t="shared" si="5"/>
        <v>2.4197184722198983</v>
      </c>
      <c r="F25" s="478">
        <f t="shared" si="6"/>
        <v>779.61269984610749</v>
      </c>
      <c r="G25" s="478">
        <f t="shared" si="7"/>
        <v>0</v>
      </c>
      <c r="H25" s="478">
        <f t="shared" si="8"/>
        <v>0</v>
      </c>
      <c r="I25" s="478">
        <f t="shared" si="9"/>
        <v>0</v>
      </c>
      <c r="J25" s="478">
        <f t="shared" si="10"/>
        <v>62.458507040935032</v>
      </c>
      <c r="K25" s="478">
        <f t="shared" si="11"/>
        <v>0</v>
      </c>
      <c r="L25" s="478">
        <f t="shared" si="12"/>
        <v>0</v>
      </c>
      <c r="M25" s="478">
        <f t="shared" si="13"/>
        <v>0</v>
      </c>
      <c r="N25" s="478">
        <f t="shared" si="14"/>
        <v>0</v>
      </c>
      <c r="O25" s="478">
        <f t="shared" si="15"/>
        <v>0</v>
      </c>
      <c r="P25" s="479">
        <f t="shared" si="16"/>
        <v>0</v>
      </c>
      <c r="Q25" s="477">
        <f t="shared" ca="1" si="17"/>
        <v>1414.5451248334343</v>
      </c>
    </row>
    <row r="26" spans="1:17">
      <c r="A26" s="477" t="s">
        <v>650</v>
      </c>
      <c r="B26" s="478">
        <f t="shared" ca="1" si="2"/>
        <v>12593.03840390495</v>
      </c>
      <c r="C26" s="478">
        <f t="shared" ca="1" si="3"/>
        <v>0</v>
      </c>
      <c r="D26" s="478">
        <f t="shared" si="4"/>
        <v>13955.429246263324</v>
      </c>
      <c r="E26" s="478">
        <f t="shared" si="5"/>
        <v>1408.8018389111328</v>
      </c>
      <c r="F26" s="478">
        <f t="shared" si="6"/>
        <v>11547.344112275248</v>
      </c>
      <c r="G26" s="478">
        <f t="shared" si="7"/>
        <v>0</v>
      </c>
      <c r="H26" s="478">
        <f t="shared" si="8"/>
        <v>0</v>
      </c>
      <c r="I26" s="478">
        <f t="shared" si="9"/>
        <v>0</v>
      </c>
      <c r="J26" s="478">
        <f t="shared" si="10"/>
        <v>135.89443165935907</v>
      </c>
      <c r="K26" s="478">
        <f t="shared" si="11"/>
        <v>0</v>
      </c>
      <c r="L26" s="478">
        <f t="shared" si="12"/>
        <v>0</v>
      </c>
      <c r="M26" s="478">
        <f t="shared" si="13"/>
        <v>0</v>
      </c>
      <c r="N26" s="478">
        <f t="shared" si="14"/>
        <v>0</v>
      </c>
      <c r="O26" s="478">
        <f t="shared" si="15"/>
        <v>0</v>
      </c>
      <c r="P26" s="479">
        <f t="shared" si="16"/>
        <v>0</v>
      </c>
      <c r="Q26" s="477">
        <f t="shared" ca="1" si="17"/>
        <v>39640.508033014012</v>
      </c>
    </row>
    <row r="27" spans="1:17" s="483" customFormat="1">
      <c r="A27" s="481" t="s">
        <v>571</v>
      </c>
      <c r="B27" s="781">
        <f t="shared" ca="1" si="2"/>
        <v>5.6678470595548367</v>
      </c>
      <c r="C27" s="482">
        <f t="shared" ca="1" si="3"/>
        <v>0</v>
      </c>
      <c r="D27" s="482">
        <f t="shared" si="4"/>
        <v>16.392769329840693</v>
      </c>
      <c r="E27" s="482">
        <f t="shared" si="5"/>
        <v>116.80096160696056</v>
      </c>
      <c r="F27" s="482">
        <f t="shared" si="6"/>
        <v>0</v>
      </c>
      <c r="G27" s="482">
        <f t="shared" si="7"/>
        <v>43180.866759731165</v>
      </c>
      <c r="H27" s="482">
        <f t="shared" si="8"/>
        <v>7622.9008049753675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50942.629142702892</v>
      </c>
    </row>
    <row r="28" spans="1:17">
      <c r="A28" s="477" t="s">
        <v>561</v>
      </c>
      <c r="B28" s="478">
        <f t="shared" ca="1" si="2"/>
        <v>0</v>
      </c>
      <c r="C28" s="478">
        <f t="shared" ca="1" si="3"/>
        <v>0</v>
      </c>
      <c r="D28" s="478">
        <f t="shared" si="4"/>
        <v>0</v>
      </c>
      <c r="E28" s="478">
        <f t="shared" si="5"/>
        <v>0</v>
      </c>
      <c r="F28" s="478">
        <f t="shared" si="6"/>
        <v>0</v>
      </c>
      <c r="G28" s="478">
        <f t="shared" si="7"/>
        <v>995.91675107098172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995.91675107098172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484.95449083325059</v>
      </c>
      <c r="C32" s="478">
        <f t="shared" ca="1" si="3"/>
        <v>0</v>
      </c>
      <c r="D32" s="478">
        <f t="shared" si="4"/>
        <v>1761.2818468857818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2246.2363377190322</v>
      </c>
    </row>
    <row r="33" spans="1:17" s="487" customFormat="1">
      <c r="A33" s="1051" t="s">
        <v>565</v>
      </c>
      <c r="B33" s="991">
        <f ca="1">SUM(B22:B32)</f>
        <v>44598.357732566146</v>
      </c>
      <c r="C33" s="991">
        <f t="shared" ref="C33:Q33" ca="1" si="18">SUM(C22:C32)</f>
        <v>0</v>
      </c>
      <c r="D33" s="991">
        <f t="shared" ca="1" si="18"/>
        <v>71817.523937352133</v>
      </c>
      <c r="E33" s="991">
        <f t="shared" si="18"/>
        <v>3099.5852105669478</v>
      </c>
      <c r="F33" s="991">
        <f t="shared" ca="1" si="18"/>
        <v>20640.96038176717</v>
      </c>
      <c r="G33" s="991">
        <f t="shared" si="18"/>
        <v>44176.783510802146</v>
      </c>
      <c r="H33" s="991">
        <f t="shared" si="18"/>
        <v>7622.9008049753675</v>
      </c>
      <c r="I33" s="991">
        <f t="shared" si="18"/>
        <v>0</v>
      </c>
      <c r="J33" s="991">
        <f t="shared" si="18"/>
        <v>2420.9769633858932</v>
      </c>
      <c r="K33" s="991">
        <f t="shared" si="18"/>
        <v>0</v>
      </c>
      <c r="L33" s="991">
        <f t="shared" ca="1" si="18"/>
        <v>0</v>
      </c>
      <c r="M33" s="991">
        <f t="shared" si="18"/>
        <v>0</v>
      </c>
      <c r="N33" s="991">
        <f t="shared" ca="1" si="18"/>
        <v>0</v>
      </c>
      <c r="O33" s="991">
        <f t="shared" si="18"/>
        <v>0</v>
      </c>
      <c r="P33" s="991">
        <f t="shared" si="18"/>
        <v>0</v>
      </c>
      <c r="Q33" s="991">
        <f t="shared" ca="1" si="18"/>
        <v>194377.08854141575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15592.271588917494</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15319.25466278537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54</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63.529411764705898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2439</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6968.5714285714294</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33404.52625170286</v>
      </c>
      <c r="C10" s="1072">
        <f>SUM(C4:C9)</f>
        <v>0</v>
      </c>
      <c r="D10" s="1072">
        <f t="shared" ref="D10:H10" si="0">SUM(D8:D9)</f>
        <v>0</v>
      </c>
      <c r="E10" s="1072">
        <f t="shared" si="0"/>
        <v>0</v>
      </c>
      <c r="F10" s="1072">
        <f t="shared" si="0"/>
        <v>0</v>
      </c>
      <c r="G10" s="1072">
        <f t="shared" si="0"/>
        <v>0</v>
      </c>
      <c r="H10" s="1072">
        <f t="shared" si="0"/>
        <v>0</v>
      </c>
      <c r="I10" s="1072">
        <f>SUM(I8:I9)</f>
        <v>0</v>
      </c>
      <c r="J10" s="1072">
        <f>SUM(J8:J9)</f>
        <v>7032.1008403361357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0.18961318440977282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77.142857142857139</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90.756302521008422</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77.142857142857139</v>
      </c>
      <c r="C20" s="1072">
        <f>SUM(C17:C19)</f>
        <v>0</v>
      </c>
      <c r="D20" s="1072">
        <f t="shared" ref="D20:H20" si="2">SUM(D17:D19)</f>
        <v>0</v>
      </c>
      <c r="E20" s="1072">
        <f t="shared" si="2"/>
        <v>0</v>
      </c>
      <c r="F20" s="1072">
        <f t="shared" si="2"/>
        <v>0</v>
      </c>
      <c r="G20" s="1072">
        <f t="shared" si="2"/>
        <v>0</v>
      </c>
      <c r="H20" s="1072">
        <f t="shared" si="2"/>
        <v>0</v>
      </c>
      <c r="I20" s="1072">
        <f>SUM(I17:I19)</f>
        <v>0</v>
      </c>
      <c r="J20" s="1072">
        <f>SUM(J17:J19)</f>
        <v>90.756302521008422</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0.18961318440977282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2019-08-12T08:09:23Z</dcterms:modified>
</cp:coreProperties>
</file>