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Q14" i="48"/>
  <c r="L90" i="14"/>
  <c r="L18" i="59"/>
  <c r="L20" s="1"/>
  <c r="H90" i="14"/>
  <c r="H18" i="59"/>
  <c r="H20" s="1"/>
  <c r="P22" i="14"/>
  <c r="L78"/>
  <c r="K10" i="18"/>
  <c r="B20"/>
  <c r="I77" i="14"/>
  <c r="I9" i="59" s="1"/>
  <c r="O10"/>
  <c r="B98" i="18"/>
  <c r="N10" i="59"/>
  <c r="K20"/>
  <c r="D14" i="48"/>
  <c r="K78" i="14"/>
  <c r="H9" i="18"/>
  <c r="M77" i="14" s="1"/>
  <c r="Q22"/>
  <c r="G10" i="59"/>
  <c r="L10"/>
  <c r="D22" i="14"/>
  <c r="L22"/>
  <c r="E10" i="59"/>
  <c r="B8" i="18"/>
  <c r="B10" s="1"/>
  <c r="F13" i="15"/>
  <c r="B13"/>
  <c r="N13"/>
  <c r="L13"/>
  <c r="F77" i="14"/>
  <c r="F9" i="59" s="1"/>
  <c r="I101" i="18"/>
  <c r="H8" s="1"/>
  <c r="E101"/>
  <c r="E8" s="1"/>
  <c r="F101"/>
  <c r="H101"/>
  <c r="D101"/>
  <c r="G101"/>
  <c r="C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O90" i="14"/>
  <c r="O18" i="59"/>
  <c r="O20" s="1"/>
  <c r="N90" i="14"/>
  <c r="N18" i="59"/>
  <c r="N20" s="1"/>
  <c r="H78" i="14"/>
  <c r="H9" i="59"/>
  <c r="H10" s="1"/>
  <c r="D10"/>
  <c r="Q89" i="14"/>
  <c r="P19" i="59" s="1"/>
  <c r="O9" i="18"/>
  <c r="B89" i="14"/>
  <c r="B19" i="59" s="1"/>
  <c r="J17" i="18"/>
  <c r="I8"/>
  <c r="C77" i="14"/>
  <c r="C9" i="59" s="1"/>
  <c r="J87" i="14"/>
  <c r="J20" i="18"/>
  <c r="H20"/>
  <c r="M87" i="14"/>
  <c r="F76"/>
  <c r="E10" i="18"/>
  <c r="C20"/>
  <c r="O17"/>
  <c r="O20" s="1"/>
  <c r="D87" i="14"/>
  <c r="D17" i="59" s="1"/>
  <c r="D20" s="1"/>
  <c r="H10" i="18"/>
  <c r="M76" i="14"/>
  <c r="B88"/>
  <c r="B18" i="59" s="1"/>
  <c r="I17" i="18"/>
  <c r="D76" i="14"/>
  <c r="D8" i="59" s="1"/>
  <c r="C10" i="18"/>
  <c r="J8"/>
  <c r="O8" s="1"/>
  <c r="C88" i="14"/>
  <c r="C18" i="59" s="1"/>
  <c r="I10" i="18"/>
  <c r="I76" i="14"/>
  <c r="I8" i="59" s="1"/>
  <c r="I10" s="1"/>
  <c r="B77" i="14"/>
  <c r="B9" i="59" s="1"/>
  <c r="E20" i="18"/>
  <c r="F87" i="14"/>
  <c r="Q88"/>
  <c r="P18" i="59" s="1"/>
  <c r="H14" i="15"/>
  <c r="H16" s="1"/>
  <c r="G14"/>
  <c r="G16" s="1"/>
  <c r="J90" i="14" l="1"/>
  <c r="J17" i="59"/>
  <c r="J20" s="1"/>
  <c r="H10" i="14"/>
  <c r="H16" s="1"/>
  <c r="G5" i="48"/>
  <c r="O10" i="18"/>
  <c r="M78" i="14"/>
  <c r="M8" i="59"/>
  <c r="M10" s="1"/>
  <c r="M90" i="14"/>
  <c r="M17" i="59"/>
  <c r="M20" s="1"/>
  <c r="F78" i="14"/>
  <c r="F8" i="59"/>
  <c r="F10" s="1"/>
  <c r="I10" i="14"/>
  <c r="I16" s="1"/>
  <c r="H5" i="48"/>
  <c r="F90" i="14"/>
  <c r="F17" i="59"/>
  <c r="F20" s="1"/>
  <c r="Q76" i="14"/>
  <c r="D78"/>
  <c r="I78"/>
  <c r="B76"/>
  <c r="J10" i="18"/>
  <c r="J76" i="14"/>
  <c r="I87"/>
  <c r="I17" i="59" s="1"/>
  <c r="I20" s="1"/>
  <c r="I20" i="18"/>
  <c r="Q87" i="14"/>
  <c r="D90"/>
  <c r="C87"/>
  <c r="A31" i="23"/>
  <c r="A32"/>
  <c r="A33"/>
  <c r="C90" i="14" l="1"/>
  <c r="C17" i="59"/>
  <c r="C20" s="1"/>
  <c r="Q90" i="14"/>
  <c r="B17" i="6" s="1"/>
  <c r="P17" i="59"/>
  <c r="P20" s="1"/>
  <c r="Q78" i="14"/>
  <c r="B9" i="6" s="1"/>
  <c r="P8" i="59"/>
  <c r="P10" s="1"/>
  <c r="B78" i="14"/>
  <c r="B8" i="59"/>
  <c r="B10" s="1"/>
  <c r="J78" i="14"/>
  <c r="J8" i="59"/>
  <c r="J10" s="1"/>
  <c r="B87" i="14"/>
  <c r="I90"/>
  <c r="C76"/>
  <c r="B11" i="44"/>
  <c r="B25"/>
  <c r="B24"/>
  <c r="C78" i="14" l="1"/>
  <c r="C8" i="59"/>
  <c r="C10" s="1"/>
  <c r="B4" i="6"/>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6"/>
  <c r="K22"/>
  <c r="K25"/>
  <c r="K31"/>
  <c r="K24"/>
  <c r="K29"/>
  <c r="B7"/>
  <c r="C24" i="14"/>
  <c r="C26" s="1"/>
  <c r="J24" i="48"/>
  <c r="J32"/>
  <c r="J30"/>
  <c r="J27"/>
  <c r="J29"/>
  <c r="J31"/>
  <c r="J28"/>
  <c r="P11" i="14"/>
  <c r="O4" i="48"/>
  <c r="I32"/>
  <c r="I28"/>
  <c r="I22"/>
  <c r="I31"/>
  <c r="I26"/>
  <c r="I27"/>
  <c r="I25"/>
  <c r="I30"/>
  <c r="I24"/>
  <c r="I29"/>
  <c r="E11" i="14"/>
  <c r="D4" i="48"/>
  <c r="D22" s="1"/>
  <c r="H32"/>
  <c r="H28"/>
  <c r="H29"/>
  <c r="H26"/>
  <c r="H30"/>
  <c r="H24"/>
  <c r="H25"/>
  <c r="H22"/>
  <c r="H23"/>
  <c r="D11" i="14"/>
  <c r="C4" i="48"/>
  <c r="F24"/>
  <c r="F32"/>
  <c r="F29"/>
  <c r="F30"/>
  <c r="F27"/>
  <c r="F28"/>
  <c r="F31"/>
  <c r="N32"/>
  <c r="N30"/>
  <c r="N27"/>
  <c r="N24"/>
  <c r="N29"/>
  <c r="N28"/>
  <c r="N31"/>
  <c r="C19" i="14"/>
  <c r="B10" i="48"/>
  <c r="E32"/>
  <c r="E31"/>
  <c r="E30"/>
  <c r="E28"/>
  <c r="E29"/>
  <c r="E24"/>
  <c r="M26"/>
  <c r="M22"/>
  <c r="M25"/>
  <c r="M32"/>
  <c r="M24"/>
  <c r="M29"/>
  <c r="M30"/>
  <c r="M23"/>
  <c r="N46" i="14"/>
  <c r="B8" i="9"/>
  <c r="B6" i="48" s="1"/>
  <c r="Q6" s="1"/>
  <c r="Q11" i="14"/>
  <c r="P4" i="48"/>
  <c r="G26"/>
  <c r="G25"/>
  <c r="G32"/>
  <c r="G22"/>
  <c r="G30"/>
  <c r="G24"/>
  <c r="G29"/>
  <c r="G23"/>
  <c r="B4"/>
  <c r="C11" i="14"/>
  <c r="K5" i="48"/>
  <c r="L10" i="14"/>
  <c r="L16" s="1"/>
  <c r="L27" s="1"/>
  <c r="D29" i="48"/>
  <c r="D30"/>
  <c r="D28"/>
  <c r="D31"/>
  <c r="D24"/>
  <c r="D32"/>
  <c r="L28"/>
  <c r="L32"/>
  <c r="L29"/>
  <c r="L24"/>
  <c r="L30"/>
  <c r="L27"/>
  <c r="L31"/>
  <c r="L22"/>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E20" i="14"/>
  <c r="E22" s="1"/>
  <c r="D9" i="48"/>
  <c r="D27" s="1"/>
  <c r="P10" i="14"/>
  <c r="O5" i="48"/>
  <c r="O23" s="1"/>
  <c r="K24" i="14"/>
  <c r="K26" s="1"/>
  <c r="J7" i="48"/>
  <c r="J25" s="1"/>
  <c r="C20" i="14"/>
  <c r="B9" i="48"/>
  <c r="P22"/>
  <c r="P33" s="1"/>
  <c r="D10" i="14"/>
  <c r="J12" i="17"/>
  <c r="K54" i="14" s="1"/>
  <c r="K56" s="1"/>
  <c r="L46"/>
  <c r="L61" s="1"/>
  <c r="M12" i="22"/>
  <c r="M13" i="48"/>
  <c r="M31" s="1"/>
  <c r="N18" i="14"/>
  <c r="G13" i="48"/>
  <c r="H18" i="14"/>
  <c r="H13" i="48"/>
  <c r="H31" s="1"/>
  <c r="I18" i="14"/>
  <c r="P22" i="16"/>
  <c r="Q43" i="14" s="1"/>
  <c r="Q13"/>
  <c r="Q16" s="1"/>
  <c r="Q27" s="1"/>
  <c r="P8" i="48"/>
  <c r="P26" s="1"/>
  <c r="K23"/>
  <c r="K33" s="1"/>
  <c r="K15"/>
  <c r="C22" i="14"/>
  <c r="I5" i="48"/>
  <c r="J10" i="14"/>
  <c r="J16" s="1"/>
  <c r="J27" s="1"/>
  <c r="J63" s="1"/>
  <c r="F20"/>
  <c r="F22" s="1"/>
  <c r="E9" i="48"/>
  <c r="E27" s="1"/>
  <c r="G11" i="14"/>
  <c r="F4" i="48"/>
  <c r="F22" s="1"/>
  <c r="L63"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E7"/>
  <c r="E25" s="1"/>
  <c r="F24" i="14"/>
  <c r="F26" s="1"/>
  <c r="I23" i="48"/>
  <c r="I33" s="1"/>
  <c r="I15"/>
  <c r="M14" i="22"/>
  <c r="H20" i="14"/>
  <c r="G9" i="48"/>
  <c r="N19" i="14"/>
  <c r="M10" i="48"/>
  <c r="M28" s="1"/>
  <c r="O22" i="16"/>
  <c r="P43" i="14" s="1"/>
  <c r="P46" s="1"/>
  <c r="P61" s="1"/>
  <c r="P13"/>
  <c r="O8" i="48"/>
  <c r="O26" s="1"/>
  <c r="O33" s="1"/>
  <c r="E12" i="13"/>
  <c r="F41" i="14" s="1"/>
  <c r="E4" i="48"/>
  <c r="F11" i="14"/>
  <c r="Q13" i="48"/>
  <c r="G31"/>
  <c r="K11" i="14"/>
  <c r="J4" i="48"/>
  <c r="P15"/>
  <c r="P16" i="14"/>
  <c r="P27" s="1"/>
  <c r="Q46"/>
  <c r="Q61" s="1"/>
  <c r="Q63" s="1"/>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20" l="1"/>
  <c r="N22" s="1"/>
  <c r="N27" s="1"/>
  <c r="M9" i="48"/>
  <c r="J22"/>
  <c r="G27"/>
  <c r="G15"/>
  <c r="K10" i="14"/>
  <c r="J5" i="48"/>
  <c r="J23" s="1"/>
  <c r="P63" i="14"/>
  <c r="R11"/>
  <c r="M18" i="22"/>
  <c r="N50" i="14" s="1"/>
  <c r="N52" s="1"/>
  <c r="N61" s="1"/>
  <c r="N63" s="1"/>
  <c r="F10"/>
  <c r="E5" i="48"/>
  <c r="E23" s="1"/>
  <c r="H9"/>
  <c r="I20" i="14"/>
  <c r="G28" i="48"/>
  <c r="Q10"/>
  <c r="E22"/>
  <c r="Q4"/>
  <c r="O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F13" l="1"/>
  <c r="E8" i="48"/>
  <c r="R20" i="14"/>
  <c r="R22" s="1"/>
  <c r="I22"/>
  <c r="I27" s="1"/>
  <c r="I63" s="1"/>
  <c r="H63"/>
  <c r="M27" i="48"/>
  <c r="M33" s="1"/>
  <c r="M15"/>
  <c r="J22" i="16"/>
  <c r="K43" i="14" s="1"/>
  <c r="K46" s="1"/>
  <c r="K61" s="1"/>
  <c r="K63" s="1"/>
  <c r="K13"/>
  <c r="K16" s="1"/>
  <c r="K27" s="1"/>
  <c r="J8" i="48"/>
  <c r="H27"/>
  <c r="H33" s="1"/>
  <c r="H15"/>
  <c r="Q9"/>
  <c r="F46" i="14"/>
  <c r="F61" s="1"/>
  <c r="F16"/>
  <c r="F27" s="1"/>
  <c r="G33" i="48"/>
  <c r="O13" i="14"/>
  <c r="N8" i="48"/>
  <c r="N26" s="1"/>
  <c r="F8"/>
  <c r="G13" i="14"/>
  <c r="R13" s="1"/>
  <c r="F63" l="1"/>
  <c r="E26" i="48"/>
  <c r="E33" s="1"/>
  <c r="E15"/>
  <c r="J26"/>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<sst xmlns="http://schemas.openxmlformats.org/spreadsheetml/2006/main" count="2419" uniqueCount="907">
  <si>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</si>
  <si>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</si>
  <si>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</si>
  <si>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</si>
  <si>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</si>
  <si>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</si>
  <si>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</si>
  <si>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</si>
  <si>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</si>
  <si>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</si>
  <si>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</si>
  <si>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</si>
  <si>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</si>
  <si>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</si>
  <si>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</si>
  <si>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</si>
  <si>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</si>
  <si>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</si>
  <si>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</si>
  <si>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</si>
  <si>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</si>
  <si>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</si>
  <si>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</si>
  <si>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</si>
  <si>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</si>
  <si>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</si>
  <si>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</si>
  <si>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</si>
  <si>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</si>
  <si>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</si>
  <si>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</si>
  <si>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</si>
  <si>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</si>
  <si>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</si>
  <si>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</si>
  <si>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</si>
  <si>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</si>
  <si>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</si>
  <si>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</si>
  <si>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</si>
  <si>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</si>
  <si>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</si>
  <si>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</si>
  <si>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</si>
  <si>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</si>
  <si>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</si>
  <si>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</si>
  <si>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</si>
  <si>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</si>
  <si>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</si>
  <si>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</si>
  <si>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</si>
  <si>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</si>
  <si>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</si>
  <si>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</si>
  <si>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</si>
  <si>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</si>
  <si>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</si>
  <si>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</si>
  <si>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</si>
  <si>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</si>
  <si>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</si>
  <si>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</si>
  <si>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</si>
  <si>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</si>
  <si>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</si>
  <si>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</si>
  <si>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</si>
  <si>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</si>
  <si>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</si>
  <si>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</si>
  <si>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</si>
  <si>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</si>
  <si>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</si>
  <si>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</si>
  <si>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</si>
  <si>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</si>
  <si>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</si>
  <si>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</si>
  <si>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</si>
  <si>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</si>
  <si>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</si>
  <si>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</si>
  <si>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</si>
  <si>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</si>
  <si>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</si>
  <si>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</si>
  <si>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</si>
  <si>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</si>
  <si>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</si>
  <si>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</si>
  <si>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</si>
  <si>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</si>
  <si>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</si>
  <si>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</si>
  <si>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</si>
  <si>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</si>
  <si>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</si>
  <si>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</si>
  <si>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</si>
  <si>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</si>
  <si>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</si>
  <si>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</si>
  <si>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</si>
  <si>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</si>
  <si>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</si>
  <si>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</si>
  <si>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</si>
  <si>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</si>
  <si>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</si>
  <si>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</si>
  <si>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</si>
  <si>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</si>
  <si>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</si>
  <si>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</si>
  <si>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</si>
  <si>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</si>
  <si>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</si>
  <si>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</si>
  <si>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</si>
  <si>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</si>
  <si>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</si>
  <si>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</si>
  <si>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</si>
  <si>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</si>
  <si>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</si>
  <si>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</si>
  <si>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</si>
  <si>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</si>
  <si>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</si>
  <si>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</si>
  <si>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</si>
  <si>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</si>
  <si>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</si>
  <si>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</si>
  <si>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</si>
  <si>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</si>
  <si>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</si>
  <si>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</si>
  <si>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</si>
  <si>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</si>
  <si>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</si>
  <si>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</si>
  <si>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</si>
  <si>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</si>
  <si>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</si>
  <si>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</si>
  <si>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</si>
  <si>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</si>
  <si>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</si>
  <si>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</si>
  <si>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</si>
  <si>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</si>
  <si>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</si>
  <si>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</si>
  <si>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</si>
  <si>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</si>
  <si>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</si>
  <si>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</si>
  <si>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</si>
  <si>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</si>
  <si>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</si>
  <si>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</si>
  <si>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</si>
  <si>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</si>
  <si>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</si>
  <si>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</si>
  <si>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</si>
  <si>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</si>
  <si>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</si>
  <si>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</si>
  <si>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</si>
  <si>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</si>
  <si>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</si>
  <si>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</si>
  <si>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</si>
  <si>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</si>
  <si>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</si>
  <si>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</si>
  <si>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</si>
  <si>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</si>
  <si>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</si>
  <si>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</si>
  <si>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</si>
  <si>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</si>
  <si>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</si>
  <si>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</si>
  <si>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</si>
  <si>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</si>
  <si>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</si>
  <si>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</si>
  <si>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</si>
  <si>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</si>
  <si>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</si>
  <si>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</si>
  <si>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</si>
  <si>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</si>
  <si>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</si>
  <si>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</si>
  <si>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</si>
  <si>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</si>
  <si>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</si>
  <si>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</si>
  <si>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</si>
  <si>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</si>
  <si>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</si>
  <si>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</si>
  <si>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</si>
  <si>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</si>
  <si>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</si>
  <si>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</si>
  <si>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</si>
  <si>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</si>
  <si>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</si>
  <si>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</si>
  <si>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</si>
  <si>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</si>
  <si>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</si>
  <si>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</si>
  <si>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</si>
  <si>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</si>
  <si>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</si>
  <si>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</si>
  <si>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</si>
  <si>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</si>
  <si>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</si>
  <si>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</si>
  <si>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</si>
  <si>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</si>
  <si>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</si>
  <si>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</si>
  <si>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</si>
  <si>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</si>
  <si>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</si>
  <si>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</si>
  <si>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</si>
  <si>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</si>
  <si>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</si>
  <si>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</si>
  <si>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</si>
  <si>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</si>
  <si>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</si>
  <si>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</si>
  <si>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</si>
  <si>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</si>
  <si>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</si>
  <si>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</si>
  <si>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</si>
  <si>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</si>
  <si>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</si>
  <si>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</si>
  <si>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</si>
  <si>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</si>
  <si>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</si>
  <si>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</si>
  <si>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</si>
  <si>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</si>
  <si>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</si>
  <si>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</si>
  <si>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</si>
  <si>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</si>
  <si>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</si>
  <si>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</si>
  <si>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</si>
  <si>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</si>
  <si>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</si>
  <si>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</si>
  <si>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</si>
  <si>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</si>
  <si>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</si>
  <si>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</si>
  <si>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</si>
  <si>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</si>
  <si>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</si>
  <si>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</si>
  <si>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</si>
  <si>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</si>
  <si>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</si>
  <si>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</si>
  <si>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</si>
  <si>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</si>
  <si>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</si>
  <si>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</si>
  <si>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</si>
  <si>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</si>
  <si>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</si>
  <si>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</si>
  <si>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</si>
  <si>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</si>
  <si>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</si>
  <si>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</si>
  <si>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</si>
  <si>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</si>
  <si>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</si>
  <si>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</si>
  <si>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</si>
  <si>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</si>
  <si>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</si>
  <si>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</si>
  <si>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</si>
  <si>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</si>
  <si>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</si>
  <si>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</si>
  <si>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</si>
  <si>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</si>
  <si>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</si>
  <si>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</si>
  <si>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</si>
  <si>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</si>
  <si>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</si>
  <si>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</si>
  <si>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</si>
  <si>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</si>
  <si>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</si>
  <si>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</si>
  <si>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</si>
  <si>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</si>
  <si>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</si>
  <si>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</si>
  <si>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</si>
  <si>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</si>
  <si>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</si>
  <si>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</si>
  <si>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</si>
  <si>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</si>
  <si>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</si>
  <si>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</si>
  <si>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</si>
  <si>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</si>
  <si>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</si>
  <si>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</si>
  <si>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</si>
  <si>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</si>
  <si>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</si>
  <si>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</si>
  <si>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</si>
  <si>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</si>
  <si>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</si>
  <si>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</si>
  <si>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</si>
  <si>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</si>
  <si>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</si>
  <si>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</si>
  <si>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</si>
  <si>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</si>
  <si>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</si>
  <si>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</si>
  <si>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</si>
  <si>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</si>
  <si>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</si>
  <si>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</si>
  <si>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</si>
  <si>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</si>
  <si>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</si>
  <si>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</si>
  <si>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</si>
  <si>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</si>
  <si>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</si>
  <si>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</si>
  <si>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</si>
  <si>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</si>
  <si>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</si>
  <si>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</si>
  <si>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</si>
  <si>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</si>
  <si>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</si>
  <si>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</si>
  <si>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</si>
  <si>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</si>
  <si>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</si>
  <si>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</si>
  <si>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</si>
  <si>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</si>
  <si>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</si>
  <si>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</si>
  <si>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</si>
  <si>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</si>
  <si>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</si>
  <si>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</si>
  <si>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</si>
  <si>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</si>
  <si>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</si>
  <si>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</si>
  <si>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</si>
  <si>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</si>
  <si>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</si>
  <si>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</si>
  <si>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</si>
  <si>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</si>
  <si>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</si>
  <si>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</si>
  <si>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</si>
  <si>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</si>
  <si>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</si>
  <si>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</si>
  <si>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</si>
  <si>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</si>
  <si>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</si>
  <si>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</si>
  <si>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</si>
  <si>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</si>
  <si>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</si>
  <si>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</si>
  <si>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</si>
  <si>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</si>
  <si>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</si>
  <si>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</si>
  <si>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</si>
  <si>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</si>
  <si>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</si>
  <si>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</si>
  <si>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</si>
  <si>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</si>
  <si>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</si>
  <si>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</si>
  <si>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</si>
  <si>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</si>
  <si>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</si>
  <si>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</si>
  <si>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</si>
  <si>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</si>
  <si>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</si>
  <si>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</si>
  <si>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</si>
  <si>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</si>
  <si>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</si>
  <si>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</si>
  <si>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</si>
  <si>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</si>
  <si>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</si>
  <si>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</si>
  <si>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</si>
  <si>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</si>
  <si>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</si>
  <si>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</si>
  <si>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</si>
  <si>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</si>
  <si>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</si>
  <si>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</si>
  <si>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</si>
  <si>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</si>
  <si>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</si>
  <si>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</si>
  <si>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</si>
  <si>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</si>
  <si>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</si>
  <si>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</si>
  <si>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</si>
  <si>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</si>
  <si>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</si>
  <si>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</si>
  <si>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</si>
  <si>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</si>
  <si>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</si>
  <si>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</si>
  <si>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</si>
  <si>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</si>
  <si>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</si>
  <si>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</si>
  <si>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</si>
  <si>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</si>
  <si>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</si>
  <si>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</si>
  <si>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</si>
  <si>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</si>
  <si>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</si>
  <si>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</si>
  <si>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</si>
  <si>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</si>
  <si>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</si>
  <si>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</si>
  <si>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</si>
  <si>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</si>
  <si>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</si>
  <si>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</si>
  <si>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</si>
  <si>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</si>
  <si>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</si>
  <si>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</si>
  <si>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</si>
  <si>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</si>
  <si>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</si>
  <si>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</si>
  <si>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</si>
  <si>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</si>
  <si>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</si>
  <si>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</si>
  <si>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</si>
  <si>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</si>
  <si>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</si>
  <si>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</si>
  <si>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</si>
  <si>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</si>
  <si>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</si>
  <si>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</si>
  <si>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</si>
  <si>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</si>
  <si>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</si>
  <si>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</si>
  <si>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</si>
  <si>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</si>
  <si>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</si>
  <si>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</si>
  <si>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</si>
  <si>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</si>
  <si>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</si>
  <si>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</si>
  <si>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</si>
  <si>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</si>
  <si>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</si>
  <si>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</si>
  <si>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</si>
  <si>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</si>
  <si>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</si>
  <si>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</si>
  <si>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</si>
  <si>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</si>
  <si>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</si>
  <si>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</si>
  <si>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</si>
  <si>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</si>
  <si>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</si>
  <si>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</si>
  <si>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</si>
  <si>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</si>
  <si>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</si>
  <si>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</si>
  <si>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</si>
  <si>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</si>
  <si>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</si>
  <si>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</si>
  <si>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</si>
  <si>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</si>
  <si>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</si>
  <si>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</si>
  <si>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</si>
  <si>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</si>
  <si>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</si>
  <si>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</si>
  <si>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</si>
  <si>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</si>
  <si>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</si>
  <si>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</si>
  <si>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</si>
  <si>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</si>
  <si>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</si>
  <si>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</si>
  <si>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</si>
  <si>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</si>
  <si>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</si>
  <si>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</si>
  <si>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</si>
  <si>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</si>
  <si>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</si>
  <si>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</si>
  <si>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</si>
  <si>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</si>
  <si>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</si>
  <si>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</si>
  <si>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</si>
  <si>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</si>
  <si>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</si>
  <si>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</si>
  <si>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</si>
  <si>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</si>
  <si>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</si>
  <si>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</si>
  <si>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</si>
  <si>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</si>
  <si>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</si>
  <si>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</si>
  <si>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</si>
  <si>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</si>
  <si>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</si>
  <si>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</si>
  <si>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</si>
  <si>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</si>
  <si>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</si>
  <si>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</si>
  <si>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</si>
  <si>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</si>
  <si>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</si>
  <si>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</si>
  <si>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</si>
  <si>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</si>
  <si>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</si>
  <si>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</si>
  <si>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</si>
  <si>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</si>
  <si>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</si>
  <si>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</si>
  <si>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</si>
  <si>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</si>
  <si>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</si>
  <si>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</si>
  <si>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</si>
  <si>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</si>
  <si>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</si>
  <si>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</si>
  <si>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</si>
  <si>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</si>
  <si>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</si>
  <si>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</si>
  <si>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</si>
  <si>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</si>
  <si>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</si>
  <si>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</si>
  <si>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</si>
  <si>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</si>
  <si>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</si>
  <si>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</si>
  <si>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</si>
  <si>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</si>
  <si>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</si>
  <si>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</si>
  <si>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</si>
  <si>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</si>
  <si>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</si>
  <si>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</si>
  <si>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</si>
  <si>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</si>
  <si>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</si>
  <si>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</si>
  <si>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</si>
  <si>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</si>
  <si>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</si>
  <si>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</si>
  <si>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</si>
  <si>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</si>
  <si>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</si>
  <si>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</si>
  <si>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</si>
  <si>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</si>
  <si>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</si>
  <si>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</si>
  <si>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</si>
  <si>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</si>
  <si>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</si>
  <si>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</si>
  <si>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</si>
  <si>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</si>
  <si>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</si>
  <si>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</si>
  <si>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</si>
  <si>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</si>
  <si>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</si>
  <si>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</si>
  <si>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</si>
  <si>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</si>
  <si>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</si>
  <si>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</si>
  <si>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</si>
  <si>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</si>
  <si>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</si>
  <si>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</si>
  <si>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</si>
  <si>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</si>
  <si>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</si>
  <si>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</si>
  <si>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</si>
  <si>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</si>
  <si>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</si>
  <si>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</si>
  <si>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</si>
  <si>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</si>
  <si>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</si>
  <si>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</si>
  <si>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</si>
  <si>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</si>
  <si>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</si>
  <si>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</si>
  <si>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</si>
  <si>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</si>
  <si>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</si>
  <si>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</si>
  <si>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</si>
  <si>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</si>
  <si>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</si>
  <si>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</si>
  <si>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</si>
  <si>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</si>
  <si>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</si>
  <si>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</si>
  <si>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</si>
  <si>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</si>
  <si>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</si>
  <si>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</si>
  <si>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</si>
  <si>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</si>
  <si>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</si>
  <si>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</si>
  <si>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</si>
  <si>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</si>
  <si>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</si>
  <si>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</si>
  <si>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</si>
  <si>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</si>
  <si>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</si>
  <si>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</si>
  <si>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</si>
  <si>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</si>
  <si>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</si>
  <si>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</si>
  <si>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</si>
  <si>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</si>
  <si>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</si>
  <si>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</si>
  <si>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</si>
  <si>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</si>
  <si>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</si>
  <si>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</si>
  <si>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</si>
  <si>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</si>
  <si>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</si>
  <si>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</si>
  <si>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</si>
  <si>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</si>
  <si>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</si>
  <si>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</si>
  <si>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</si>
  <si>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</si>
  <si>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</si>
  <si>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</si>
  <si>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</si>
  <si>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</si>
  <si>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</si>
  <si>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</si>
  <si>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</si>
  <si>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</si>
  <si>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</si>
  <si>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</si>
  <si>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</si>
  <si>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</si>
  <si>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</si>
  <si>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</si>
  <si>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</si>
  <si>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</si>
  <si>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</si>
  <si>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</si>
  <si>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</si>
  <si>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</si>
  <si>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</si>
  <si>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</si>
  <si>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</si>
  <si>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</si>
  <si>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</si>
  <si>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</si>
  <si>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</si>
  <si>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</si>
  <si>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</si>
  <si>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</si>
  <si>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</si>
  <si>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</si>
  <si>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</si>
  <si>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</si>
  <si>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</si>
  <si>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</si>
  <si>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</si>
  <si>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</si>
  <si>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</si>
  <si>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</si>
  <si>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</si>
  <si>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</si>
  <si>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</si>
  <si>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</si>
  <si>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</si>
  <si>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</si>
  <si>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</si>
  <si>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</si>
  <si>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</si>
  <si>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</si>
  <si>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</si>
  <si>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</si>
  <si>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</si>
  <si>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</si>
  <si>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</si>
  <si>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</si>
  <si>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</si>
  <si>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</si>
  <si>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</si>
  <si>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</si>
  <si>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</si>
  <si>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</si>
  <si>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</si>
  <si>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</si>
  <si>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</si>
  <si>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</si>
  <si>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</si>
  <si>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</si>
  <si>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</si>
  <si>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</si>
  <si>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</si>
  <si>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</si>
  <si>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</si>
  <si>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</si>
  <si>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</si>
  <si>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</si>
  <si>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</si>
  <si>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</si>
  <si>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</si>
  <si>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</si>
  <si>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</si>
  <si>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</si>
  <si>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</si>
  <si>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</si>
  <si>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</si>
  <si>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</si>
  <si>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</si>
  <si>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</si>
  <si>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</si>
  <si>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</si>
  <si>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</si>
  <si>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</si>
  <si>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</si>
  <si>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</si>
  <si>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</si>
  <si>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</si>
  <si>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</si>
  <si>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</si>
  <si>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</si>
  <si>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</si>
  <si>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</si>
  <si>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</si>
  <si>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</si>
  <si>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</si>
  <si>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</si>
  <si>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</si>
  <si>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</si>
  <si>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</si>
  <si>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</si>
  <si>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</si>
  <si>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</si>
  <si>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</si>
  <si>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</si>
  <si>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</si>
  <si>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</si>
  <si>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</si>
  <si>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</si>
  <si>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</si>
  <si>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</si>
  <si>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</si>
  <si>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</si>
  <si>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</si>
  <si>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</si>
  <si>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</si>
  <si>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</si>
  <si>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</si>
  <si>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</si>
  <si>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</si>
  <si>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</si>
  <si>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</si>
  <si>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</si>
  <si>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</si>
  <si>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</si>
  <si>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</si>
  <si>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</si>
  <si>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</si>
  <si>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</si>
  <si>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</si>
  <si>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</si>
  <si>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</si>
  <si>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</si>
  <si>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</si>
  <si>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</si>
  <si>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</si>
  <si>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</si>
  <si>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</si>
  <si>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</si>
  <si>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</si>
  <si>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</si>
  <si>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</si>
  <si>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</si>
  <si>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</si>
  <si>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</si>
  <si>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</si>
  <si>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</si>
  <si>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</si>
  <si>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</si>
  <si>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</si>
  <si>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</si>
  <si>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</si>
  <si>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</si>
  <si>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</si>
  <si>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</si>
  <si>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</si>
  <si>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</si>
  <si>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</si>
  <si>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</si>
  <si>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</si>
  <si>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</si>
  <si>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</si>
  <si>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</si>
  <si>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</si>
  <si>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</si>
  <si>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</si>
  <si>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</si>
  <si>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</si>
  <si>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</si>
  <si>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</si>
  <si>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41082</t>
  </si>
  <si>
    <t>ERPE-MERE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</si>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</sst>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167507.78981834871</c:v>
                </c:pt>
                <c:pt idx="1">
                  <c:v>36323.563470671761</c:v>
                </c:pt>
                <c:pt idx="2">
                  <c:v>1388.886</c:v>
                </c:pt>
                <c:pt idx="3">
                  <c:v>5394.4298943091853</c:v>
                </c:pt>
                <c:pt idx="4">
                  <c:v>102252.27405204512</c:v>
                </c:pt>
                <c:pt idx="5">
                  <c:v>288524.64286203263</c:v>
                </c:pt>
                <c:pt idx="6">
                  <c:v>1148.6898259620839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167507.78981834871</c:v>
                </c:pt>
                <c:pt idx="1">
                  <c:v>36323.563470671761</c:v>
                </c:pt>
                <c:pt idx="2">
                  <c:v>1388.886</c:v>
                </c:pt>
                <c:pt idx="3">
                  <c:v>5394.4298943091853</c:v>
                </c:pt>
                <c:pt idx="4">
                  <c:v>102252.27405204512</c:v>
                </c:pt>
                <c:pt idx="5">
                  <c:v>288524.64286203263</c:v>
                </c:pt>
                <c:pt idx="6">
                  <c:v>1148.6898259620839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36257.510422101157</c:v>
                </c:pt>
                <c:pt idx="2">
                  <c:v>7222.0923183497534</c:v>
                </c:pt>
                <c:pt idx="3">
                  <c:v>283.88654230885936</c:v>
                </c:pt>
                <c:pt idx="4">
                  <c:v>1308.6108513729298</c:v>
                </c:pt>
                <c:pt idx="5">
                  <c:v>20227.591187266578</c:v>
                </c:pt>
                <c:pt idx="6">
                  <c:v>72340.943626990949</c:v>
                </c:pt>
                <c:pt idx="7">
                  <c:v>290.1535712091698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4512"/>
        <c:axId val="174150400"/>
      </c:barChart>
      <c:catAx>
        <c:axId val="174144512"/>
        <c:scaling>
          <c:orientation val="minMax"/>
        </c:scaling>
        <c:axPos val="b"/>
        <c:numFmt formatCode="General" sourceLinked="0"/>
        <c:tickLblPos val="nextTo"/>
        <c:crossAx val="174150400"/>
        <c:crosses val="autoZero"/>
        <c:auto val="1"/>
        <c:lblAlgn val="ctr"/>
        <c:lblOffset val="100"/>
      </c:catAx>
      <c:valAx>
        <c:axId val="174150400"/>
        <c:scaling>
          <c:orientation val="minMax"/>
        </c:scaling>
        <c:axPos val="l"/>
        <c:majorGridlines/>
        <c:numFmt formatCode="#,##0" sourceLinked="1"/>
        <c:tickLblPos val="nextTo"/>
        <c:crossAx val="174144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36257.510422101157</c:v>
                </c:pt>
                <c:pt idx="2">
                  <c:v>7222.0923183497534</c:v>
                </c:pt>
                <c:pt idx="3">
                  <c:v>283.88654230885936</c:v>
                </c:pt>
                <c:pt idx="4">
                  <c:v>1308.6108513729298</c:v>
                </c:pt>
                <c:pt idx="5">
                  <c:v>20227.591187266578</c:v>
                </c:pt>
                <c:pt idx="6">
                  <c:v>72340.943626990949</c:v>
                </c:pt>
                <c:pt idx="7">
                  <c:v>290.1535712091698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41082</v>
      </c>
      <c r="B6" s="416"/>
      <c r="C6" s="417"/>
    </row>
    <row r="7" spans="1:7" s="414" customFormat="1" ht="15.75" customHeight="1">
      <c r="A7" s="418" t="str">
        <f>txtMunicipality</f>
        <v>ERPE-MERE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0.20439873561174882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0.20439873561174882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8260</v>
      </c>
      <c r="C9" s="342">
        <v>8591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1500</v>
      </c>
    </row>
    <row r="15" spans="1:6">
      <c r="A15" s="348" t="s">
        <v>184</v>
      </c>
      <c r="B15" s="334">
        <v>13</v>
      </c>
    </row>
    <row r="16" spans="1:6">
      <c r="A16" s="348" t="s">
        <v>6</v>
      </c>
      <c r="B16" s="334">
        <v>580</v>
      </c>
    </row>
    <row r="17" spans="1:6">
      <c r="A17" s="348" t="s">
        <v>7</v>
      </c>
      <c r="B17" s="334">
        <v>515</v>
      </c>
    </row>
    <row r="18" spans="1:6">
      <c r="A18" s="348" t="s">
        <v>8</v>
      </c>
      <c r="B18" s="334">
        <v>759</v>
      </c>
    </row>
    <row r="19" spans="1:6">
      <c r="A19" s="348" t="s">
        <v>9</v>
      </c>
      <c r="B19" s="334">
        <v>651</v>
      </c>
    </row>
    <row r="20" spans="1:6">
      <c r="A20" s="348" t="s">
        <v>10</v>
      </c>
      <c r="B20" s="334">
        <v>492</v>
      </c>
    </row>
    <row r="21" spans="1:6">
      <c r="A21" s="348" t="s">
        <v>11</v>
      </c>
      <c r="B21" s="334">
        <v>650</v>
      </c>
    </row>
    <row r="22" spans="1:6">
      <c r="A22" s="348" t="s">
        <v>12</v>
      </c>
      <c r="B22" s="334">
        <v>3309</v>
      </c>
    </row>
    <row r="23" spans="1:6">
      <c r="A23" s="348" t="s">
        <v>13</v>
      </c>
      <c r="B23" s="334">
        <v>26</v>
      </c>
    </row>
    <row r="24" spans="1:6">
      <c r="A24" s="348" t="s">
        <v>14</v>
      </c>
      <c r="B24" s="334">
        <v>4</v>
      </c>
    </row>
    <row r="25" spans="1:6">
      <c r="A25" s="348" t="s">
        <v>15</v>
      </c>
      <c r="B25" s="334">
        <v>240</v>
      </c>
    </row>
    <row r="26" spans="1:6">
      <c r="A26" s="348" t="s">
        <v>16</v>
      </c>
      <c r="B26" s="334">
        <v>84</v>
      </c>
    </row>
    <row r="27" spans="1:6">
      <c r="A27" s="348" t="s">
        <v>17</v>
      </c>
      <c r="B27" s="334">
        <v>11</v>
      </c>
    </row>
    <row r="28" spans="1:6" s="356" customFormat="1">
      <c r="A28" s="355" t="s">
        <v>18</v>
      </c>
      <c r="B28" s="355">
        <v>12663</v>
      </c>
    </row>
    <row r="29" spans="1:6">
      <c r="A29" s="355" t="s">
        <v>901</v>
      </c>
      <c r="B29" s="355">
        <v>139</v>
      </c>
      <c r="C29" s="356"/>
      <c r="D29" s="356"/>
      <c r="E29" s="356"/>
      <c r="F29" s="356"/>
    </row>
    <row r="30" spans="1:6">
      <c r="A30" s="341" t="s">
        <v>902</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311050.51248756499</v>
      </c>
      <c r="E36" s="334">
        <v>0</v>
      </c>
      <c r="F36" s="334">
        <v>0</v>
      </c>
    </row>
    <row r="37" spans="1:6">
      <c r="A37" s="348" t="s">
        <v>25</v>
      </c>
      <c r="B37" s="348" t="s">
        <v>28</v>
      </c>
      <c r="C37" s="334">
        <v>0</v>
      </c>
      <c r="D37" s="334">
        <v>0</v>
      </c>
      <c r="E37" s="334">
        <v>0</v>
      </c>
      <c r="F37" s="334">
        <v>0</v>
      </c>
    </row>
    <row r="38" spans="1:6">
      <c r="A38" s="348" t="s">
        <v>25</v>
      </c>
      <c r="B38" s="348" t="s">
        <v>29</v>
      </c>
      <c r="C38" s="334">
        <v>1</v>
      </c>
      <c r="D38" s="334">
        <v>16123.8063451697</v>
      </c>
      <c r="E38" s="334">
        <v>3</v>
      </c>
      <c r="F38" s="334">
        <v>10576.34</v>
      </c>
    </row>
    <row r="39" spans="1:6">
      <c r="A39" s="348" t="s">
        <v>30</v>
      </c>
      <c r="B39" s="348" t="s">
        <v>31</v>
      </c>
      <c r="C39" s="334">
        <v>3363</v>
      </c>
      <c r="D39" s="334">
        <v>47406566.4218003</v>
      </c>
      <c r="E39" s="334">
        <v>8023</v>
      </c>
      <c r="F39" s="334">
        <v>38284671</v>
      </c>
    </row>
    <row r="40" spans="1:6">
      <c r="A40" s="348" t="s">
        <v>30</v>
      </c>
      <c r="B40" s="348" t="s">
        <v>29</v>
      </c>
      <c r="C40" s="334">
        <v>0</v>
      </c>
      <c r="D40" s="334">
        <v>0</v>
      </c>
      <c r="E40" s="334">
        <v>0</v>
      </c>
      <c r="F40" s="334">
        <v>0</v>
      </c>
    </row>
    <row r="41" spans="1:6">
      <c r="A41" s="348" t="s">
        <v>32</v>
      </c>
      <c r="B41" s="348" t="s">
        <v>33</v>
      </c>
      <c r="C41" s="334">
        <v>37</v>
      </c>
      <c r="D41" s="334">
        <v>1148359.31633395</v>
      </c>
      <c r="E41" s="334">
        <v>177</v>
      </c>
      <c r="F41" s="334">
        <v>3520138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382873.92912550998</v>
      </c>
      <c r="E44" s="334">
        <v>25</v>
      </c>
      <c r="F44" s="334">
        <v>591809.1</v>
      </c>
    </row>
    <row r="45" spans="1:6">
      <c r="A45" s="348" t="s">
        <v>32</v>
      </c>
      <c r="B45" s="348" t="s">
        <v>37</v>
      </c>
      <c r="C45" s="334">
        <v>0</v>
      </c>
      <c r="D45" s="334">
        <v>0</v>
      </c>
      <c r="E45" s="334">
        <v>3</v>
      </c>
      <c r="F45" s="334">
        <v>89311.58</v>
      </c>
    </row>
    <row r="46" spans="1:6">
      <c r="A46" s="348" t="s">
        <v>32</v>
      </c>
      <c r="B46" s="348" t="s">
        <v>38</v>
      </c>
      <c r="C46" s="334">
        <v>0</v>
      </c>
      <c r="D46" s="334">
        <v>0</v>
      </c>
      <c r="E46" s="334">
        <v>0</v>
      </c>
      <c r="F46" s="334">
        <v>0</v>
      </c>
    </row>
    <row r="47" spans="1:6">
      <c r="A47" s="348" t="s">
        <v>32</v>
      </c>
      <c r="B47" s="348" t="s">
        <v>39</v>
      </c>
      <c r="C47" s="334">
        <v>0</v>
      </c>
      <c r="D47" s="334">
        <v>0</v>
      </c>
      <c r="E47" s="334">
        <v>4</v>
      </c>
      <c r="F47" s="334">
        <v>8727604</v>
      </c>
    </row>
    <row r="48" spans="1:6">
      <c r="A48" s="348" t="s">
        <v>32</v>
      </c>
      <c r="B48" s="348" t="s">
        <v>29</v>
      </c>
      <c r="C48" s="334">
        <v>29</v>
      </c>
      <c r="D48" s="334">
        <v>6484310.4636938702</v>
      </c>
      <c r="E48" s="334">
        <v>36</v>
      </c>
      <c r="F48" s="334">
        <v>4317600</v>
      </c>
    </row>
    <row r="49" spans="1:6">
      <c r="A49" s="348" t="s">
        <v>32</v>
      </c>
      <c r="B49" s="348" t="s">
        <v>40</v>
      </c>
      <c r="C49" s="334">
        <v>0</v>
      </c>
      <c r="D49" s="334">
        <v>0</v>
      </c>
      <c r="E49" s="334">
        <v>4</v>
      </c>
      <c r="F49" s="334">
        <v>128965.4</v>
      </c>
    </row>
    <row r="50" spans="1:6">
      <c r="A50" s="348" t="s">
        <v>32</v>
      </c>
      <c r="B50" s="348" t="s">
        <v>41</v>
      </c>
      <c r="C50" s="334">
        <v>7</v>
      </c>
      <c r="D50" s="334">
        <v>11039593.7226904</v>
      </c>
      <c r="E50" s="334">
        <v>14</v>
      </c>
      <c r="F50" s="334">
        <v>16425546</v>
      </c>
    </row>
    <row r="51" spans="1:6">
      <c r="A51" s="348" t="s">
        <v>42</v>
      </c>
      <c r="B51" s="348" t="s">
        <v>43</v>
      </c>
      <c r="C51" s="334">
        <v>0</v>
      </c>
      <c r="D51" s="334">
        <v>0</v>
      </c>
      <c r="E51" s="334">
        <v>64</v>
      </c>
      <c r="F51" s="334">
        <v>1050364</v>
      </c>
    </row>
    <row r="52" spans="1:6">
      <c r="A52" s="348" t="s">
        <v>42</v>
      </c>
      <c r="B52" s="348" t="s">
        <v>29</v>
      </c>
      <c r="C52" s="334">
        <v>2</v>
      </c>
      <c r="D52" s="334">
        <v>1275188.47348598</v>
      </c>
      <c r="E52" s="334">
        <v>5</v>
      </c>
      <c r="F52" s="334">
        <v>96792.9</v>
      </c>
    </row>
    <row r="53" spans="1:6">
      <c r="A53" s="348" t="s">
        <v>44</v>
      </c>
      <c r="B53" s="348" t="s">
        <v>45</v>
      </c>
      <c r="C53" s="334">
        <v>71</v>
      </c>
      <c r="D53" s="334">
        <v>1385277.80699425</v>
      </c>
      <c r="E53" s="334">
        <v>266</v>
      </c>
      <c r="F53" s="334">
        <v>1137310</v>
      </c>
    </row>
    <row r="54" spans="1:6">
      <c r="A54" s="348" t="s">
        <v>46</v>
      </c>
      <c r="B54" s="348" t="s">
        <v>47</v>
      </c>
      <c r="C54" s="334">
        <v>0</v>
      </c>
      <c r="D54" s="334">
        <v>0</v>
      </c>
      <c r="E54" s="334">
        <v>1</v>
      </c>
      <c r="F54" s="334">
        <v>1388886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1067010.19000306</v>
      </c>
      <c r="E57" s="334">
        <v>122</v>
      </c>
      <c r="F57" s="334">
        <v>1738895</v>
      </c>
    </row>
    <row r="58" spans="1:6">
      <c r="A58" s="348" t="s">
        <v>49</v>
      </c>
      <c r="B58" s="348" t="s">
        <v>51</v>
      </c>
      <c r="C58" s="334">
        <v>13</v>
      </c>
      <c r="D58" s="334">
        <v>4638856.5708596604</v>
      </c>
      <c r="E58" s="334">
        <v>77</v>
      </c>
      <c r="F58" s="334">
        <v>1955025</v>
      </c>
    </row>
    <row r="59" spans="1:6">
      <c r="A59" s="348" t="s">
        <v>49</v>
      </c>
      <c r="B59" s="348" t="s">
        <v>52</v>
      </c>
      <c r="C59" s="334">
        <v>80</v>
      </c>
      <c r="D59" s="334">
        <v>5492323.6780778002</v>
      </c>
      <c r="E59" s="334">
        <v>224</v>
      </c>
      <c r="F59" s="334">
        <v>5977413</v>
      </c>
    </row>
    <row r="60" spans="1:6">
      <c r="A60" s="348" t="s">
        <v>49</v>
      </c>
      <c r="B60" s="348" t="s">
        <v>53</v>
      </c>
      <c r="C60" s="334">
        <v>31</v>
      </c>
      <c r="D60" s="334">
        <v>724464.82374064403</v>
      </c>
      <c r="E60" s="334">
        <v>78</v>
      </c>
      <c r="F60" s="334">
        <v>1473237</v>
      </c>
    </row>
    <row r="61" spans="1:6">
      <c r="A61" s="348" t="s">
        <v>49</v>
      </c>
      <c r="B61" s="348" t="s">
        <v>54</v>
      </c>
      <c r="C61" s="334">
        <v>71</v>
      </c>
      <c r="D61" s="334">
        <v>2108283.7452493398</v>
      </c>
      <c r="E61" s="334">
        <v>228</v>
      </c>
      <c r="F61" s="334">
        <v>2081324</v>
      </c>
    </row>
    <row r="62" spans="1:6">
      <c r="A62" s="348" t="s">
        <v>49</v>
      </c>
      <c r="B62" s="348" t="s">
        <v>55</v>
      </c>
      <c r="C62" s="334">
        <v>3</v>
      </c>
      <c r="D62" s="334">
        <v>435378.48394482897</v>
      </c>
      <c r="E62" s="334">
        <v>14</v>
      </c>
      <c r="F62" s="334">
        <v>296587.09999999998</v>
      </c>
    </row>
    <row r="63" spans="1:6">
      <c r="A63" s="348" t="s">
        <v>49</v>
      </c>
      <c r="B63" s="348" t="s">
        <v>29</v>
      </c>
      <c r="C63" s="334">
        <v>66</v>
      </c>
      <c r="D63" s="334">
        <v>2257361.76693023</v>
      </c>
      <c r="E63" s="334">
        <v>90</v>
      </c>
      <c r="F63" s="334">
        <v>3406490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13</v>
      </c>
      <c r="F66" s="334">
        <v>261652.9</v>
      </c>
    </row>
    <row r="67" spans="1:6">
      <c r="A67" s="355" t="s">
        <v>56</v>
      </c>
      <c r="B67" s="355" t="s">
        <v>59</v>
      </c>
      <c r="C67" s="334">
        <v>0</v>
      </c>
      <c r="D67" s="334">
        <v>0</v>
      </c>
      <c r="E67" s="334">
        <v>0</v>
      </c>
      <c r="F67" s="334">
        <v>0</v>
      </c>
    </row>
    <row r="68" spans="1:6">
      <c r="A68" s="341" t="s">
        <v>56</v>
      </c>
      <c r="B68" s="341" t="s">
        <v>60</v>
      </c>
      <c r="C68" s="334">
        <v>0</v>
      </c>
      <c r="D68" s="334">
        <v>0</v>
      </c>
      <c r="E68" s="334">
        <v>3</v>
      </c>
      <c r="F68" s="334">
        <v>27295.07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62343149</v>
      </c>
      <c r="E73" s="476">
        <v>72624845.314653903</v>
      </c>
    </row>
    <row r="74" spans="1:6">
      <c r="A74" s="348" t="s">
        <v>64</v>
      </c>
      <c r="B74" s="348" t="s">
        <v>714</v>
      </c>
      <c r="C74" s="1311" t="s">
        <v>716</v>
      </c>
      <c r="D74" s="476">
        <v>7095991.3270265441</v>
      </c>
      <c r="E74" s="476">
        <v>7481590.161503314</v>
      </c>
    </row>
    <row r="75" spans="1:6">
      <c r="A75" s="348" t="s">
        <v>65</v>
      </c>
      <c r="B75" s="348" t="s">
        <v>713</v>
      </c>
      <c r="C75" s="1311" t="s">
        <v>717</v>
      </c>
      <c r="D75" s="476">
        <v>43699857</v>
      </c>
      <c r="E75" s="476">
        <v>47329966.208540164</v>
      </c>
    </row>
    <row r="76" spans="1:6">
      <c r="A76" s="348" t="s">
        <v>65</v>
      </c>
      <c r="B76" s="348" t="s">
        <v>714</v>
      </c>
      <c r="C76" s="1311" t="s">
        <v>718</v>
      </c>
      <c r="D76" s="476">
        <v>2784435.3270265441</v>
      </c>
      <c r="E76" s="476">
        <v>3000832.6466802615</v>
      </c>
    </row>
    <row r="77" spans="1:6">
      <c r="A77" s="348" t="s">
        <v>66</v>
      </c>
      <c r="B77" s="348" t="s">
        <v>713</v>
      </c>
      <c r="C77" s="1311" t="s">
        <v>719</v>
      </c>
      <c r="D77" s="476">
        <v>183346888</v>
      </c>
      <c r="E77" s="476">
        <v>179780333.33825043</v>
      </c>
    </row>
    <row r="78" spans="1:6">
      <c r="A78" s="341" t="s">
        <v>66</v>
      </c>
      <c r="B78" s="341" t="s">
        <v>714</v>
      </c>
      <c r="C78" s="341" t="s">
        <v>720</v>
      </c>
      <c r="D78" s="1307">
        <v>22896479</v>
      </c>
      <c r="E78" s="1307">
        <v>23684777.354121387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306957.34594691131</v>
      </c>
      <c r="C83" s="476">
        <v>311443.76338981063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4174.3622068754748</v>
      </c>
    </row>
    <row r="92" spans="1:6">
      <c r="A92" s="341" t="s">
        <v>69</v>
      </c>
      <c r="B92" s="342">
        <v>3104.8034433927587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829</v>
      </c>
    </row>
    <row r="98" spans="1:6">
      <c r="A98" s="348" t="s">
        <v>72</v>
      </c>
      <c r="B98" s="334">
        <v>1</v>
      </c>
    </row>
    <row r="99" spans="1:6">
      <c r="A99" s="348" t="s">
        <v>73</v>
      </c>
      <c r="B99" s="334">
        <v>208</v>
      </c>
    </row>
    <row r="100" spans="1:6">
      <c r="A100" s="348" t="s">
        <v>74</v>
      </c>
      <c r="B100" s="334">
        <v>1005</v>
      </c>
    </row>
    <row r="101" spans="1:6">
      <c r="A101" s="348" t="s">
        <v>75</v>
      </c>
      <c r="B101" s="334">
        <v>123</v>
      </c>
    </row>
    <row r="102" spans="1:6">
      <c r="A102" s="348" t="s">
        <v>76</v>
      </c>
      <c r="B102" s="334">
        <v>133</v>
      </c>
    </row>
    <row r="103" spans="1:6">
      <c r="A103" s="348" t="s">
        <v>77</v>
      </c>
      <c r="B103" s="334">
        <v>495</v>
      </c>
    </row>
    <row r="104" spans="1:6">
      <c r="A104" s="348" t="s">
        <v>78</v>
      </c>
      <c r="B104" s="334">
        <v>4513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117</v>
      </c>
    </row>
    <row r="130" spans="1:6">
      <c r="A130" s="348" t="s">
        <v>295</v>
      </c>
      <c r="B130" s="334">
        <v>4</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96901.993190817593</v>
      </c>
      <c r="C3" s="43" t="s">
        <v>170</v>
      </c>
      <c r="D3" s="43"/>
      <c r="E3" s="154"/>
      <c r="F3" s="43"/>
      <c r="G3" s="43"/>
      <c r="H3" s="43"/>
      <c r="I3" s="43"/>
      <c r="J3" s="43"/>
      <c r="K3" s="96"/>
    </row>
    <row r="4" spans="1:11">
      <c r="A4" s="384" t="s">
        <v>171</v>
      </c>
      <c r="B4" s="49">
        <f>IF(ISERROR('SEAP template'!B78+'SEAP template'!C78),0,'SEAP template'!B78+'SEAP template'!C78)</f>
        <v>7279.1656502682335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0.20439873561174882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1388.886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1388.886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0.20439873561174882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283.88654230885936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38284.671000000002</v>
      </c>
      <c r="C5" s="17">
        <f>IF(ISERROR('Eigen informatie GS &amp; warmtenet'!B57),0,'Eigen informatie GS &amp; warmtenet'!B57)</f>
        <v>0</v>
      </c>
      <c r="D5" s="30">
        <f>(SUM(HH_hh_gas_kWh,HH_rest_gas_kWh)/1000)*0.902</f>
        <v>42760.722912463869</v>
      </c>
      <c r="E5" s="17">
        <f>B46*B57</f>
        <v>5551.8538187764007</v>
      </c>
      <c r="F5" s="17">
        <f>B51*B62</f>
        <v>54953.843235235363</v>
      </c>
      <c r="G5" s="18"/>
      <c r="H5" s="17"/>
      <c r="I5" s="17"/>
      <c r="J5" s="17">
        <f>B50*B61+C50*C61</f>
        <v>8498.0924585614703</v>
      </c>
      <c r="K5" s="17"/>
      <c r="L5" s="17"/>
      <c r="M5" s="17"/>
      <c r="N5" s="17">
        <f>B48*B59+C48*C59</f>
        <v>12450.247519769453</v>
      </c>
      <c r="O5" s="17">
        <f>B69*B70*B71</f>
        <v>204.79666666666668</v>
      </c>
      <c r="P5" s="17">
        <f>B77*B78*B79/1000-B77*B78*B79/1000/B80</f>
        <v>629.20000000000005</v>
      </c>
    </row>
    <row r="6" spans="1:16">
      <c r="A6" s="16" t="s">
        <v>631</v>
      </c>
      <c r="B6" s="789">
        <f>kWh_PV_kleiner_dan_10kW</f>
        <v>4174.3622068754748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42459.03320687548</v>
      </c>
      <c r="C8" s="21">
        <f>C5</f>
        <v>0</v>
      </c>
      <c r="D8" s="21">
        <f>D5</f>
        <v>42760.722912463869</v>
      </c>
      <c r="E8" s="21">
        <f>E5</f>
        <v>5551.8538187764007</v>
      </c>
      <c r="F8" s="21">
        <f>F5</f>
        <v>54953.843235235363</v>
      </c>
      <c r="G8" s="21"/>
      <c r="H8" s="21"/>
      <c r="I8" s="21"/>
      <c r="J8" s="21">
        <f>J5</f>
        <v>8498.0924585614703</v>
      </c>
      <c r="K8" s="21"/>
      <c r="L8" s="21">
        <f>L5</f>
        <v>0</v>
      </c>
      <c r="M8" s="21">
        <f>M5</f>
        <v>0</v>
      </c>
      <c r="N8" s="21">
        <f>N5</f>
        <v>12450.247519769453</v>
      </c>
      <c r="O8" s="21">
        <f>O5</f>
        <v>204.79666666666668</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0.20439873561174882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8678.5727027826051</v>
      </c>
      <c r="C12" s="23">
        <f ca="1">C10*C8</f>
        <v>0</v>
      </c>
      <c r="D12" s="23">
        <f>D8*D10</f>
        <v>8637.6660283177025</v>
      </c>
      <c r="E12" s="23">
        <f>E10*E8</f>
        <v>1260.270816862243</v>
      </c>
      <c r="F12" s="23">
        <f>F10*F8</f>
        <v>14672.676143807843</v>
      </c>
      <c r="G12" s="23"/>
      <c r="H12" s="23"/>
      <c r="I12" s="23"/>
      <c r="J12" s="23">
        <f>J10*J8</f>
        <v>3008.3247303307603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829</v>
      </c>
      <c r="C18" s="166" t="s">
        <v>111</v>
      </c>
      <c r="D18" s="228"/>
      <c r="E18" s="15"/>
    </row>
    <row r="19" spans="1:7">
      <c r="A19" s="171" t="s">
        <v>72</v>
      </c>
      <c r="B19" s="37">
        <f>aantalw2001_ander</f>
        <v>1</v>
      </c>
      <c r="C19" s="166" t="s">
        <v>111</v>
      </c>
      <c r="D19" s="229"/>
      <c r="E19" s="15"/>
    </row>
    <row r="20" spans="1:7">
      <c r="A20" s="171" t="s">
        <v>73</v>
      </c>
      <c r="B20" s="37">
        <f>aantalw2001_propaan</f>
        <v>208</v>
      </c>
      <c r="C20" s="167">
        <f>IF(ISERROR(B20/SUM($B$20,$B$21,$B$22)*100),0,B20/SUM($B$20,$B$21,$B$22)*100)</f>
        <v>15.568862275449103</v>
      </c>
      <c r="D20" s="229"/>
      <c r="E20" s="15"/>
    </row>
    <row r="21" spans="1:7">
      <c r="A21" s="171" t="s">
        <v>74</v>
      </c>
      <c r="B21" s="37">
        <f>aantalw2001_elektriciteit</f>
        <v>1005</v>
      </c>
      <c r="C21" s="167">
        <f>IF(ISERROR(B21/SUM($B$20,$B$21,$B$22)*100),0,B21/SUM($B$20,$B$21,$B$22)*100)</f>
        <v>75.224550898203589</v>
      </c>
      <c r="D21" s="229"/>
      <c r="E21" s="15"/>
    </row>
    <row r="22" spans="1:7">
      <c r="A22" s="171" t="s">
        <v>75</v>
      </c>
      <c r="B22" s="37">
        <f>aantalw2001_hout</f>
        <v>123</v>
      </c>
      <c r="C22" s="167">
        <f>IF(ISERROR(B22/SUM($B$20,$B$21,$B$22)*100),0,B22/SUM($B$20,$B$21,$B$22)*100)</f>
        <v>9.206586826347305</v>
      </c>
      <c r="D22" s="229"/>
      <c r="E22" s="15"/>
    </row>
    <row r="23" spans="1:7">
      <c r="A23" s="171" t="s">
        <v>76</v>
      </c>
      <c r="B23" s="37">
        <f>aantalw2001_niet_gespec</f>
        <v>133</v>
      </c>
      <c r="C23" s="166" t="s">
        <v>111</v>
      </c>
      <c r="D23" s="228"/>
      <c r="E23" s="15"/>
    </row>
    <row r="24" spans="1:7">
      <c r="A24" s="171" t="s">
        <v>77</v>
      </c>
      <c r="B24" s="37">
        <f>aantalw2001_steenkool</f>
        <v>495</v>
      </c>
      <c r="C24" s="166" t="s">
        <v>111</v>
      </c>
      <c r="D24" s="229"/>
      <c r="E24" s="15"/>
    </row>
    <row r="25" spans="1:7">
      <c r="A25" s="171" t="s">
        <v>78</v>
      </c>
      <c r="B25" s="37">
        <f>aantalw2001_stookolie</f>
        <v>4513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8260</v>
      </c>
      <c r="C28" s="36"/>
      <c r="D28" s="228"/>
    </row>
    <row r="29" spans="1:7" s="15" customFormat="1">
      <c r="A29" s="230" t="s">
        <v>741</v>
      </c>
      <c r="B29" s="37">
        <f>SUM(HH_hh_gas_aantal,HH_rest_gas_aantal)</f>
        <v>3363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3363</v>
      </c>
      <c r="C32" s="167">
        <f>IF(ISERROR(B32/SUM($B$32,$B$34,$B$35,$B$36,$B$38,$B$39)*100),0,B32/SUM($B$32,$B$34,$B$35,$B$36,$B$38,$B$39)*100)</f>
        <v>40.877598152424945</v>
      </c>
      <c r="D32" s="233"/>
      <c r="G32" s="15"/>
    </row>
    <row r="33" spans="1:7">
      <c r="A33" s="171" t="s">
        <v>72</v>
      </c>
      <c r="B33" s="34" t="s">
        <v>111</v>
      </c>
      <c r="C33" s="167"/>
      <c r="D33" s="233"/>
      <c r="G33" s="15"/>
    </row>
    <row r="34" spans="1:7">
      <c r="A34" s="171" t="s">
        <v>73</v>
      </c>
      <c r="B34" s="33">
        <f>IF((($B$28-$B$32-$B$39-$B$77-$B$38)*C20/100)&lt;0,0,($B$28-$B$32-$B$39-$B$77-$B$38)*C20/100)</f>
        <v>372.09580838323353</v>
      </c>
      <c r="C34" s="167">
        <f>IF(ISERROR(B34/SUM($B$32,$B$34,$B$35,$B$36,$B$38,$B$39)*100),0,B34/SUM($B$32,$B$34,$B$35,$B$36,$B$38,$B$39)*100)</f>
        <v>4.5228614122187132</v>
      </c>
      <c r="D34" s="233"/>
      <c r="G34" s="15"/>
    </row>
    <row r="35" spans="1:7">
      <c r="A35" s="171" t="s">
        <v>74</v>
      </c>
      <c r="B35" s="33">
        <f>IF((($B$28-$B$32-$B$39-$B$77-$B$38)*C21/100)&lt;0,0,($B$28-$B$32-$B$39-$B$77-$B$38)*C21/100)</f>
        <v>1797.8667664670659</v>
      </c>
      <c r="C35" s="167">
        <f>IF(ISERROR(B35/SUM($B$32,$B$34,$B$35,$B$36,$B$38,$B$39)*100),0,B35/SUM($B$32,$B$34,$B$35,$B$36,$B$38,$B$39)*100)</f>
        <v>21.853248650383687</v>
      </c>
      <c r="D35" s="233"/>
      <c r="G35" s="15"/>
    </row>
    <row r="36" spans="1:7">
      <c r="A36" s="171" t="s">
        <v>75</v>
      </c>
      <c r="B36" s="33">
        <f>IF((($B$28-$B$32-$B$39-$B$77-$B$38)*C22/100)&lt;0,0,($B$28-$B$32-$B$39-$B$77-$B$38)*C22/100)</f>
        <v>220.03742514970057</v>
      </c>
      <c r="C36" s="167">
        <f>IF(ISERROR(B36/SUM($B$32,$B$34,$B$35,$B$36,$B$38,$B$39)*100),0,B36/SUM($B$32,$B$34,$B$35,$B$36,$B$38,$B$39)*100)</f>
        <v>2.6745767004947196</v>
      </c>
      <c r="D36" s="233"/>
      <c r="G36" s="15"/>
    </row>
    <row r="37" spans="1:7">
      <c r="A37" s="171" t="s">
        <v>76</v>
      </c>
      <c r="B37" s="34" t="s">
        <v>111</v>
      </c>
      <c r="C37" s="167"/>
      <c r="D37" s="173"/>
      <c r="G37" s="15"/>
    </row>
    <row r="38" spans="1:7">
      <c r="A38" s="171" t="s">
        <v>77</v>
      </c>
      <c r="B38" s="33">
        <f>IF((B24-(B29-B18)*0.1)&lt;0,0,B24-(B29-B18)*0.1)</f>
        <v>241.6</v>
      </c>
      <c r="C38" s="167">
        <f>IF(ISERROR(B38/SUM($B$32,$B$34,$B$35,$B$36,$B$38,$B$39)*100),0,B38/SUM($B$32,$B$34,$B$35,$B$36,$B$38,$B$39)*100)</f>
        <v>2.9366719338762612</v>
      </c>
      <c r="D38" s="234"/>
      <c r="G38" s="15"/>
    </row>
    <row r="39" spans="1:7">
      <c r="A39" s="171" t="s">
        <v>78</v>
      </c>
      <c r="B39" s="33">
        <f>IF((B25-(B29-B18))&lt;0,0,B25-(B29-B18)*0.9)</f>
        <v>2232.4</v>
      </c>
      <c r="C39" s="167">
        <f>IF(ISERROR(B39/SUM($B$32,$B$34,$B$35,$B$36,$B$38,$B$39)*100),0,B39/SUM($B$32,$B$34,$B$35,$B$36,$B$38,$B$39)*100)</f>
        <v>27.135043150601678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3363</v>
      </c>
      <c r="C44" s="34" t="s">
        <v>111</v>
      </c>
      <c r="D44" s="174"/>
    </row>
    <row r="45" spans="1:7">
      <c r="A45" s="171" t="s">
        <v>72</v>
      </c>
      <c r="B45" s="33" t="str">
        <f t="shared" si="0"/>
        <v>-</v>
      </c>
      <c r="C45" s="34" t="s">
        <v>111</v>
      </c>
      <c r="D45" s="174"/>
    </row>
    <row r="46" spans="1:7">
      <c r="A46" s="171" t="s">
        <v>73</v>
      </c>
      <c r="B46" s="33">
        <f t="shared" si="0"/>
        <v>372.09580838323353</v>
      </c>
      <c r="C46" s="34" t="s">
        <v>111</v>
      </c>
      <c r="D46" s="174"/>
    </row>
    <row r="47" spans="1:7">
      <c r="A47" s="171" t="s">
        <v>74</v>
      </c>
      <c r="B47" s="33">
        <f t="shared" si="0"/>
        <v>1797.8667664670659</v>
      </c>
      <c r="C47" s="34" t="s">
        <v>111</v>
      </c>
      <c r="D47" s="174"/>
    </row>
    <row r="48" spans="1:7">
      <c r="A48" s="171" t="s">
        <v>75</v>
      </c>
      <c r="B48" s="33">
        <f t="shared" si="0"/>
        <v>220.03742514970057</v>
      </c>
      <c r="C48" s="33">
        <f>B48*10</f>
        <v>2200.3742514970058</v>
      </c>
      <c r="D48" s="234"/>
    </row>
    <row r="49" spans="1:6">
      <c r="A49" s="171" t="s">
        <v>76</v>
      </c>
      <c r="B49" s="33" t="str">
        <f t="shared" si="0"/>
        <v>-</v>
      </c>
      <c r="C49" s="34" t="s">
        <v>111</v>
      </c>
      <c r="D49" s="234"/>
    </row>
    <row r="50" spans="1:6">
      <c r="A50" s="171" t="s">
        <v>77</v>
      </c>
      <c r="B50" s="33">
        <f t="shared" si="0"/>
        <v>241.6</v>
      </c>
      <c r="C50" s="33">
        <f>B50*2</f>
        <v>483.2</v>
      </c>
      <c r="D50" s="234"/>
    </row>
    <row r="51" spans="1:6">
      <c r="A51" s="171" t="s">
        <v>78</v>
      </c>
      <c r="B51" s="33">
        <f t="shared" si="0"/>
        <v>2232.4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16928.971100000002</v>
      </c>
      <c r="C5" s="17">
        <f>IF(ISERROR('Eigen informatie GS &amp; warmtenet'!B58),0,'Eigen informatie GS &amp; warmtenet'!B58)</f>
        <v>0</v>
      </c>
      <c r="D5" s="30">
        <f>SUM(D6:D12)</f>
        <v>15084.758691442619</v>
      </c>
      <c r="E5" s="17">
        <f>SUM(E6:E12)</f>
        <v>170.59388520831766</v>
      </c>
      <c r="F5" s="17">
        <f>SUM(F6:F12)</f>
        <v>2531.7826317910826</v>
      </c>
      <c r="G5" s="18"/>
      <c r="H5" s="17"/>
      <c r="I5" s="17"/>
      <c r="J5" s="17">
        <f>SUM(J6:J12)</f>
        <v>0</v>
      </c>
      <c r="K5" s="17"/>
      <c r="L5" s="17"/>
      <c r="M5" s="17"/>
      <c r="N5" s="17">
        <f>SUM(N6:N12)</f>
        <v>1601.203828896404</v>
      </c>
      <c r="O5" s="17">
        <f>B38*B39*B40</f>
        <v>6.2533333333333339</v>
      </c>
      <c r="P5" s="17">
        <f>B46*B47*B48/1000-B46*B47*B48/1000/B49</f>
        <v>0</v>
      </c>
      <c r="R5" s="32"/>
    </row>
    <row r="6" spans="1:18">
      <c r="A6" s="32" t="s">
        <v>54</v>
      </c>
      <c r="B6" s="37">
        <f>B26</f>
        <v>2081.3240000000001</v>
      </c>
      <c r="C6" s="33"/>
      <c r="D6" s="37">
        <f>IF(ISERROR(TER_kantoor_gas_kWh/1000),0,TER_kantoor_gas_kWh/1000)*0.902</f>
        <v>1901.6719382149047</v>
      </c>
      <c r="E6" s="33">
        <f>$C$26*'E Balans VL '!I12/100/3.6*1000000</f>
        <v>6.029901001530507</v>
      </c>
      <c r="F6" s="33">
        <f>$C$26*('E Balans VL '!L12+'E Balans VL '!N12)/100/3.6*1000000</f>
        <v>235.56002167702485</v>
      </c>
      <c r="G6" s="34"/>
      <c r="H6" s="33"/>
      <c r="I6" s="33"/>
      <c r="J6" s="33">
        <f>$C$26*('E Balans VL '!D12+'E Balans VL '!E12)/100/3.6*1000000</f>
        <v>0</v>
      </c>
      <c r="K6" s="33"/>
      <c r="L6" s="33"/>
      <c r="M6" s="33"/>
      <c r="N6" s="33">
        <f>$C$26*'E Balans VL '!Y12/100/3.6*1000000</f>
        <v>20.832519652003992</v>
      </c>
      <c r="O6" s="33"/>
      <c r="P6" s="33"/>
      <c r="R6" s="32"/>
    </row>
    <row r="7" spans="1:18">
      <c r="A7" s="32" t="s">
        <v>53</v>
      </c>
      <c r="B7" s="37">
        <f t="shared" ref="B7:B12" si="0">B27</f>
        <v>1473.2370000000001</v>
      </c>
      <c r="C7" s="33"/>
      <c r="D7" s="37">
        <f>IF(ISERROR(TER_horeca_gas_kWh/1000),0,TER_horeca_gas_kWh/1000)*0.902</f>
        <v>653.467271014061</v>
      </c>
      <c r="E7" s="33">
        <f>$C$27*'E Balans VL '!I9/100/3.6*1000000</f>
        <v>61.842373117172777</v>
      </c>
      <c r="F7" s="33">
        <f>$C$27*('E Balans VL '!L9+'E Balans VL '!N9)/100/3.6*1000000</f>
        <v>316.55518102009978</v>
      </c>
      <c r="G7" s="34"/>
      <c r="H7" s="33"/>
      <c r="I7" s="33"/>
      <c r="J7" s="33">
        <f>$C$27*('E Balans VL '!D9+'E Balans VL '!E9)/100/3.6*1000000</f>
        <v>0</v>
      </c>
      <c r="K7" s="33"/>
      <c r="L7" s="33"/>
      <c r="M7" s="33"/>
      <c r="N7" s="33">
        <f>$C$27*'E Balans VL '!Y9/100/3.6*1000000</f>
        <v>0.37964029097504087</v>
      </c>
      <c r="O7" s="33"/>
      <c r="P7" s="33"/>
      <c r="R7" s="32"/>
    </row>
    <row r="8" spans="1:18">
      <c r="A8" s="6" t="s">
        <v>52</v>
      </c>
      <c r="B8" s="37">
        <f t="shared" si="0"/>
        <v>5977.4129999999996</v>
      </c>
      <c r="C8" s="33"/>
      <c r="D8" s="37">
        <f>IF(ISERROR(TER_handel_gas_kWh/1000),0,TER_handel_gas_kWh/1000)*0.902</f>
        <v>4954.0759576261762</v>
      </c>
      <c r="E8" s="33">
        <f>$C$28*'E Balans VL '!I13/100/3.6*1000000</f>
        <v>64.202390479421609</v>
      </c>
      <c r="F8" s="33">
        <f>$C$28*('E Balans VL '!L13+'E Balans VL '!N13)/100/3.6*1000000</f>
        <v>773.82547330899843</v>
      </c>
      <c r="G8" s="34"/>
      <c r="H8" s="33"/>
      <c r="I8" s="33"/>
      <c r="J8" s="33">
        <f>$C$28*('E Balans VL '!D13+'E Balans VL '!E13)/100/3.6*1000000</f>
        <v>0</v>
      </c>
      <c r="K8" s="33"/>
      <c r="L8" s="33"/>
      <c r="M8" s="33"/>
      <c r="N8" s="33">
        <f>$C$28*'E Balans VL '!Y13/100/3.6*1000000</f>
        <v>48.489100636940684</v>
      </c>
      <c r="O8" s="33"/>
      <c r="P8" s="33"/>
      <c r="R8" s="32"/>
    </row>
    <row r="9" spans="1:18">
      <c r="A9" s="32" t="s">
        <v>51</v>
      </c>
      <c r="B9" s="37">
        <f t="shared" si="0"/>
        <v>1955.0250000000001</v>
      </c>
      <c r="C9" s="33"/>
      <c r="D9" s="37">
        <f>IF(ISERROR(TER_gezond_gas_kWh/1000),0,TER_gezond_gas_kWh/1000)*0.902</f>
        <v>4184.2486269154142</v>
      </c>
      <c r="E9" s="33">
        <f>$C$29*'E Balans VL '!I10/100/3.6*1000000</f>
        <v>1.5563263476293681</v>
      </c>
      <c r="F9" s="33">
        <f>$C$29*('E Balans VL '!L10+'E Balans VL '!N10)/100/3.6*1000000</f>
        <v>237.6615414059782</v>
      </c>
      <c r="G9" s="34"/>
      <c r="H9" s="33"/>
      <c r="I9" s="33"/>
      <c r="J9" s="33">
        <f>$C$29*('E Balans VL '!D10+'E Balans VL '!E10)/100/3.6*1000000</f>
        <v>0</v>
      </c>
      <c r="K9" s="33"/>
      <c r="L9" s="33"/>
      <c r="M9" s="33"/>
      <c r="N9" s="33">
        <f>$C$29*'E Balans VL '!Y10/100/3.6*1000000</f>
        <v>15.792174000157473</v>
      </c>
      <c r="O9" s="33"/>
      <c r="P9" s="33"/>
      <c r="R9" s="32"/>
    </row>
    <row r="10" spans="1:18">
      <c r="A10" s="32" t="s">
        <v>50</v>
      </c>
      <c r="B10" s="37">
        <f t="shared" si="0"/>
        <v>1738.895</v>
      </c>
      <c r="C10" s="33"/>
      <c r="D10" s="37">
        <f>IF(ISERROR(TER_ander_gas_kWh/1000),0,TER_ander_gas_kWh/1000)*0.902</f>
        <v>962.44319138276012</v>
      </c>
      <c r="E10" s="33">
        <f>$C$30*'E Balans VL '!I14/100/3.6*1000000</f>
        <v>5.9592845148335343</v>
      </c>
      <c r="F10" s="33">
        <f>$C$30*('E Balans VL '!L14+'E Balans VL '!N14)/100/3.6*1000000</f>
        <v>388.39848263074424</v>
      </c>
      <c r="G10" s="34"/>
      <c r="H10" s="33"/>
      <c r="I10" s="33"/>
      <c r="J10" s="33">
        <f>$C$30*('E Balans VL '!D14+'E Balans VL '!E14)/100/3.6*1000000</f>
        <v>0</v>
      </c>
      <c r="K10" s="33"/>
      <c r="L10" s="33"/>
      <c r="M10" s="33"/>
      <c r="N10" s="33">
        <f>$C$30*'E Balans VL '!Y14/100/3.6*1000000</f>
        <v>1224.8871373976976</v>
      </c>
      <c r="O10" s="33"/>
      <c r="P10" s="33"/>
      <c r="R10" s="32"/>
    </row>
    <row r="11" spans="1:18">
      <c r="A11" s="32" t="s">
        <v>55</v>
      </c>
      <c r="B11" s="37">
        <f t="shared" si="0"/>
        <v>296.58709999999996</v>
      </c>
      <c r="C11" s="33"/>
      <c r="D11" s="37">
        <f>IF(ISERROR(TER_onderwijs_gas_kWh/1000),0,TER_onderwijs_gas_kWh/1000)*0.902</f>
        <v>392.71139251823575</v>
      </c>
      <c r="E11" s="33">
        <f>$C$31*'E Balans VL '!I11/100/3.6*1000000</f>
        <v>0.20502152806619001</v>
      </c>
      <c r="F11" s="33">
        <f>$C$31*('E Balans VL '!L11+'E Balans VL '!N11)/100/3.6*1000000</f>
        <v>77.637887509305145</v>
      </c>
      <c r="G11" s="34"/>
      <c r="H11" s="33"/>
      <c r="I11" s="33"/>
      <c r="J11" s="33">
        <f>$C$31*('E Balans VL '!D11+'E Balans VL '!E11)/100/3.6*1000000</f>
        <v>0</v>
      </c>
      <c r="K11" s="33"/>
      <c r="L11" s="33"/>
      <c r="M11" s="33"/>
      <c r="N11" s="33">
        <f>$C$31*'E Balans VL '!Y11/100/3.6*1000000</f>
        <v>0.29522719673141357</v>
      </c>
      <c r="O11" s="33"/>
      <c r="P11" s="33"/>
      <c r="R11" s="32"/>
    </row>
    <row r="12" spans="1:18">
      <c r="A12" s="32" t="s">
        <v>260</v>
      </c>
      <c r="B12" s="37">
        <f t="shared" si="0"/>
        <v>3406.49</v>
      </c>
      <c r="C12" s="33"/>
      <c r="D12" s="37">
        <f>IF(ISERROR(TER_rest_gas_kWh/1000),0,TER_rest_gas_kWh/1000)*0.902</f>
        <v>2036.1403137710674</v>
      </c>
      <c r="E12" s="33">
        <f>$C$32*'E Balans VL '!I8/100/3.6*1000000</f>
        <v>30.798588219663628</v>
      </c>
      <c r="F12" s="33">
        <f>$C$32*('E Balans VL '!L8+'E Balans VL '!N8)/100/3.6*1000000</f>
        <v>502.144044238932</v>
      </c>
      <c r="G12" s="34"/>
      <c r="H12" s="33"/>
      <c r="I12" s="33"/>
      <c r="J12" s="33">
        <f>$C$32*('E Balans VL '!D8+'E Balans VL '!E8)/100/3.6*1000000</f>
        <v>0</v>
      </c>
      <c r="K12" s="33"/>
      <c r="L12" s="33"/>
      <c r="M12" s="33"/>
      <c r="N12" s="33">
        <f>$C$32*'E Balans VL '!Y8/100/3.6*1000000</f>
        <v>290.52802972189772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16928.971100000002</v>
      </c>
      <c r="C16" s="21">
        <f t="shared" ca="1" si="1"/>
        <v>0</v>
      </c>
      <c r="D16" s="21">
        <f t="shared" ca="1" si="1"/>
        <v>15084.758691442619</v>
      </c>
      <c r="E16" s="21">
        <f t="shared" si="1"/>
        <v>170.59388520831766</v>
      </c>
      <c r="F16" s="21">
        <f t="shared" ca="1" si="1"/>
        <v>2531.7826317910826</v>
      </c>
      <c r="G16" s="21">
        <f t="shared" si="1"/>
        <v>0</v>
      </c>
      <c r="H16" s="21">
        <f t="shared" si="1"/>
        <v>0</v>
      </c>
      <c r="I16" s="21">
        <f t="shared" si="1"/>
        <v>0</v>
      </c>
      <c r="J16" s="21">
        <f t="shared" si="1"/>
        <v>0</v>
      </c>
      <c r="K16" s="21">
        <f t="shared" si="1"/>
        <v>0</v>
      </c>
      <c r="L16" s="21">
        <f t="shared" ca="1" si="1"/>
        <v>0</v>
      </c>
      <c r="M16" s="21">
        <f t="shared" si="1"/>
        <v>0</v>
      </c>
      <c r="N16" s="21">
        <f t="shared" ca="1" si="1"/>
        <v>1601.203828896404</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0.20439873561174882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3460.2602880478371</v>
      </c>
      <c r="C20" s="23">
        <f t="shared" ref="C20:P20" ca="1" si="2">C16*C18</f>
        <v>0</v>
      </c>
      <c r="D20" s="23">
        <f t="shared" ca="1" si="2"/>
        <v>3047.1212556714095</v>
      </c>
      <c r="E20" s="23">
        <f t="shared" si="2"/>
        <v>38.724811942288113</v>
      </c>
      <c r="F20" s="23">
        <f t="shared" ca="1" si="2"/>
        <v>675.98596268821905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2081.3240000000001</v>
      </c>
      <c r="C26" s="39">
        <f>IF(ISERROR(B26*3.6/1000000/'E Balans VL '!Z12*100),0,B26*3.6/1000000/'E Balans VL '!Z12*100)</f>
        <v>4.5718687911499398E-2</v>
      </c>
      <c r="D26" s="237" t="s">
        <v>692</v>
      </c>
      <c r="F26" s="6"/>
    </row>
    <row r="27" spans="1:18">
      <c r="A27" s="231" t="s">
        <v>53</v>
      </c>
      <c r="B27" s="33">
        <f>IF(ISERROR(TER_horeca_ele_kWh/1000),0,TER_horeca_ele_kWh/1000)</f>
        <v>1473.2370000000001</v>
      </c>
      <c r="C27" s="39">
        <f>IF(ISERROR(B27*3.6/1000000/'E Balans VL '!Z9*100),0,B27*3.6/1000000/'E Balans VL '!Z9*100)</f>
        <v>0.11838927834986644</v>
      </c>
      <c r="D27" s="237" t="s">
        <v>692</v>
      </c>
      <c r="F27" s="6"/>
    </row>
    <row r="28" spans="1:18">
      <c r="A28" s="171" t="s">
        <v>52</v>
      </c>
      <c r="B28" s="33">
        <f>IF(ISERROR(TER_handel_ele_kWh/1000),0,TER_handel_ele_kWh/1000)</f>
        <v>5977.4129999999996</v>
      </c>
      <c r="C28" s="39">
        <f>IF(ISERROR(B28*3.6/1000000/'E Balans VL '!Z13*100),0,B28*3.6/1000000/'E Balans VL '!Z13*100)</f>
        <v>0.17674792650159843</v>
      </c>
      <c r="D28" s="237" t="s">
        <v>692</v>
      </c>
      <c r="F28" s="6"/>
    </row>
    <row r="29" spans="1:18">
      <c r="A29" s="231" t="s">
        <v>51</v>
      </c>
      <c r="B29" s="33">
        <f>IF(ISERROR(TER_gezond_ele_kWh/1000),0,TER_gezond_ele_kWh/1000)</f>
        <v>1955.0250000000001</v>
      </c>
      <c r="C29" s="39">
        <f>IF(ISERROR(B29*3.6/1000000/'E Balans VL '!Z10*100),0,B29*3.6/1000000/'E Balans VL '!Z10*100)</f>
        <v>0.22028084320382049</v>
      </c>
      <c r="D29" s="237" t="s">
        <v>692</v>
      </c>
      <c r="F29" s="6"/>
    </row>
    <row r="30" spans="1:18">
      <c r="A30" s="231" t="s">
        <v>50</v>
      </c>
      <c r="B30" s="33">
        <f>IF(ISERROR(TER_ander_ele_kWh/1000),0,TER_ander_ele_kWh/1000)</f>
        <v>1738.895</v>
      </c>
      <c r="C30" s="39">
        <f>IF(ISERROR(B30*3.6/1000000/'E Balans VL '!Z14*100),0,B30*3.6/1000000/'E Balans VL '!Z14*100)</f>
        <v>0.13150965634326581</v>
      </c>
      <c r="D30" s="237" t="s">
        <v>692</v>
      </c>
      <c r="F30" s="6"/>
    </row>
    <row r="31" spans="1:18">
      <c r="A31" s="231" t="s">
        <v>55</v>
      </c>
      <c r="B31" s="33">
        <f>IF(ISERROR(TER_onderwijs_ele_kWh/1000),0,TER_onderwijs_ele_kWh/1000)</f>
        <v>296.58709999999996</v>
      </c>
      <c r="C31" s="39">
        <f>IF(ISERROR(B31*3.6/1000000/'E Balans VL '!Z11*100),0,B31*3.6/1000000/'E Balans VL '!Z11*100)</f>
        <v>6.1564596986048353E-2</v>
      </c>
      <c r="D31" s="237" t="s">
        <v>692</v>
      </c>
    </row>
    <row r="32" spans="1:18">
      <c r="A32" s="231" t="s">
        <v>260</v>
      </c>
      <c r="B32" s="33">
        <f>IF(ISERROR(TER_rest_ele_kWh/1000),0,TER_rest_ele_kWh/1000)</f>
        <v>3406.49</v>
      </c>
      <c r="C32" s="39">
        <f>IF(ISERROR(B32*3.6/1000000/'E Balans VL '!Z8*100),0,B32*3.6/1000000/'E Balans VL '!Z8*100)</f>
        <v>2.8697674279796734E-2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33800.97408</v>
      </c>
      <c r="C5" s="17">
        <f>IF(ISERROR('Eigen informatie GS &amp; warmtenet'!B59),0,'Eigen informatie GS &amp; warmtenet'!B59)</f>
        <v>0</v>
      </c>
      <c r="D5" s="30">
        <f>SUM(D6:D15)</f>
        <v>17187.733963523046</v>
      </c>
      <c r="E5" s="17">
        <f>SUM(E6:E15)</f>
        <v>1388.4913784165162</v>
      </c>
      <c r="F5" s="17">
        <f>SUM(F6:F15)</f>
        <v>35153.492245456117</v>
      </c>
      <c r="G5" s="18"/>
      <c r="H5" s="17"/>
      <c r="I5" s="17"/>
      <c r="J5" s="17">
        <f>SUM(J6:J15)</f>
        <v>411.36324802287277</v>
      </c>
      <c r="K5" s="17"/>
      <c r="L5" s="17"/>
      <c r="M5" s="17"/>
      <c r="N5" s="17">
        <f>SUM(N6:N15)</f>
        <v>14310.219136626574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591.80909999999994</v>
      </c>
      <c r="C8" s="33"/>
      <c r="D8" s="37">
        <f>IF( ISERROR(IND_metaal_Gas_kWH/1000),0,IND_metaal_Gas_kWH/1000)*0.902</f>
        <v>345.35228407120997</v>
      </c>
      <c r="E8" s="33">
        <f>C30*'E Balans VL '!I18/100/3.6*1000000</f>
        <v>14.810910485524442</v>
      </c>
      <c r="F8" s="33">
        <f>C30*'E Balans VL '!L18/100/3.6*1000000+C30*'E Balans VL '!N18/100/3.6*1000000</f>
        <v>185.47591574985756</v>
      </c>
      <c r="G8" s="34"/>
      <c r="H8" s="33"/>
      <c r="I8" s="33"/>
      <c r="J8" s="40">
        <f>C30*'E Balans VL '!D18/100/3.6*1000000+C30*'E Balans VL '!E18/100/3.6*1000000</f>
        <v>0</v>
      </c>
      <c r="K8" s="33"/>
      <c r="L8" s="33"/>
      <c r="M8" s="33"/>
      <c r="N8" s="33">
        <f>C30*'E Balans VL '!Y18/100/3.6*1000000</f>
        <v>14.867780470544144</v>
      </c>
      <c r="O8" s="33"/>
      <c r="P8" s="33"/>
      <c r="R8" s="32"/>
    </row>
    <row r="9" spans="1:18">
      <c r="A9" s="6" t="s">
        <v>33</v>
      </c>
      <c r="B9" s="37">
        <f t="shared" si="0"/>
        <v>3520.1379999999999</v>
      </c>
      <c r="C9" s="33"/>
      <c r="D9" s="37">
        <f>IF( ISERROR(IND_andere_gas_kWh/1000),0,IND_andere_gas_kWh/1000)*0.902</f>
        <v>1035.820103333223</v>
      </c>
      <c r="E9" s="33">
        <f>C31*'E Balans VL '!I19/100/3.6*1000000</f>
        <v>967.89357134423074</v>
      </c>
      <c r="F9" s="33">
        <f>C31*'E Balans VL '!L19/100/3.6*1000000+C31*'E Balans VL '!N19/100/3.6*1000000</f>
        <v>2774.4812919916963</v>
      </c>
      <c r="G9" s="34"/>
      <c r="H9" s="33"/>
      <c r="I9" s="33"/>
      <c r="J9" s="40">
        <f>C31*'E Balans VL '!D19/100/3.6*1000000+C31*'E Balans VL '!E19/100/3.6*1000000</f>
        <v>0</v>
      </c>
      <c r="K9" s="33"/>
      <c r="L9" s="33"/>
      <c r="M9" s="33"/>
      <c r="N9" s="33">
        <f>C31*'E Balans VL '!Y19/100/3.6*1000000</f>
        <v>1139.5615866947001</v>
      </c>
      <c r="O9" s="33"/>
      <c r="P9" s="33"/>
      <c r="R9" s="32"/>
    </row>
    <row r="10" spans="1:18">
      <c r="A10" s="6" t="s">
        <v>41</v>
      </c>
      <c r="B10" s="37">
        <f t="shared" si="0"/>
        <v>16425.545999999998</v>
      </c>
      <c r="C10" s="33"/>
      <c r="D10" s="37">
        <f>IF( ISERROR(IND_voed_gas_kWh/1000),0,IND_voed_gas_kWh/1000)*0.902</f>
        <v>9957.7135378667408</v>
      </c>
      <c r="E10" s="33">
        <f>C32*'E Balans VL '!I20/100/3.6*1000000</f>
        <v>167.4493925850754</v>
      </c>
      <c r="F10" s="33">
        <f>C32*'E Balans VL '!L20/100/3.6*1000000+C32*'E Balans VL '!N20/100/3.6*1000000</f>
        <v>31027.753662126568</v>
      </c>
      <c r="G10" s="34"/>
      <c r="H10" s="33"/>
      <c r="I10" s="33"/>
      <c r="J10" s="40">
        <f>C32*'E Balans VL '!D20/100/3.6*1000000+C32*'E Balans VL '!E20/100/3.6*1000000</f>
        <v>393.11706040983523</v>
      </c>
      <c r="K10" s="33"/>
      <c r="L10" s="33"/>
      <c r="M10" s="33"/>
      <c r="N10" s="33">
        <f>C32*'E Balans VL '!Y20/100/3.6*1000000</f>
        <v>8658.154732896528</v>
      </c>
      <c r="O10" s="33"/>
      <c r="P10" s="33"/>
      <c r="R10" s="32"/>
    </row>
    <row r="11" spans="1:18">
      <c r="A11" s="6" t="s">
        <v>40</v>
      </c>
      <c r="B11" s="37">
        <f t="shared" si="0"/>
        <v>128.96539999999999</v>
      </c>
      <c r="C11" s="33"/>
      <c r="D11" s="37">
        <f>IF( ISERROR(IND_textiel_gas_kWh/1000),0,IND_textiel_gas_kWh/1000)*0.902</f>
        <v>0</v>
      </c>
      <c r="E11" s="33">
        <f>C33*'E Balans VL '!I21/100/3.6*1000000</f>
        <v>0.34182140213088902</v>
      </c>
      <c r="F11" s="33">
        <f>C33*'E Balans VL '!L21/100/3.6*1000000+C33*'E Balans VL '!N21/100/3.6*1000000</f>
        <v>5.75972780171635</v>
      </c>
      <c r="G11" s="34"/>
      <c r="H11" s="33"/>
      <c r="I11" s="33"/>
      <c r="J11" s="40">
        <f>C33*'E Balans VL '!D21/100/3.6*1000000+C33*'E Balans VL '!E21/100/3.6*1000000</f>
        <v>0</v>
      </c>
      <c r="K11" s="33"/>
      <c r="L11" s="33"/>
      <c r="M11" s="33"/>
      <c r="N11" s="33">
        <f>C33*'E Balans VL '!Y21/100/3.6*1000000</f>
        <v>1.2154067051012611</v>
      </c>
      <c r="O11" s="33"/>
      <c r="P11" s="33"/>
      <c r="R11" s="32"/>
    </row>
    <row r="12" spans="1:18">
      <c r="A12" s="6" t="s">
        <v>37</v>
      </c>
      <c r="B12" s="37">
        <f t="shared" si="0"/>
        <v>89.311580000000006</v>
      </c>
      <c r="C12" s="33"/>
      <c r="D12" s="37">
        <f>IF( ISERROR(IND_min_gas_kWh/1000),0,IND_min_gas_kWh/1000)*0.902</f>
        <v>0</v>
      </c>
      <c r="E12" s="33">
        <f>C34*'E Balans VL '!I22/100/3.6*1000000</f>
        <v>0.27048437546484771</v>
      </c>
      <c r="F12" s="33">
        <f>C34*'E Balans VL '!L22/100/3.6*1000000+C34*'E Balans VL '!N22/100/3.6*1000000</f>
        <v>2.7910636593899207</v>
      </c>
      <c r="G12" s="34"/>
      <c r="H12" s="33"/>
      <c r="I12" s="33"/>
      <c r="J12" s="40">
        <f>C34*'E Balans VL '!D22/100/3.6*1000000+C34*'E Balans VL '!E22/100/3.6*1000000</f>
        <v>0.13242924699086234</v>
      </c>
      <c r="K12" s="33"/>
      <c r="L12" s="33"/>
      <c r="M12" s="33"/>
      <c r="N12" s="33">
        <f>C34*'E Balans VL '!Y22/100/3.6*1000000</f>
        <v>0</v>
      </c>
      <c r="O12" s="33"/>
      <c r="P12" s="33"/>
      <c r="R12" s="32"/>
    </row>
    <row r="13" spans="1:18">
      <c r="A13" s="6" t="s">
        <v>39</v>
      </c>
      <c r="B13" s="37">
        <f t="shared" si="0"/>
        <v>8727.6039999999994</v>
      </c>
      <c r="C13" s="33"/>
      <c r="D13" s="37">
        <f>IF( ISERROR(IND_papier_gas_kWh/1000),0,IND_papier_gas_kWh/1000)*0.902</f>
        <v>0</v>
      </c>
      <c r="E13" s="33">
        <f>C35*'E Balans VL '!I23/100/3.6*1000000</f>
        <v>18.075456983084738</v>
      </c>
      <c r="F13" s="33">
        <f>C35*'E Balans VL '!L23/100/3.6*1000000+C35*'E Balans VL '!N23/100/3.6*1000000</f>
        <v>173.08709781585114</v>
      </c>
      <c r="G13" s="34"/>
      <c r="H13" s="33"/>
      <c r="I13" s="33"/>
      <c r="J13" s="40">
        <f>C35*'E Balans VL '!D23/100/3.6*1000000+C35*'E Balans VL '!E23/100/3.6*1000000</f>
        <v>0</v>
      </c>
      <c r="K13" s="33"/>
      <c r="L13" s="33"/>
      <c r="M13" s="33"/>
      <c r="N13" s="33">
        <f>C35*'E Balans VL '!Y23/100/3.6*1000000</f>
        <v>3685.2121885580227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4317.6000000000004</v>
      </c>
      <c r="C15" s="33"/>
      <c r="D15" s="37">
        <f>IF( ISERROR(IND_rest_gas_kWh/1000),0,IND_rest_gas_kWh/1000)*0.902</f>
        <v>5848.848038251871</v>
      </c>
      <c r="E15" s="33">
        <f>C37*'E Balans VL '!I15/100/3.6*1000000</f>
        <v>219.6497412410053</v>
      </c>
      <c r="F15" s="33">
        <f>C37*'E Balans VL '!L15/100/3.6*1000000+C37*'E Balans VL '!N15/100/3.6*1000000</f>
        <v>984.14348631104451</v>
      </c>
      <c r="G15" s="34"/>
      <c r="H15" s="33"/>
      <c r="I15" s="33"/>
      <c r="J15" s="40">
        <f>C37*'E Balans VL '!D15/100/3.6*1000000+C37*'E Balans VL '!E15/100/3.6*1000000</f>
        <v>18.113758366046685</v>
      </c>
      <c r="K15" s="33"/>
      <c r="L15" s="33"/>
      <c r="M15" s="33"/>
      <c r="N15" s="33">
        <f>C37*'E Balans VL '!Y15/100/3.6*1000000</f>
        <v>811.20744130167702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33800.97408</v>
      </c>
      <c r="C18" s="21">
        <f>C5+C16</f>
        <v>0</v>
      </c>
      <c r="D18" s="21">
        <f>MAX((D5+D16),0)</f>
        <v>17187.733963523046</v>
      </c>
      <c r="E18" s="21">
        <f>MAX((E5+E16),0)</f>
        <v>1388.4913784165162</v>
      </c>
      <c r="F18" s="21">
        <f>MAX((F5+F16),0)</f>
        <v>35153.492245456117</v>
      </c>
      <c r="G18" s="21"/>
      <c r="H18" s="21"/>
      <c r="I18" s="21"/>
      <c r="J18" s="21">
        <f>MAX((J5+J16),0)</f>
        <v>411.36324802287277</v>
      </c>
      <c r="K18" s="21"/>
      <c r="L18" s="21">
        <f>MAX((L5+L16),0)</f>
        <v>0</v>
      </c>
      <c r="M18" s="21"/>
      <c r="N18" s="21">
        <f>MAX((N5+N16),0)</f>
        <v>14310.219136626574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0.20439873561174882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6908.8763643974944</v>
      </c>
      <c r="C22" s="23">
        <f ca="1">C18*C20</f>
        <v>0</v>
      </c>
      <c r="D22" s="23">
        <f>D18*D20</f>
        <v>3471.9222606316553</v>
      </c>
      <c r="E22" s="23">
        <f>E18*E20</f>
        <v>315.1875429005492</v>
      </c>
      <c r="F22" s="23">
        <f>F18*F20</f>
        <v>9385.9824295367835</v>
      </c>
      <c r="G22" s="23"/>
      <c r="H22" s="23"/>
      <c r="I22" s="23"/>
      <c r="J22" s="23">
        <f>J18*J20</f>
        <v>145.62258980009696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591.80909999999994</v>
      </c>
      <c r="C30" s="39">
        <f>IF(ISERROR(B30*3.6/1000000/'E Balans VL '!Z18*100),0,B30*3.6/1000000/'E Balans VL '!Z18*100)</f>
        <v>8.2833551743864725E-2</v>
      </c>
      <c r="D30" s="237" t="s">
        <v>692</v>
      </c>
    </row>
    <row r="31" spans="1:18">
      <c r="A31" s="6" t="s">
        <v>33</v>
      </c>
      <c r="B31" s="37">
        <f>IF( ISERROR(IND_ander_ele_kWh/1000),0,IND_ander_ele_kWh/1000)</f>
        <v>3520.1379999999999</v>
      </c>
      <c r="C31" s="39">
        <f>IF(ISERROR(B31*3.6/1000000/'E Balans VL '!Z19*100),0,B31*3.6/1000000/'E Balans VL '!Z19*100)</f>
        <v>0.1540758692124852</v>
      </c>
      <c r="D31" s="237" t="s">
        <v>692</v>
      </c>
    </row>
    <row r="32" spans="1:18">
      <c r="A32" s="171" t="s">
        <v>41</v>
      </c>
      <c r="B32" s="37">
        <f>IF( ISERROR(IND_voed_ele_kWh/1000),0,IND_voed_ele_kWh/1000)</f>
        <v>16425.545999999998</v>
      </c>
      <c r="C32" s="39">
        <f>IF(ISERROR(B32*3.6/1000000/'E Balans VL '!Z20*100),0,B32*3.6/1000000/'E Balans VL '!Z20*100)</f>
        <v>4.066419724122686</v>
      </c>
      <c r="D32" s="237" t="s">
        <v>692</v>
      </c>
    </row>
    <row r="33" spans="1:5">
      <c r="A33" s="171" t="s">
        <v>40</v>
      </c>
      <c r="B33" s="37">
        <f>IF( ISERROR(IND_textiel_ele_kWh/1000),0,IND_textiel_ele_kWh/1000)</f>
        <v>128.96539999999999</v>
      </c>
      <c r="C33" s="39">
        <f>IF(ISERROR(B33*3.6/1000000/'E Balans VL '!Z21*100),0,B33*3.6/1000000/'E Balans VL '!Z21*100)</f>
        <v>1.4532128833549349E-2</v>
      </c>
      <c r="D33" s="237" t="s">
        <v>692</v>
      </c>
    </row>
    <row r="34" spans="1:5">
      <c r="A34" s="171" t="s">
        <v>37</v>
      </c>
      <c r="B34" s="37">
        <f>IF( ISERROR(IND_min_ele_kWh/1000),0,IND_min_ele_kWh/1000)</f>
        <v>89.311580000000006</v>
      </c>
      <c r="C34" s="39">
        <f>IF(ISERROR(B34*3.6/1000000/'E Balans VL '!Z22*100),0,B34*3.6/1000000/'E Balans VL '!Z22*100)</f>
        <v>2.5342982687365568E-3</v>
      </c>
      <c r="D34" s="237" t="s">
        <v>692</v>
      </c>
    </row>
    <row r="35" spans="1:5">
      <c r="A35" s="171" t="s">
        <v>39</v>
      </c>
      <c r="B35" s="37">
        <f>IF( ISERROR(IND_papier_ele_kWh/1000),0,IND_papier_ele_kWh/1000)</f>
        <v>8727.6039999999994</v>
      </c>
      <c r="C35" s="39">
        <f>IF(ISERROR(B35*3.6/1000000/'E Balans VL '!Z22*100),0,B35*3.6/1000000/'E Balans VL '!Z22*100)</f>
        <v>0.24765379480934324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4317.6000000000004</v>
      </c>
      <c r="C37" s="39">
        <f>IF(ISERROR(B37*3.6/1000000/'E Balans VL '!Z15*100),0,B37*3.6/1000000/'E Balans VL '!Z15*100)</f>
        <v>3.2014264795599504E-2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1147.1569</v>
      </c>
      <c r="C5" s="17">
        <f>'Eigen informatie GS &amp; warmtenet'!B60</f>
        <v>0</v>
      </c>
      <c r="D5" s="30">
        <f>IF(ISERROR(SUM(LB_lb_gas_kWh,LB_rest_gas_kWh)/1000),0,SUM(LB_lb_gas_kWh,LB_rest_gas_kWh)/1000)*0.902</f>
        <v>1150.2200030843539</v>
      </c>
      <c r="E5" s="17">
        <f>B17*'E Balans VL '!I25/3.6*1000000/100</f>
        <v>10.625447681275764</v>
      </c>
      <c r="F5" s="17">
        <f>B17*('E Balans VL '!L25/3.6*1000000+'E Balans VL '!N25/3.6*1000000)/100</f>
        <v>2910.5555884651867</v>
      </c>
      <c r="G5" s="18"/>
      <c r="H5" s="17"/>
      <c r="I5" s="17"/>
      <c r="J5" s="17">
        <f>('E Balans VL '!D25+'E Balans VL '!E25)/3.6*1000000*landbouw!B17/100</f>
        <v>175.87195507836873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1147.1569</v>
      </c>
      <c r="C8" s="21">
        <f>C5+C6</f>
        <v>0</v>
      </c>
      <c r="D8" s="21">
        <f>MAX((D5+D6),0)</f>
        <v>1150.2200030843539</v>
      </c>
      <c r="E8" s="21">
        <f>MAX((E5+E6),0)</f>
        <v>10.625447681275764</v>
      </c>
      <c r="F8" s="21">
        <f>MAX((F5+F6),0)</f>
        <v>2910.5555884651867</v>
      </c>
      <c r="G8" s="21"/>
      <c r="H8" s="21"/>
      <c r="I8" s="21"/>
      <c r="J8" s="21">
        <f>MAX((J5+J6),0)</f>
        <v>175.87195507836873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0.20439873561174882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234.47741990829337</v>
      </c>
      <c r="C12" s="23">
        <f ca="1">C8*C10</f>
        <v>0</v>
      </c>
      <c r="D12" s="23">
        <f>D8*D10</f>
        <v>232.3444406230395</v>
      </c>
      <c r="E12" s="23">
        <f>E8*E10</f>
        <v>2.4119766236495987</v>
      </c>
      <c r="F12" s="23">
        <f>F8*F10</f>
        <v>777.11834212020494</v>
      </c>
      <c r="G12" s="23"/>
      <c r="H12" s="23"/>
      <c r="I12" s="23"/>
      <c r="J12" s="23">
        <f>J8*J10</f>
        <v>62.258672097742526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0.16310138724935119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219.33765703149282</v>
      </c>
      <c r="C26" s="247">
        <f>B26*'GWP N2O_CH4'!B5</f>
        <v>4606.0907976613489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52.391931368613264</v>
      </c>
      <c r="C27" s="247">
        <f>B27*'GWP N2O_CH4'!B5</f>
        <v>1100.2305587408785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2.8942922028512186</v>
      </c>
      <c r="C28" s="247">
        <f>B28*'GWP N2O_CH4'!B4</f>
        <v>897.23058288387779</v>
      </c>
      <c r="D28" s="50"/>
    </row>
    <row r="29" spans="1:4">
      <c r="A29" s="41" t="s">
        <v>277</v>
      </c>
      <c r="B29" s="247">
        <f>B34*'ha_N2O bodem landbouw'!B4</f>
        <v>9.9296807213840665</v>
      </c>
      <c r="C29" s="247">
        <f>B29*'GWP N2O_CH4'!B4</f>
        <v>3078.2010236290607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1.4278285419164614E-4</v>
      </c>
      <c r="C5" s="464" t="s">
        <v>211</v>
      </c>
      <c r="D5" s="449">
        <f>SUM(D6:D11)</f>
        <v>3.7875981473026318E-4</v>
      </c>
      <c r="E5" s="449">
        <f>SUM(E6:E11)</f>
        <v>2.7744642845501572E-3</v>
      </c>
      <c r="F5" s="462" t="s">
        <v>211</v>
      </c>
      <c r="G5" s="449">
        <f>SUM(G6:G11)</f>
        <v>0.83561387190522152</v>
      </c>
      <c r="H5" s="449">
        <f>SUM(H6:H11)</f>
        <v>0.14691966164032561</v>
      </c>
      <c r="I5" s="464" t="s">
        <v>211</v>
      </c>
      <c r="J5" s="464" t="s">
        <v>211</v>
      </c>
      <c r="K5" s="464" t="s">
        <v>211</v>
      </c>
      <c r="L5" s="464" t="s">
        <v>211</v>
      </c>
      <c r="M5" s="449">
        <f>SUM(M6:M11)</f>
        <v>5.2859173804298429E-2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3.0759653111850099E-5</v>
      </c>
      <c r="C6" s="450"/>
      <c r="D6" s="893">
        <f>vkm_2011_GW_PW*SUMIFS(TableVerdeelsleutelVkm[CNG],TableVerdeelsleutelVkm[Voertuigtype],"Lichte voertuigen")*SUMIFS(TableECFTransport[EnergieConsumptieFactor (PJ per km)],TableECFTransport[Index],CONCATENATE($A6,"_CNG_CNG"))</f>
        <v>7.115046414523228E-5</v>
      </c>
      <c r="E6" s="893">
        <f>vkm_2011_GW_PW*SUMIFS(TableVerdeelsleutelVkm[LPG],TableVerdeelsleutelVkm[Voertuigtype],"Lichte voertuigen")*SUMIFS(TableECFTransport[EnergieConsumptieFactor (PJ per km)],TableECFTransport[Index],CONCATENATE($A6,"_LPG_LPG"))</f>
        <v>4.6328885595197825E-4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9.6244832288020069E-2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2.7129429263108889E-2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6.4024846107454203E-3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6.6197399448740951E-2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2.2638308410694158E-5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3.8298947819979021E-3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2.1561189383575319E-5</v>
      </c>
      <c r="C8" s="450"/>
      <c r="D8" s="452">
        <f>vkm_2011_NGW_PW*SUMIFS(TableVerdeelsleutelVkm[CNG],TableVerdeelsleutelVkm[Voertuigtype],"Lichte voertuigen")*SUMIFS(TableECFTransport[EnergieConsumptieFactor (PJ per km)],TableECFTransport[Index],CONCATENATE($A8,"_CNG_CNG"))</f>
        <v>8.82114779486733E-5</v>
      </c>
      <c r="E8" s="452">
        <f>vkm_2011_NGW_PW*SUMIFS(TableVerdeelsleutelVkm[LPG],TableVerdeelsleutelVkm[Voertuigtype],"Lichte voertuigen")*SUMIFS(TableECFTransport[EnergieConsumptieFactor (PJ per km)],TableECFTransport[Index],CONCATENATE($A8,"_LPG_LPG"))</f>
        <v>5.3009286731111607E-4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0.10294325609119291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3.252241560142672E-2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6.9559808102605458E-3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3.3137991129922301E-2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1.0723067915631778E-5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1.9172018571418819E-3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9.0462011696220722E-5</v>
      </c>
      <c r="C10" s="450"/>
      <c r="D10" s="452">
        <f>vkm_2011_SW_PW*SUMIFS(TableVerdeelsleutelVkm[CNG],TableVerdeelsleutelVkm[Voertuigtype],"Lichte voertuigen")*SUMIFS(TableECFTransport[EnergieConsumptieFactor (PJ per km)],TableECFTransport[Index],CONCATENATE($A10,"_CNG_CNG"))</f>
        <v>2.1939787263635762E-4</v>
      </c>
      <c r="E10" s="452">
        <f>vkm_2011_SW_PW*SUMIFS(TableVerdeelsleutelVkm[LPG],TableVerdeelsleutelVkm[Voertuigtype],"Lichte voertuigen")*SUMIFS(TableECFTransport[EnergieConsumptieFactor (PJ per km)],TableECFTransport[Index],CONCATENATE($A10,"_LPG_LPG"))</f>
        <v>1.7810825612870629E-3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0.33311357826684218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8.7159277243112537E-2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2.1952229910160704E-2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0.20397681468050313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7.517815635114147E-5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1.1801381833991976E-2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39.661903942123935</v>
      </c>
      <c r="C14" s="21"/>
      <c r="D14" s="21">
        <f t="shared" ref="D14:M14" si="0">((D5)*10^9/3600)+D12</f>
        <v>105.21105964729533</v>
      </c>
      <c r="E14" s="21">
        <f t="shared" si="0"/>
        <v>770.68452348615483</v>
      </c>
      <c r="F14" s="21"/>
      <c r="G14" s="21">
        <f t="shared" si="0"/>
        <v>232114.96441811707</v>
      </c>
      <c r="H14" s="21">
        <f t="shared" si="0"/>
        <v>40811.017122312667</v>
      </c>
      <c r="I14" s="21"/>
      <c r="J14" s="21"/>
      <c r="K14" s="21"/>
      <c r="L14" s="21"/>
      <c r="M14" s="21">
        <f t="shared" si="0"/>
        <v>14683.103834527341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0.20439873561174882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8.1068430177247688</v>
      </c>
      <c r="C18" s="23"/>
      <c r="D18" s="23">
        <f t="shared" ref="D18:M18" si="1">D14*D16</f>
        <v>21.252634048753659</v>
      </c>
      <c r="E18" s="23">
        <f t="shared" si="1"/>
        <v>174.94538683135715</v>
      </c>
      <c r="F18" s="23"/>
      <c r="G18" s="23">
        <f t="shared" si="1"/>
        <v>61974.695499637259</v>
      </c>
      <c r="H18" s="23">
        <f t="shared" si="1"/>
        <v>10161.943263455854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3.9121829825955476E-3</v>
      </c>
      <c r="H50" s="321">
        <f t="shared" si="2"/>
        <v>0</v>
      </c>
      <c r="I50" s="321">
        <f t="shared" si="2"/>
        <v>0</v>
      </c>
      <c r="J50" s="321">
        <f t="shared" si="2"/>
        <v>0</v>
      </c>
      <c r="K50" s="321">
        <f t="shared" si="2"/>
        <v>0</v>
      </c>
      <c r="L50" s="321">
        <f t="shared" si="2"/>
        <v>0</v>
      </c>
      <c r="M50" s="321">
        <f t="shared" si="2"/>
        <v>2.231003908679546E-4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3.9121829825955476E-3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2.231003908679546E-4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1086.7174951654299</v>
      </c>
      <c r="H54" s="21">
        <f t="shared" si="3"/>
        <v>0</v>
      </c>
      <c r="I54" s="21">
        <f t="shared" si="3"/>
        <v>0</v>
      </c>
      <c r="J54" s="21">
        <f t="shared" si="3"/>
        <v>0</v>
      </c>
      <c r="K54" s="21">
        <f t="shared" si="3"/>
        <v>0</v>
      </c>
      <c r="L54" s="21">
        <f t="shared" si="3"/>
        <v>0</v>
      </c>
      <c r="M54" s="21">
        <f t="shared" si="3"/>
        <v>61.972330796654049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0.20439873561174882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290.1535712091698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18317.857100000001</v>
      </c>
      <c r="D10" s="1025">
        <f ca="1">tertiair!C16</f>
        <v>0</v>
      </c>
      <c r="E10" s="1025">
        <f ca="1">tertiair!D16</f>
        <v>15084.758691442619</v>
      </c>
      <c r="F10" s="1025">
        <f>tertiair!E16</f>
        <v>170.59388520831766</v>
      </c>
      <c r="G10" s="1025">
        <f ca="1">tertiair!F16</f>
        <v>2531.7826317910826</v>
      </c>
      <c r="H10" s="1025">
        <f>tertiair!G16</f>
        <v>0</v>
      </c>
      <c r="I10" s="1025">
        <f>tertiair!H16</f>
        <v>0</v>
      </c>
      <c r="J10" s="1025">
        <f>tertiair!I16</f>
        <v>0</v>
      </c>
      <c r="K10" s="1025">
        <f>tertiair!J16</f>
        <v>0</v>
      </c>
      <c r="L10" s="1025">
        <f>tertiair!K16</f>
        <v>0</v>
      </c>
      <c r="M10" s="1025">
        <f ca="1">tertiair!L16</f>
        <v>0</v>
      </c>
      <c r="N10" s="1025">
        <f>tertiair!M16</f>
        <v>0</v>
      </c>
      <c r="O10" s="1025">
        <f ca="1">tertiair!N16</f>
        <v>1601.203828896404</v>
      </c>
      <c r="P10" s="1025">
        <f>tertiair!O16</f>
        <v>6.2533333333333339</v>
      </c>
      <c r="Q10" s="1026">
        <f>tertiair!P16</f>
        <v>0</v>
      </c>
      <c r="R10" s="701">
        <f ca="1">SUM(C10:Q10)</f>
        <v>37712.44947067176</v>
      </c>
      <c r="S10" s="67"/>
    </row>
    <row r="11" spans="1:19" s="474" customFormat="1">
      <c r="A11" s="810" t="s">
        <v>225</v>
      </c>
      <c r="B11" s="815"/>
      <c r="C11" s="1025">
        <f>huishoudens!B8</f>
        <v>42459.03320687548</v>
      </c>
      <c r="D11" s="1025">
        <f>huishoudens!C8</f>
        <v>0</v>
      </c>
      <c r="E11" s="1025">
        <f>huishoudens!D8</f>
        <v>42760.722912463869</v>
      </c>
      <c r="F11" s="1025">
        <f>huishoudens!E8</f>
        <v>5551.8538187764007</v>
      </c>
      <c r="G11" s="1025">
        <f>huishoudens!F8</f>
        <v>54953.843235235363</v>
      </c>
      <c r="H11" s="1025">
        <f>huishoudens!G8</f>
        <v>0</v>
      </c>
      <c r="I11" s="1025">
        <f>huishoudens!H8</f>
        <v>0</v>
      </c>
      <c r="J11" s="1025">
        <f>huishoudens!I8</f>
        <v>0</v>
      </c>
      <c r="K11" s="1025">
        <f>huishoudens!J8</f>
        <v>8498.0924585614703</v>
      </c>
      <c r="L11" s="1025">
        <f>huishoudens!K8</f>
        <v>0</v>
      </c>
      <c r="M11" s="1025">
        <f>huishoudens!L8</f>
        <v>0</v>
      </c>
      <c r="N11" s="1025">
        <f>huishoudens!M8</f>
        <v>0</v>
      </c>
      <c r="O11" s="1025">
        <f>huishoudens!N8</f>
        <v>12450.247519769453</v>
      </c>
      <c r="P11" s="1025">
        <f>huishoudens!O8</f>
        <v>204.79666666666668</v>
      </c>
      <c r="Q11" s="1026">
        <f>huishoudens!P8</f>
        <v>629.20000000000005</v>
      </c>
      <c r="R11" s="701">
        <f>SUM(C11:Q11)</f>
        <v>167507.78981834871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33800.97408</v>
      </c>
      <c r="D13" s="1025">
        <f>industrie!C18</f>
        <v>0</v>
      </c>
      <c r="E13" s="1025">
        <f>industrie!D18</f>
        <v>17187.733963523046</v>
      </c>
      <c r="F13" s="1025">
        <f>industrie!E18</f>
        <v>1388.4913784165162</v>
      </c>
      <c r="G13" s="1025">
        <f>industrie!F18</f>
        <v>35153.492245456117</v>
      </c>
      <c r="H13" s="1025">
        <f>industrie!G18</f>
        <v>0</v>
      </c>
      <c r="I13" s="1025">
        <f>industrie!H18</f>
        <v>0</v>
      </c>
      <c r="J13" s="1025">
        <f>industrie!I18</f>
        <v>0</v>
      </c>
      <c r="K13" s="1025">
        <f>industrie!J18</f>
        <v>411.36324802287277</v>
      </c>
      <c r="L13" s="1025">
        <f>industrie!K18</f>
        <v>0</v>
      </c>
      <c r="M13" s="1025">
        <f>industrie!L18</f>
        <v>0</v>
      </c>
      <c r="N13" s="1025">
        <f>industrie!M18</f>
        <v>0</v>
      </c>
      <c r="O13" s="1025">
        <f>industrie!N18</f>
        <v>14310.219136626574</v>
      </c>
      <c r="P13" s="1025">
        <f>industrie!O18</f>
        <v>0</v>
      </c>
      <c r="Q13" s="1026">
        <f>industrie!P18</f>
        <v>0</v>
      </c>
      <c r="R13" s="701">
        <f>SUM(C13:Q13)</f>
        <v>102252.27405204512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94577.864386875473</v>
      </c>
      <c r="D16" s="733">
        <f t="shared" ref="D16:R16" ca="1" si="0">SUM(D9:D15)</f>
        <v>0</v>
      </c>
      <c r="E16" s="733">
        <f t="shared" ca="1" si="0"/>
        <v>75033.215567429535</v>
      </c>
      <c r="F16" s="733">
        <f t="shared" si="0"/>
        <v>7110.9390824012344</v>
      </c>
      <c r="G16" s="733">
        <f t="shared" ca="1" si="0"/>
        <v>92639.118112482567</v>
      </c>
      <c r="H16" s="733">
        <f t="shared" si="0"/>
        <v>0</v>
      </c>
      <c r="I16" s="733">
        <f t="shared" si="0"/>
        <v>0</v>
      </c>
      <c r="J16" s="733">
        <f t="shared" si="0"/>
        <v>0</v>
      </c>
      <c r="K16" s="733">
        <f t="shared" si="0"/>
        <v>8909.4557065843437</v>
      </c>
      <c r="L16" s="733">
        <f t="shared" si="0"/>
        <v>0</v>
      </c>
      <c r="M16" s="733">
        <f t="shared" ca="1" si="0"/>
        <v>0</v>
      </c>
      <c r="N16" s="733">
        <f t="shared" si="0"/>
        <v>0</v>
      </c>
      <c r="O16" s="733">
        <f t="shared" ca="1" si="0"/>
        <v>28361.67048529243</v>
      </c>
      <c r="P16" s="733">
        <f t="shared" si="0"/>
        <v>211.05</v>
      </c>
      <c r="Q16" s="733">
        <f t="shared" si="0"/>
        <v>629.20000000000005</v>
      </c>
      <c r="R16" s="733">
        <f t="shared" ca="1" si="0"/>
        <v>307472.51334106561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1086.7174951654299</v>
      </c>
      <c r="I19" s="1025">
        <f>transport!H54</f>
        <v>0</v>
      </c>
      <c r="J19" s="1025">
        <f>transport!I54</f>
        <v>0</v>
      </c>
      <c r="K19" s="1025">
        <f>transport!J54</f>
        <v>0</v>
      </c>
      <c r="L19" s="1025">
        <f>transport!K54</f>
        <v>0</v>
      </c>
      <c r="M19" s="1025">
        <f>transport!L54</f>
        <v>0</v>
      </c>
      <c r="N19" s="1025">
        <f>transport!M54</f>
        <v>61.972330796654049</v>
      </c>
      <c r="O19" s="1025">
        <f>transport!N54</f>
        <v>0</v>
      </c>
      <c r="P19" s="1025">
        <f>transport!O54</f>
        <v>0</v>
      </c>
      <c r="Q19" s="1026">
        <f>transport!P54</f>
        <v>0</v>
      </c>
      <c r="R19" s="701">
        <f>SUM(C19:Q19)</f>
        <v>1148.6898259620839</v>
      </c>
      <c r="S19" s="67"/>
    </row>
    <row r="20" spans="1:19" s="474" customFormat="1">
      <c r="A20" s="810" t="s">
        <v>307</v>
      </c>
      <c r="B20" s="815"/>
      <c r="C20" s="1025">
        <f>transport!B14</f>
        <v>39.661903942123935</v>
      </c>
      <c r="D20" s="1025">
        <f>transport!C14</f>
        <v>0</v>
      </c>
      <c r="E20" s="1025">
        <f>transport!D14</f>
        <v>105.21105964729533</v>
      </c>
      <c r="F20" s="1025">
        <f>transport!E14</f>
        <v>770.68452348615483</v>
      </c>
      <c r="G20" s="1025">
        <f>transport!F14</f>
        <v>0</v>
      </c>
      <c r="H20" s="1025">
        <f>transport!G14</f>
        <v>232114.96441811707</v>
      </c>
      <c r="I20" s="1025">
        <f>transport!H14</f>
        <v>40811.017122312667</v>
      </c>
      <c r="J20" s="1025">
        <f>transport!I14</f>
        <v>0</v>
      </c>
      <c r="K20" s="1025">
        <f>transport!J14</f>
        <v>0</v>
      </c>
      <c r="L20" s="1025">
        <f>transport!K14</f>
        <v>0</v>
      </c>
      <c r="M20" s="1025">
        <f>transport!L14</f>
        <v>0</v>
      </c>
      <c r="N20" s="1025">
        <f>transport!M14</f>
        <v>14683.103834527341</v>
      </c>
      <c r="O20" s="1025">
        <f>transport!N14</f>
        <v>0</v>
      </c>
      <c r="P20" s="1025">
        <f>transport!O14</f>
        <v>0</v>
      </c>
      <c r="Q20" s="1026">
        <f>transport!P14</f>
        <v>0</v>
      </c>
      <c r="R20" s="701">
        <f>SUM(C20:Q20)</f>
        <v>288524.64286203263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39.661903942123935</v>
      </c>
      <c r="D22" s="813">
        <f t="shared" ref="D22:R22" si="1">SUM(D18:D21)</f>
        <v>0</v>
      </c>
      <c r="E22" s="813">
        <f t="shared" si="1"/>
        <v>105.21105964729533</v>
      </c>
      <c r="F22" s="813">
        <f t="shared" si="1"/>
        <v>770.68452348615483</v>
      </c>
      <c r="G22" s="813">
        <f t="shared" si="1"/>
        <v>0</v>
      </c>
      <c r="H22" s="813">
        <f t="shared" si="1"/>
        <v>233201.68191328249</v>
      </c>
      <c r="I22" s="813">
        <f t="shared" si="1"/>
        <v>40811.017122312667</v>
      </c>
      <c r="J22" s="813">
        <f t="shared" si="1"/>
        <v>0</v>
      </c>
      <c r="K22" s="813">
        <f t="shared" si="1"/>
        <v>0</v>
      </c>
      <c r="L22" s="813">
        <f t="shared" si="1"/>
        <v>0</v>
      </c>
      <c r="M22" s="813">
        <f t="shared" si="1"/>
        <v>0</v>
      </c>
      <c r="N22" s="813">
        <f t="shared" si="1"/>
        <v>14745.076165323995</v>
      </c>
      <c r="O22" s="813">
        <f t="shared" si="1"/>
        <v>0</v>
      </c>
      <c r="P22" s="813">
        <f t="shared" si="1"/>
        <v>0</v>
      </c>
      <c r="Q22" s="813">
        <f t="shared" si="1"/>
        <v>0</v>
      </c>
      <c r="R22" s="813">
        <f t="shared" si="1"/>
        <v>289673.3326879947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1147.1569</v>
      </c>
      <c r="D24" s="1025">
        <f>+landbouw!C8</f>
        <v>0</v>
      </c>
      <c r="E24" s="1025">
        <f>+landbouw!D8</f>
        <v>1150.2200030843539</v>
      </c>
      <c r="F24" s="1025">
        <f>+landbouw!E8</f>
        <v>10.625447681275764</v>
      </c>
      <c r="G24" s="1025">
        <f>+landbouw!F8</f>
        <v>2910.5555884651867</v>
      </c>
      <c r="H24" s="1025">
        <f>+landbouw!G8</f>
        <v>0</v>
      </c>
      <c r="I24" s="1025">
        <f>+landbouw!H8</f>
        <v>0</v>
      </c>
      <c r="J24" s="1025">
        <f>+landbouw!I8</f>
        <v>0</v>
      </c>
      <c r="K24" s="1025">
        <f>+landbouw!J8</f>
        <v>175.87195507836873</v>
      </c>
      <c r="L24" s="1025">
        <f>+landbouw!K8</f>
        <v>0</v>
      </c>
      <c r="M24" s="1025">
        <f>+landbouw!L8</f>
        <v>0</v>
      </c>
      <c r="N24" s="1025">
        <f>+landbouw!M8</f>
        <v>0</v>
      </c>
      <c r="O24" s="1025">
        <f>+landbouw!N8</f>
        <v>0</v>
      </c>
      <c r="P24" s="1025">
        <f>+landbouw!O8</f>
        <v>0</v>
      </c>
      <c r="Q24" s="1026">
        <f>+landbouw!P8</f>
        <v>0</v>
      </c>
      <c r="R24" s="701">
        <f>SUM(C24:Q24)</f>
        <v>5394.4298943091853</v>
      </c>
      <c r="S24" s="67"/>
    </row>
    <row r="25" spans="1:19" s="474" customFormat="1" ht="15" thickBot="1">
      <c r="A25" s="832" t="s">
        <v>864</v>
      </c>
      <c r="B25" s="1028"/>
      <c r="C25" s="1029">
        <f>IF(Onbekend_ele_kWh="---",0,Onbekend_ele_kWh)/1000+IF(REST_rest_ele_kWh="---",0,REST_rest_ele_kWh)/1000</f>
        <v>1137.31</v>
      </c>
      <c r="D25" s="1029"/>
      <c r="E25" s="1029">
        <f>IF(onbekend_gas_kWh="---",0,onbekend_gas_kWh)/1000+IF(REST_rest_gas_kWh="---",0,REST_rest_gas_kWh)/1000</f>
        <v>1385.2778069942501</v>
      </c>
      <c r="F25" s="1029"/>
      <c r="G25" s="1029"/>
      <c r="H25" s="1029"/>
      <c r="I25" s="1029"/>
      <c r="J25" s="1029"/>
      <c r="K25" s="1029"/>
      <c r="L25" s="1029"/>
      <c r="M25" s="1029"/>
      <c r="N25" s="1029"/>
      <c r="O25" s="1029"/>
      <c r="P25" s="1029"/>
      <c r="Q25" s="1030"/>
      <c r="R25" s="701">
        <f>SUM(C25:Q25)</f>
        <v>2522.5878069942501</v>
      </c>
      <c r="S25" s="67"/>
    </row>
    <row r="26" spans="1:19" s="474" customFormat="1" ht="15.75" thickBot="1">
      <c r="A26" s="706" t="s">
        <v>865</v>
      </c>
      <c r="B26" s="818"/>
      <c r="C26" s="813">
        <f>SUM(C24:C25)</f>
        <v>2284.4668999999999</v>
      </c>
      <c r="D26" s="813">
        <f t="shared" ref="D26:R26" si="2">SUM(D24:D25)</f>
        <v>0</v>
      </c>
      <c r="E26" s="813">
        <f t="shared" si="2"/>
        <v>2535.4978100786038</v>
      </c>
      <c r="F26" s="813">
        <f t="shared" si="2"/>
        <v>10.625447681275764</v>
      </c>
      <c r="G26" s="813">
        <f t="shared" si="2"/>
        <v>2910.5555884651867</v>
      </c>
      <c r="H26" s="813">
        <f t="shared" si="2"/>
        <v>0</v>
      </c>
      <c r="I26" s="813">
        <f t="shared" si="2"/>
        <v>0</v>
      </c>
      <c r="J26" s="813">
        <f t="shared" si="2"/>
        <v>0</v>
      </c>
      <c r="K26" s="813">
        <f t="shared" si="2"/>
        <v>175.87195507836873</v>
      </c>
      <c r="L26" s="813">
        <f t="shared" si="2"/>
        <v>0</v>
      </c>
      <c r="M26" s="813">
        <f t="shared" si="2"/>
        <v>0</v>
      </c>
      <c r="N26" s="813">
        <f t="shared" si="2"/>
        <v>0</v>
      </c>
      <c r="O26" s="813">
        <f t="shared" si="2"/>
        <v>0</v>
      </c>
      <c r="P26" s="813">
        <f t="shared" si="2"/>
        <v>0</v>
      </c>
      <c r="Q26" s="813">
        <f t="shared" si="2"/>
        <v>0</v>
      </c>
      <c r="R26" s="813">
        <f t="shared" si="2"/>
        <v>7917.0177013034354</v>
      </c>
      <c r="S26" s="67"/>
    </row>
    <row r="27" spans="1:19" s="474" customFormat="1" ht="17.25" thickTop="1" thickBot="1">
      <c r="A27" s="707" t="s">
        <v>116</v>
      </c>
      <c r="B27" s="806"/>
      <c r="C27" s="708">
        <f ca="1">C22+C16+C26</f>
        <v>96901.993190817593</v>
      </c>
      <c r="D27" s="708">
        <f t="shared" ref="D27:R27" ca="1" si="3">D22+D16+D26</f>
        <v>0</v>
      </c>
      <c r="E27" s="708">
        <f t="shared" ca="1" si="3"/>
        <v>77673.924437155438</v>
      </c>
      <c r="F27" s="708">
        <f t="shared" si="3"/>
        <v>7892.2490535686647</v>
      </c>
      <c r="G27" s="708">
        <f t="shared" ca="1" si="3"/>
        <v>95549.673700947751</v>
      </c>
      <c r="H27" s="708">
        <f t="shared" si="3"/>
        <v>233201.68191328249</v>
      </c>
      <c r="I27" s="708">
        <f t="shared" si="3"/>
        <v>40811.017122312667</v>
      </c>
      <c r="J27" s="708">
        <f t="shared" si="3"/>
        <v>0</v>
      </c>
      <c r="K27" s="708">
        <f t="shared" si="3"/>
        <v>9085.3276616627118</v>
      </c>
      <c r="L27" s="708">
        <f t="shared" si="3"/>
        <v>0</v>
      </c>
      <c r="M27" s="708">
        <f t="shared" ca="1" si="3"/>
        <v>0</v>
      </c>
      <c r="N27" s="708">
        <f t="shared" si="3"/>
        <v>14745.076165323995</v>
      </c>
      <c r="O27" s="708">
        <f t="shared" ca="1" si="3"/>
        <v>28361.67048529243</v>
      </c>
      <c r="P27" s="708">
        <f t="shared" si="3"/>
        <v>211.05</v>
      </c>
      <c r="Q27" s="708">
        <f t="shared" si="3"/>
        <v>629.20000000000005</v>
      </c>
      <c r="R27" s="708">
        <f t="shared" ca="1" si="3"/>
        <v>605062.86373036378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3744.1468303566962</v>
      </c>
      <c r="D40" s="1025">
        <f ca="1">tertiair!C20</f>
        <v>0</v>
      </c>
      <c r="E40" s="1025">
        <f ca="1">tertiair!D20</f>
        <v>3047.1212556714095</v>
      </c>
      <c r="F40" s="1025">
        <f>tertiair!E20</f>
        <v>38.724811942288113</v>
      </c>
      <c r="G40" s="1025">
        <f ca="1">tertiair!F20</f>
        <v>675.98596268821905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7505.9788606586126</v>
      </c>
    </row>
    <row r="41" spans="1:18">
      <c r="A41" s="823" t="s">
        <v>225</v>
      </c>
      <c r="B41" s="830"/>
      <c r="C41" s="1025">
        <f ca="1">huishoudens!B12</f>
        <v>8678.5727027826051</v>
      </c>
      <c r="D41" s="1025">
        <f ca="1">huishoudens!C12</f>
        <v>0</v>
      </c>
      <c r="E41" s="1025">
        <f>huishoudens!D12</f>
        <v>8637.6660283177025</v>
      </c>
      <c r="F41" s="1025">
        <f>huishoudens!E12</f>
        <v>1260.270816862243</v>
      </c>
      <c r="G41" s="1025">
        <f>huishoudens!F12</f>
        <v>14672.676143807843</v>
      </c>
      <c r="H41" s="1025">
        <f>huishoudens!G12</f>
        <v>0</v>
      </c>
      <c r="I41" s="1025">
        <f>huishoudens!H12</f>
        <v>0</v>
      </c>
      <c r="J41" s="1025">
        <f>huishoudens!I12</f>
        <v>0</v>
      </c>
      <c r="K41" s="1025">
        <f>huishoudens!J12</f>
        <v>3008.3247303307603</v>
      </c>
      <c r="L41" s="1025">
        <f>huishoudens!K12</f>
        <v>0</v>
      </c>
      <c r="M41" s="1025">
        <f>huishoudens!L12</f>
        <v>0</v>
      </c>
      <c r="N41" s="1025">
        <f>huishoudens!M12</f>
        <v>0</v>
      </c>
      <c r="O41" s="1025">
        <f>huishoudens!N12</f>
        <v>0</v>
      </c>
      <c r="P41" s="1025">
        <f>huishoudens!O12</f>
        <v>0</v>
      </c>
      <c r="Q41" s="775">
        <f>huishoudens!P12</f>
        <v>0</v>
      </c>
      <c r="R41" s="851">
        <f t="shared" ca="1" si="4"/>
        <v>36257.510422101157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6908.8763643974944</v>
      </c>
      <c r="D43" s="1025">
        <f ca="1">industrie!C22</f>
        <v>0</v>
      </c>
      <c r="E43" s="1025">
        <f>industrie!D22</f>
        <v>3471.9222606316553</v>
      </c>
      <c r="F43" s="1025">
        <f>industrie!E22</f>
        <v>315.1875429005492</v>
      </c>
      <c r="G43" s="1025">
        <f>industrie!F22</f>
        <v>9385.9824295367835</v>
      </c>
      <c r="H43" s="1025">
        <f>industrie!G22</f>
        <v>0</v>
      </c>
      <c r="I43" s="1025">
        <f>industrie!H22</f>
        <v>0</v>
      </c>
      <c r="J43" s="1025">
        <f>industrie!I22</f>
        <v>0</v>
      </c>
      <c r="K43" s="1025">
        <f>industrie!J22</f>
        <v>145.62258980009696</v>
      </c>
      <c r="L43" s="1025">
        <f>industrie!K22</f>
        <v>0</v>
      </c>
      <c r="M43" s="1025">
        <f>industrie!L22</f>
        <v>0</v>
      </c>
      <c r="N43" s="1025">
        <f>industrie!M22</f>
        <v>0</v>
      </c>
      <c r="O43" s="1025">
        <f>industrie!N22</f>
        <v>0</v>
      </c>
      <c r="P43" s="1025">
        <f>industrie!O22</f>
        <v>0</v>
      </c>
      <c r="Q43" s="775">
        <f>industrie!P22</f>
        <v>0</v>
      </c>
      <c r="R43" s="850">
        <f t="shared" ca="1" si="4"/>
        <v>20227.591187266578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19331.595897536798</v>
      </c>
      <c r="D46" s="733">
        <f t="shared" ref="D46:Q46" ca="1" si="5">SUM(D39:D45)</f>
        <v>0</v>
      </c>
      <c r="E46" s="733">
        <f t="shared" ca="1" si="5"/>
        <v>15156.709544620768</v>
      </c>
      <c r="F46" s="733">
        <f t="shared" si="5"/>
        <v>1614.1831717050804</v>
      </c>
      <c r="G46" s="733">
        <f t="shared" ca="1" si="5"/>
        <v>24734.644536032843</v>
      </c>
      <c r="H46" s="733">
        <f t="shared" si="5"/>
        <v>0</v>
      </c>
      <c r="I46" s="733">
        <f t="shared" si="5"/>
        <v>0</v>
      </c>
      <c r="J46" s="733">
        <f t="shared" si="5"/>
        <v>0</v>
      </c>
      <c r="K46" s="733">
        <f t="shared" si="5"/>
        <v>3153.9473201308574</v>
      </c>
      <c r="L46" s="733">
        <f t="shared" si="5"/>
        <v>0</v>
      </c>
      <c r="M46" s="733">
        <f t="shared" ca="1" si="5"/>
        <v>0</v>
      </c>
      <c r="N46" s="733">
        <f t="shared" si="5"/>
        <v>0</v>
      </c>
      <c r="O46" s="733">
        <f t="shared" ca="1" si="5"/>
        <v>0</v>
      </c>
      <c r="P46" s="733">
        <f t="shared" si="5"/>
        <v>0</v>
      </c>
      <c r="Q46" s="733">
        <f t="shared" si="5"/>
        <v>0</v>
      </c>
      <c r="R46" s="733">
        <f ca="1">SUM(R39:R45)</f>
        <v>63991.080470026354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290.1535712091698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290.1535712091698</v>
      </c>
    </row>
    <row r="50" spans="1:18">
      <c r="A50" s="826" t="s">
        <v>307</v>
      </c>
      <c r="B50" s="836"/>
      <c r="C50" s="704">
        <f ca="1">transport!B18</f>
        <v>8.1068430177247688</v>
      </c>
      <c r="D50" s="704">
        <f>transport!C18</f>
        <v>0</v>
      </c>
      <c r="E50" s="704">
        <f>transport!D18</f>
        <v>21.252634048753659</v>
      </c>
      <c r="F50" s="704">
        <f>transport!E18</f>
        <v>174.94538683135715</v>
      </c>
      <c r="G50" s="704">
        <f>transport!F18</f>
        <v>0</v>
      </c>
      <c r="H50" s="704">
        <f>transport!G18</f>
        <v>61974.695499637259</v>
      </c>
      <c r="I50" s="704">
        <f>transport!H18</f>
        <v>10161.943263455854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72340.943626990949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8.1068430177247688</v>
      </c>
      <c r="D52" s="733">
        <f t="shared" ref="D52:Q52" ca="1" si="6">SUM(D48:D51)</f>
        <v>0</v>
      </c>
      <c r="E52" s="733">
        <f t="shared" si="6"/>
        <v>21.252634048753659</v>
      </c>
      <c r="F52" s="733">
        <f t="shared" si="6"/>
        <v>174.94538683135715</v>
      </c>
      <c r="G52" s="733">
        <f t="shared" si="6"/>
        <v>0</v>
      </c>
      <c r="H52" s="733">
        <f t="shared" si="6"/>
        <v>62264.849070846431</v>
      </c>
      <c r="I52" s="733">
        <f t="shared" si="6"/>
        <v>10161.943263455854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72631.097198200121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234.47741990829337</v>
      </c>
      <c r="D54" s="704">
        <f ca="1">+landbouw!C12</f>
        <v>0</v>
      </c>
      <c r="E54" s="704">
        <f>+landbouw!D12</f>
        <v>232.3444406230395</v>
      </c>
      <c r="F54" s="704">
        <f>+landbouw!E12</f>
        <v>2.4119766236495987</v>
      </c>
      <c r="G54" s="704">
        <f>+landbouw!F12</f>
        <v>777.11834212020494</v>
      </c>
      <c r="H54" s="704">
        <f>+landbouw!G12</f>
        <v>0</v>
      </c>
      <c r="I54" s="704">
        <f>+landbouw!H12</f>
        <v>0</v>
      </c>
      <c r="J54" s="704">
        <f>+landbouw!I12</f>
        <v>0</v>
      </c>
      <c r="K54" s="704">
        <f>+landbouw!J12</f>
        <v>62.258672097742526</v>
      </c>
      <c r="L54" s="704">
        <f>+landbouw!K12</f>
        <v>0</v>
      </c>
      <c r="M54" s="704">
        <f>+landbouw!L12</f>
        <v>0</v>
      </c>
      <c r="N54" s="704">
        <f>+landbouw!M12</f>
        <v>0</v>
      </c>
      <c r="O54" s="704">
        <f>+landbouw!N12</f>
        <v>0</v>
      </c>
      <c r="P54" s="704">
        <f>+landbouw!O12</f>
        <v>0</v>
      </c>
      <c r="Q54" s="705">
        <f>+landbouw!P12</f>
        <v>0</v>
      </c>
      <c r="R54" s="732">
        <f ca="1">SUM(C54:Q54)</f>
        <v>1308.6108513729298</v>
      </c>
    </row>
    <row r="55" spans="1:18" ht="15" thickBot="1">
      <c r="A55" s="826" t="s">
        <v>864</v>
      </c>
      <c r="B55" s="836"/>
      <c r="C55" s="704">
        <f ca="1">C25*'EF ele_warmte'!B12</f>
        <v>232.46472599859803</v>
      </c>
      <c r="D55" s="704"/>
      <c r="E55" s="704">
        <f>E25*EF_CO2_aardgas</f>
        <v>279.82611701283855</v>
      </c>
      <c r="F55" s="704"/>
      <c r="G55" s="704"/>
      <c r="H55" s="704"/>
      <c r="I55" s="704"/>
      <c r="J55" s="704"/>
      <c r="K55" s="704"/>
      <c r="L55" s="704"/>
      <c r="M55" s="704"/>
      <c r="N55" s="704"/>
      <c r="O55" s="704"/>
      <c r="P55" s="704"/>
      <c r="Q55" s="705"/>
      <c r="R55" s="732">
        <f ca="1">SUM(C55:Q55)</f>
        <v>512.29084301143655</v>
      </c>
    </row>
    <row r="56" spans="1:18" ht="15.75" thickBot="1">
      <c r="A56" s="824" t="s">
        <v>865</v>
      </c>
      <c r="B56" s="837"/>
      <c r="C56" s="733">
        <f ca="1">SUM(C54:C55)</f>
        <v>466.94214590689137</v>
      </c>
      <c r="D56" s="733">
        <f t="shared" ref="D56:Q56" ca="1" si="7">SUM(D54:D55)</f>
        <v>0</v>
      </c>
      <c r="E56" s="733">
        <f t="shared" si="7"/>
        <v>512.17055763587803</v>
      </c>
      <c r="F56" s="733">
        <f t="shared" si="7"/>
        <v>2.4119766236495987</v>
      </c>
      <c r="G56" s="733">
        <f t="shared" si="7"/>
        <v>777.11834212020494</v>
      </c>
      <c r="H56" s="733">
        <f t="shared" si="7"/>
        <v>0</v>
      </c>
      <c r="I56" s="733">
        <f t="shared" si="7"/>
        <v>0</v>
      </c>
      <c r="J56" s="733">
        <f t="shared" si="7"/>
        <v>0</v>
      </c>
      <c r="K56" s="733">
        <f t="shared" si="7"/>
        <v>62.258672097742526</v>
      </c>
      <c r="L56" s="733">
        <f t="shared" si="7"/>
        <v>0</v>
      </c>
      <c r="M56" s="733">
        <f t="shared" si="7"/>
        <v>0</v>
      </c>
      <c r="N56" s="733">
        <f t="shared" si="7"/>
        <v>0</v>
      </c>
      <c r="O56" s="733">
        <f t="shared" si="7"/>
        <v>0</v>
      </c>
      <c r="P56" s="733">
        <f t="shared" si="7"/>
        <v>0</v>
      </c>
      <c r="Q56" s="734">
        <f t="shared" si="7"/>
        <v>0</v>
      </c>
      <c r="R56" s="735">
        <f ca="1">SUM(R54:R55)</f>
        <v>1820.9016943843662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19806.644886461414</v>
      </c>
      <c r="D61" s="741">
        <f t="shared" ref="D61:Q61" ca="1" si="8">D46+D52+D56</f>
        <v>0</v>
      </c>
      <c r="E61" s="741">
        <f t="shared" ca="1" si="8"/>
        <v>15690.132736305399</v>
      </c>
      <c r="F61" s="741">
        <f t="shared" si="8"/>
        <v>1791.5405351600873</v>
      </c>
      <c r="G61" s="741">
        <f t="shared" ca="1" si="8"/>
        <v>25511.762878153047</v>
      </c>
      <c r="H61" s="741">
        <f t="shared" si="8"/>
        <v>62264.849070846431</v>
      </c>
      <c r="I61" s="741">
        <f t="shared" si="8"/>
        <v>10161.943263455854</v>
      </c>
      <c r="J61" s="741">
        <f t="shared" si="8"/>
        <v>0</v>
      </c>
      <c r="K61" s="741">
        <f t="shared" si="8"/>
        <v>3216.2059922285998</v>
      </c>
      <c r="L61" s="741">
        <f t="shared" si="8"/>
        <v>0</v>
      </c>
      <c r="M61" s="741">
        <f t="shared" ca="1" si="8"/>
        <v>0</v>
      </c>
      <c r="N61" s="741">
        <f t="shared" si="8"/>
        <v>0</v>
      </c>
      <c r="O61" s="741">
        <f t="shared" ca="1" si="8"/>
        <v>0</v>
      </c>
      <c r="P61" s="741">
        <f t="shared" si="8"/>
        <v>0</v>
      </c>
      <c r="Q61" s="741">
        <f t="shared" si="8"/>
        <v>0</v>
      </c>
      <c r="R61" s="741">
        <f ca="1">R46+R52+R56</f>
        <v>138443.07936261085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0.20439873561174887</v>
      </c>
      <c r="D63" s="782">
        <f t="shared" ca="1" si="9"/>
        <v>0</v>
      </c>
      <c r="E63" s="1036">
        <f t="shared" ca="1" si="9"/>
        <v>0.20200000000000001</v>
      </c>
      <c r="F63" s="782">
        <f t="shared" si="9"/>
        <v>0.22700000000000006</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7279.1656502682335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7279.1656502682335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7279.1656502682335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7279.1656502682335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42459.03320687548</v>
      </c>
      <c r="C4" s="478">
        <f>huishoudens!C8</f>
        <v>0</v>
      </c>
      <c r="D4" s="478">
        <f>huishoudens!D8</f>
        <v>42760.722912463869</v>
      </c>
      <c r="E4" s="478">
        <f>huishoudens!E8</f>
        <v>5551.8538187764007</v>
      </c>
      <c r="F4" s="478">
        <f>huishoudens!F8</f>
        <v>54953.843235235363</v>
      </c>
      <c r="G4" s="478">
        <f>huishoudens!G8</f>
        <v>0</v>
      </c>
      <c r="H4" s="478">
        <f>huishoudens!H8</f>
        <v>0</v>
      </c>
      <c r="I4" s="478">
        <f>huishoudens!I8</f>
        <v>0</v>
      </c>
      <c r="J4" s="478">
        <f>huishoudens!J8</f>
        <v>8498.0924585614703</v>
      </c>
      <c r="K4" s="478">
        <f>huishoudens!K8</f>
        <v>0</v>
      </c>
      <c r="L4" s="478">
        <f>huishoudens!L8</f>
        <v>0</v>
      </c>
      <c r="M4" s="478">
        <f>huishoudens!M8</f>
        <v>0</v>
      </c>
      <c r="N4" s="478">
        <f>huishoudens!N8</f>
        <v>12450.247519769453</v>
      </c>
      <c r="O4" s="478">
        <f>huishoudens!O8</f>
        <v>204.79666666666668</v>
      </c>
      <c r="P4" s="479">
        <f>huishoudens!P8</f>
        <v>629.20000000000005</v>
      </c>
      <c r="Q4" s="480">
        <f>SUM(B4:P4)</f>
        <v>167507.78981834871</v>
      </c>
    </row>
    <row r="5" spans="1:17">
      <c r="A5" s="477" t="s">
        <v>156</v>
      </c>
      <c r="B5" s="478">
        <f ca="1">tertiair!B16</f>
        <v>16928.971100000002</v>
      </c>
      <c r="C5" s="478">
        <f ca="1">tertiair!C16</f>
        <v>0</v>
      </c>
      <c r="D5" s="478">
        <f ca="1">tertiair!D16</f>
        <v>15084.758691442619</v>
      </c>
      <c r="E5" s="478">
        <f>tertiair!E16</f>
        <v>170.59388520831766</v>
      </c>
      <c r="F5" s="478">
        <f ca="1">tertiair!F16</f>
        <v>2531.7826317910826</v>
      </c>
      <c r="G5" s="478">
        <f>tertiair!G16</f>
        <v>0</v>
      </c>
      <c r="H5" s="478">
        <f>tertiair!H16</f>
        <v>0</v>
      </c>
      <c r="I5" s="478">
        <f>tertiair!I16</f>
        <v>0</v>
      </c>
      <c r="J5" s="478">
        <f>tertiair!J16</f>
        <v>0</v>
      </c>
      <c r="K5" s="478">
        <f>tertiair!K16</f>
        <v>0</v>
      </c>
      <c r="L5" s="478">
        <f ca="1">tertiair!L16</f>
        <v>0</v>
      </c>
      <c r="M5" s="478">
        <f>tertiair!M16</f>
        <v>0</v>
      </c>
      <c r="N5" s="478">
        <f ca="1">tertiair!N16</f>
        <v>1601.203828896404</v>
      </c>
      <c r="O5" s="478">
        <f>tertiair!O16</f>
        <v>6.2533333333333339</v>
      </c>
      <c r="P5" s="479">
        <f>tertiair!P16</f>
        <v>0</v>
      </c>
      <c r="Q5" s="477">
        <f t="shared" ref="Q5:Q14" ca="1" si="0">SUM(B5:P5)</f>
        <v>36323.563470671761</v>
      </c>
    </row>
    <row r="6" spans="1:17">
      <c r="A6" s="477" t="s">
        <v>194</v>
      </c>
      <c r="B6" s="478">
        <f>'openbare verlichting'!B8</f>
        <v>1388.886</v>
      </c>
      <c r="C6" s="478"/>
      <c r="D6" s="478"/>
      <c r="E6" s="478"/>
      <c r="F6" s="478"/>
      <c r="G6" s="478"/>
      <c r="H6" s="478"/>
      <c r="I6" s="478"/>
      <c r="J6" s="478"/>
      <c r="K6" s="478"/>
      <c r="L6" s="478"/>
      <c r="M6" s="478"/>
      <c r="N6" s="478"/>
      <c r="O6" s="478"/>
      <c r="P6" s="479"/>
      <c r="Q6" s="477">
        <f t="shared" si="0"/>
        <v>1388.886</v>
      </c>
    </row>
    <row r="7" spans="1:17">
      <c r="A7" s="477" t="s">
        <v>112</v>
      </c>
      <c r="B7" s="478">
        <f>landbouw!B8</f>
        <v>1147.1569</v>
      </c>
      <c r="C7" s="478">
        <f>landbouw!C8</f>
        <v>0</v>
      </c>
      <c r="D7" s="478">
        <f>landbouw!D8</f>
        <v>1150.2200030843539</v>
      </c>
      <c r="E7" s="478">
        <f>landbouw!E8</f>
        <v>10.625447681275764</v>
      </c>
      <c r="F7" s="478">
        <f>landbouw!F8</f>
        <v>2910.5555884651867</v>
      </c>
      <c r="G7" s="478">
        <f>landbouw!G8</f>
        <v>0</v>
      </c>
      <c r="H7" s="478">
        <f>landbouw!H8</f>
        <v>0</v>
      </c>
      <c r="I7" s="478">
        <f>landbouw!I8</f>
        <v>0</v>
      </c>
      <c r="J7" s="478">
        <f>landbouw!J8</f>
        <v>175.87195507836873</v>
      </c>
      <c r="K7" s="478">
        <f>landbouw!K8</f>
        <v>0</v>
      </c>
      <c r="L7" s="478">
        <f>landbouw!L8</f>
        <v>0</v>
      </c>
      <c r="M7" s="478">
        <f>landbouw!M8</f>
        <v>0</v>
      </c>
      <c r="N7" s="478">
        <f>landbouw!N8</f>
        <v>0</v>
      </c>
      <c r="O7" s="478">
        <f>landbouw!O8</f>
        <v>0</v>
      </c>
      <c r="P7" s="479">
        <f>landbouw!P8</f>
        <v>0</v>
      </c>
      <c r="Q7" s="477">
        <f t="shared" si="0"/>
        <v>5394.4298943091853</v>
      </c>
    </row>
    <row r="8" spans="1:17">
      <c r="A8" s="477" t="s">
        <v>650</v>
      </c>
      <c r="B8" s="478">
        <f>industrie!B18</f>
        <v>33800.97408</v>
      </c>
      <c r="C8" s="478">
        <f>industrie!C18</f>
        <v>0</v>
      </c>
      <c r="D8" s="478">
        <f>industrie!D18</f>
        <v>17187.733963523046</v>
      </c>
      <c r="E8" s="478">
        <f>industrie!E18</f>
        <v>1388.4913784165162</v>
      </c>
      <c r="F8" s="478">
        <f>industrie!F18</f>
        <v>35153.492245456117</v>
      </c>
      <c r="G8" s="478">
        <f>industrie!G18</f>
        <v>0</v>
      </c>
      <c r="H8" s="478">
        <f>industrie!H18</f>
        <v>0</v>
      </c>
      <c r="I8" s="478">
        <f>industrie!I18</f>
        <v>0</v>
      </c>
      <c r="J8" s="478">
        <f>industrie!J18</f>
        <v>411.36324802287277</v>
      </c>
      <c r="K8" s="478">
        <f>industrie!K18</f>
        <v>0</v>
      </c>
      <c r="L8" s="478">
        <f>industrie!L18</f>
        <v>0</v>
      </c>
      <c r="M8" s="478">
        <f>industrie!M18</f>
        <v>0</v>
      </c>
      <c r="N8" s="478">
        <f>industrie!N18</f>
        <v>14310.219136626574</v>
      </c>
      <c r="O8" s="478">
        <f>industrie!O18</f>
        <v>0</v>
      </c>
      <c r="P8" s="479">
        <f>industrie!P18</f>
        <v>0</v>
      </c>
      <c r="Q8" s="477">
        <f t="shared" si="0"/>
        <v>102252.27405204512</v>
      </c>
    </row>
    <row r="9" spans="1:17" s="483" customFormat="1">
      <c r="A9" s="481" t="s">
        <v>571</v>
      </c>
      <c r="B9" s="482">
        <f>transport!B14</f>
        <v>39.661903942123935</v>
      </c>
      <c r="C9" s="482">
        <f>transport!C14</f>
        <v>0</v>
      </c>
      <c r="D9" s="482">
        <f>transport!D14</f>
        <v>105.21105964729533</v>
      </c>
      <c r="E9" s="482">
        <f>transport!E14</f>
        <v>770.68452348615483</v>
      </c>
      <c r="F9" s="482">
        <f>transport!F14</f>
        <v>0</v>
      </c>
      <c r="G9" s="482">
        <f>transport!G14</f>
        <v>232114.96441811707</v>
      </c>
      <c r="H9" s="482">
        <f>transport!H14</f>
        <v>40811.017122312667</v>
      </c>
      <c r="I9" s="482">
        <f>transport!I14</f>
        <v>0</v>
      </c>
      <c r="J9" s="482">
        <f>transport!J14</f>
        <v>0</v>
      </c>
      <c r="K9" s="482">
        <f>transport!K14</f>
        <v>0</v>
      </c>
      <c r="L9" s="482">
        <f>transport!L14</f>
        <v>0</v>
      </c>
      <c r="M9" s="482">
        <f>transport!M14</f>
        <v>14683.103834527341</v>
      </c>
      <c r="N9" s="482">
        <f>transport!N14</f>
        <v>0</v>
      </c>
      <c r="O9" s="482">
        <f>transport!O14</f>
        <v>0</v>
      </c>
      <c r="P9" s="482">
        <f>transport!P14</f>
        <v>0</v>
      </c>
      <c r="Q9" s="481">
        <f>SUM(B9:P9)</f>
        <v>288524.64286203263</v>
      </c>
    </row>
    <row r="10" spans="1:17">
      <c r="A10" s="477" t="s">
        <v>561</v>
      </c>
      <c r="B10" s="478">
        <f>transport!B54</f>
        <v>0</v>
      </c>
      <c r="C10" s="478">
        <f>transport!C54</f>
        <v>0</v>
      </c>
      <c r="D10" s="478">
        <f>transport!D54</f>
        <v>0</v>
      </c>
      <c r="E10" s="478">
        <f>transport!E54</f>
        <v>0</v>
      </c>
      <c r="F10" s="478">
        <f>transport!F54</f>
        <v>0</v>
      </c>
      <c r="G10" s="478">
        <f>transport!G54</f>
        <v>1086.7174951654299</v>
      </c>
      <c r="H10" s="478">
        <f>transport!H54</f>
        <v>0</v>
      </c>
      <c r="I10" s="478">
        <f>transport!I54</f>
        <v>0</v>
      </c>
      <c r="J10" s="478">
        <f>transport!J54</f>
        <v>0</v>
      </c>
      <c r="K10" s="478">
        <f>transport!K54</f>
        <v>0</v>
      </c>
      <c r="L10" s="478">
        <f>transport!L54</f>
        <v>0</v>
      </c>
      <c r="M10" s="478">
        <f>transport!M54</f>
        <v>61.972330796654049</v>
      </c>
      <c r="N10" s="478">
        <f>transport!N54</f>
        <v>0</v>
      </c>
      <c r="O10" s="478">
        <f>transport!O54</f>
        <v>0</v>
      </c>
      <c r="P10" s="479">
        <f>transport!P54</f>
        <v>0</v>
      </c>
      <c r="Q10" s="477">
        <f t="shared" si="0"/>
        <v>1148.6898259620839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1137.31</v>
      </c>
      <c r="C14" s="485"/>
      <c r="D14" s="485">
        <f>'SEAP template'!E25</f>
        <v>1385.2778069942501</v>
      </c>
      <c r="E14" s="485"/>
      <c r="F14" s="485"/>
      <c r="G14" s="485"/>
      <c r="H14" s="485"/>
      <c r="I14" s="485"/>
      <c r="J14" s="485"/>
      <c r="K14" s="485"/>
      <c r="L14" s="485"/>
      <c r="M14" s="485"/>
      <c r="N14" s="485"/>
      <c r="O14" s="485"/>
      <c r="P14" s="486"/>
      <c r="Q14" s="477">
        <f t="shared" si="0"/>
        <v>2522.5878069942501</v>
      </c>
    </row>
    <row r="15" spans="1:17" s="487" customFormat="1">
      <c r="A15" s="1051" t="s">
        <v>565</v>
      </c>
      <c r="B15" s="991">
        <f ca="1">SUM(B4:B14)</f>
        <v>96901.993190817593</v>
      </c>
      <c r="C15" s="991">
        <f t="shared" ref="C15:Q15" ca="1" si="1">SUM(C4:C14)</f>
        <v>0</v>
      </c>
      <c r="D15" s="991">
        <f t="shared" ca="1" si="1"/>
        <v>77673.924437155423</v>
      </c>
      <c r="E15" s="991">
        <f t="shared" si="1"/>
        <v>7892.2490535686647</v>
      </c>
      <c r="F15" s="991">
        <f t="shared" ca="1" si="1"/>
        <v>95549.673700947751</v>
      </c>
      <c r="G15" s="991">
        <f t="shared" si="1"/>
        <v>233201.68191328249</v>
      </c>
      <c r="H15" s="991">
        <f t="shared" si="1"/>
        <v>40811.017122312667</v>
      </c>
      <c r="I15" s="991">
        <f t="shared" si="1"/>
        <v>0</v>
      </c>
      <c r="J15" s="991">
        <f t="shared" si="1"/>
        <v>9085.3276616627118</v>
      </c>
      <c r="K15" s="991">
        <f t="shared" si="1"/>
        <v>0</v>
      </c>
      <c r="L15" s="991">
        <f t="shared" ca="1" si="1"/>
        <v>0</v>
      </c>
      <c r="M15" s="991">
        <f t="shared" si="1"/>
        <v>14745.076165323995</v>
      </c>
      <c r="N15" s="991">
        <f t="shared" ca="1" si="1"/>
        <v>28361.67048529243</v>
      </c>
      <c r="O15" s="991">
        <f t="shared" si="1"/>
        <v>211.05</v>
      </c>
      <c r="P15" s="991">
        <f t="shared" si="1"/>
        <v>629.20000000000005</v>
      </c>
      <c r="Q15" s="991">
        <f t="shared" ca="1" si="1"/>
        <v>605062.86373036366</v>
      </c>
    </row>
    <row r="17" spans="1:17">
      <c r="A17" s="488" t="s">
        <v>566</v>
      </c>
      <c r="B17" s="787">
        <f ca="1">huishoudens!B10</f>
        <v>0.20439873561174882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8678.5727027826051</v>
      </c>
      <c r="C22" s="478">
        <f t="shared" ref="C22:C32" ca="1" si="3">C4*$C$17</f>
        <v>0</v>
      </c>
      <c r="D22" s="478">
        <f t="shared" ref="D22:D32" si="4">D4*$D$17</f>
        <v>8637.6660283177025</v>
      </c>
      <c r="E22" s="478">
        <f t="shared" ref="E22:E32" si="5">E4*$E$17</f>
        <v>1260.270816862243</v>
      </c>
      <c r="F22" s="478">
        <f t="shared" ref="F22:F32" si="6">F4*$F$17</f>
        <v>14672.676143807843</v>
      </c>
      <c r="G22" s="478">
        <f t="shared" ref="G22:G32" si="7">G4*$G$17</f>
        <v>0</v>
      </c>
      <c r="H22" s="478">
        <f t="shared" ref="H22:H32" si="8">H4*$H$17</f>
        <v>0</v>
      </c>
      <c r="I22" s="478">
        <f t="shared" ref="I22:I32" si="9">I4*$I$17</f>
        <v>0</v>
      </c>
      <c r="J22" s="478">
        <f t="shared" ref="J22:J32" si="10">J4*$J$17</f>
        <v>3008.3247303307603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36257.510422101157</v>
      </c>
    </row>
    <row r="23" spans="1:17">
      <c r="A23" s="477" t="s">
        <v>156</v>
      </c>
      <c r="B23" s="478">
        <f t="shared" ca="1" si="2"/>
        <v>3460.2602880478371</v>
      </c>
      <c r="C23" s="478">
        <f t="shared" ca="1" si="3"/>
        <v>0</v>
      </c>
      <c r="D23" s="478">
        <f t="shared" ca="1" si="4"/>
        <v>3047.1212556714095</v>
      </c>
      <c r="E23" s="478">
        <f t="shared" si="5"/>
        <v>38.724811942288113</v>
      </c>
      <c r="F23" s="478">
        <f t="shared" ca="1" si="6"/>
        <v>675.98596268821905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7222.0923183497534</v>
      </c>
    </row>
    <row r="24" spans="1:17">
      <c r="A24" s="477" t="s">
        <v>194</v>
      </c>
      <c r="B24" s="478">
        <f t="shared" ca="1" si="2"/>
        <v>283.88654230885936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283.88654230885936</v>
      </c>
    </row>
    <row r="25" spans="1:17">
      <c r="A25" s="477" t="s">
        <v>112</v>
      </c>
      <c r="B25" s="478">
        <f t="shared" ca="1" si="2"/>
        <v>234.47741990829337</v>
      </c>
      <c r="C25" s="478">
        <f t="shared" ca="1" si="3"/>
        <v>0</v>
      </c>
      <c r="D25" s="478">
        <f t="shared" si="4"/>
        <v>232.3444406230395</v>
      </c>
      <c r="E25" s="478">
        <f t="shared" si="5"/>
        <v>2.4119766236495987</v>
      </c>
      <c r="F25" s="478">
        <f t="shared" si="6"/>
        <v>777.11834212020494</v>
      </c>
      <c r="G25" s="478">
        <f t="shared" si="7"/>
        <v>0</v>
      </c>
      <c r="H25" s="478">
        <f t="shared" si="8"/>
        <v>0</v>
      </c>
      <c r="I25" s="478">
        <f t="shared" si="9"/>
        <v>0</v>
      </c>
      <c r="J25" s="478">
        <f t="shared" si="10"/>
        <v>62.258672097742526</v>
      </c>
      <c r="K25" s="478">
        <f t="shared" si="11"/>
        <v>0</v>
      </c>
      <c r="L25" s="478">
        <f t="shared" si="12"/>
        <v>0</v>
      </c>
      <c r="M25" s="478">
        <f t="shared" si="13"/>
        <v>0</v>
      </c>
      <c r="N25" s="478">
        <f t="shared" si="14"/>
        <v>0</v>
      </c>
      <c r="O25" s="478">
        <f t="shared" si="15"/>
        <v>0</v>
      </c>
      <c r="P25" s="479">
        <f t="shared" si="16"/>
        <v>0</v>
      </c>
      <c r="Q25" s="477">
        <f t="shared" ca="1" si="17"/>
        <v>1308.6108513729298</v>
      </c>
    </row>
    <row r="26" spans="1:17">
      <c r="A26" s="477" t="s">
        <v>650</v>
      </c>
      <c r="B26" s="478">
        <f t="shared" ca="1" si="2"/>
        <v>6908.8763643974944</v>
      </c>
      <c r="C26" s="478">
        <f t="shared" ca="1" si="3"/>
        <v>0</v>
      </c>
      <c r="D26" s="478">
        <f t="shared" si="4"/>
        <v>3471.9222606316553</v>
      </c>
      <c r="E26" s="478">
        <f t="shared" si="5"/>
        <v>315.1875429005492</v>
      </c>
      <c r="F26" s="478">
        <f t="shared" si="6"/>
        <v>9385.9824295367835</v>
      </c>
      <c r="G26" s="478">
        <f t="shared" si="7"/>
        <v>0</v>
      </c>
      <c r="H26" s="478">
        <f t="shared" si="8"/>
        <v>0</v>
      </c>
      <c r="I26" s="478">
        <f t="shared" si="9"/>
        <v>0</v>
      </c>
      <c r="J26" s="478">
        <f t="shared" si="10"/>
        <v>145.62258980009696</v>
      </c>
      <c r="K26" s="478">
        <f t="shared" si="11"/>
        <v>0</v>
      </c>
      <c r="L26" s="478">
        <f t="shared" si="12"/>
        <v>0</v>
      </c>
      <c r="M26" s="478">
        <f t="shared" si="13"/>
        <v>0</v>
      </c>
      <c r="N26" s="478">
        <f t="shared" si="14"/>
        <v>0</v>
      </c>
      <c r="O26" s="478">
        <f t="shared" si="15"/>
        <v>0</v>
      </c>
      <c r="P26" s="479">
        <f t="shared" si="16"/>
        <v>0</v>
      </c>
      <c r="Q26" s="477">
        <f t="shared" ca="1" si="17"/>
        <v>20227.591187266578</v>
      </c>
    </row>
    <row r="27" spans="1:17" s="483" customFormat="1">
      <c r="A27" s="481" t="s">
        <v>571</v>
      </c>
      <c r="B27" s="781">
        <f t="shared" ca="1" si="2"/>
        <v>8.1068430177247688</v>
      </c>
      <c r="C27" s="482">
        <f t="shared" ca="1" si="3"/>
        <v>0</v>
      </c>
      <c r="D27" s="482">
        <f t="shared" si="4"/>
        <v>21.252634048753659</v>
      </c>
      <c r="E27" s="482">
        <f t="shared" si="5"/>
        <v>174.94538683135715</v>
      </c>
      <c r="F27" s="482">
        <f t="shared" si="6"/>
        <v>0</v>
      </c>
      <c r="G27" s="482">
        <f t="shared" si="7"/>
        <v>61974.695499637259</v>
      </c>
      <c r="H27" s="482">
        <f t="shared" si="8"/>
        <v>10161.943263455854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72340.943626990949</v>
      </c>
    </row>
    <row r="28" spans="1:17">
      <c r="A28" s="477" t="s">
        <v>561</v>
      </c>
      <c r="B28" s="478">
        <f t="shared" ca="1" si="2"/>
        <v>0</v>
      </c>
      <c r="C28" s="478">
        <f t="shared" ca="1" si="3"/>
        <v>0</v>
      </c>
      <c r="D28" s="478">
        <f t="shared" si="4"/>
        <v>0</v>
      </c>
      <c r="E28" s="478">
        <f t="shared" si="5"/>
        <v>0</v>
      </c>
      <c r="F28" s="478">
        <f t="shared" si="6"/>
        <v>0</v>
      </c>
      <c r="G28" s="478">
        <f t="shared" si="7"/>
        <v>290.1535712091698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290.1535712091698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232.46472599859803</v>
      </c>
      <c r="C32" s="478">
        <f t="shared" ca="1" si="3"/>
        <v>0</v>
      </c>
      <c r="D32" s="478">
        <f t="shared" si="4"/>
        <v>279.82611701283855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512.29084301143655</v>
      </c>
    </row>
    <row r="33" spans="1:17" s="487" customFormat="1">
      <c r="A33" s="1051" t="s">
        <v>565</v>
      </c>
      <c r="B33" s="991">
        <f ca="1">SUM(B22:B32)</f>
        <v>19806.64488646141</v>
      </c>
      <c r="C33" s="991">
        <f t="shared" ref="C33:Q33" ca="1" si="18">SUM(C22:C32)</f>
        <v>0</v>
      </c>
      <c r="D33" s="991">
        <f t="shared" ca="1" si="18"/>
        <v>15690.132736305397</v>
      </c>
      <c r="E33" s="991">
        <f t="shared" si="18"/>
        <v>1791.5405351600873</v>
      </c>
      <c r="F33" s="991">
        <f t="shared" ca="1" si="18"/>
        <v>25511.762878153051</v>
      </c>
      <c r="G33" s="991">
        <f t="shared" si="18"/>
        <v>62264.849070846431</v>
      </c>
      <c r="H33" s="991">
        <f t="shared" si="18"/>
        <v>10161.943263455854</v>
      </c>
      <c r="I33" s="991">
        <f t="shared" si="18"/>
        <v>0</v>
      </c>
      <c r="J33" s="991">
        <f t="shared" si="18"/>
        <v>3216.2059922285998</v>
      </c>
      <c r="K33" s="991">
        <f t="shared" si="18"/>
        <v>0</v>
      </c>
      <c r="L33" s="991">
        <f t="shared" ca="1" si="18"/>
        <v>0</v>
      </c>
      <c r="M33" s="991">
        <f t="shared" si="18"/>
        <v>0</v>
      </c>
      <c r="N33" s="991">
        <f t="shared" ca="1" si="18"/>
        <v>0</v>
      </c>
      <c r="O33" s="991">
        <f t="shared" si="18"/>
        <v>0</v>
      </c>
      <c r="P33" s="991">
        <f t="shared" si="18"/>
        <v>0</v>
      </c>
      <c r="Q33" s="991">
        <f t="shared" ca="1" si="18"/>
        <v>138443.07936261082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7279.1656502682335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7279.1656502682335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0.20439873561174882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0.20439873561174882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2019-08-12T08:09:21Z</dcterms:modified>
</cp:coreProperties>
</file>