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74" i="14" s="1"/>
  <c r="B6" i="59" s="1"/>
  <c r="B5" i="18"/>
  <c r="B73" i="14" s="1"/>
  <c r="B5" i="59" s="1"/>
  <c r="B4" i="18"/>
  <c r="B72" i="14" s="1"/>
  <c r="B4" i="59" s="1"/>
  <c r="D5" i="17"/>
  <c r="B19" i="6"/>
  <c r="B18"/>
  <c r="B5"/>
  <c r="C29" i="14" s="1"/>
  <c r="B6" i="6"/>
  <c r="C64" i="14" s="1"/>
  <c r="P7" i="48"/>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K22" s="1"/>
  <c r="J20"/>
  <c r="G20"/>
  <c r="D20"/>
  <c r="Q19"/>
  <c r="P19"/>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R12"/>
  <c r="O32" i="48" l="1"/>
  <c r="O31"/>
  <c r="N78" i="14"/>
  <c r="N9" i="59"/>
  <c r="L90" i="14"/>
  <c r="L18" i="59"/>
  <c r="L20" s="1"/>
  <c r="I77" i="14"/>
  <c r="I9" i="59" s="1"/>
  <c r="I9" i="18"/>
  <c r="J22" i="14"/>
  <c r="Q14" i="48"/>
  <c r="H90" i="14"/>
  <c r="H18" i="59"/>
  <c r="H20" s="1"/>
  <c r="N10"/>
  <c r="K20"/>
  <c r="C98" i="18"/>
  <c r="B101" s="1"/>
  <c r="C8" s="1"/>
  <c r="P22" i="14"/>
  <c r="E20" i="59"/>
  <c r="L10" i="18"/>
  <c r="D20"/>
  <c r="L78" i="14"/>
  <c r="D14" i="48"/>
  <c r="K10" i="18"/>
  <c r="K78" i="14"/>
  <c r="B17" i="18"/>
  <c r="B20" s="1"/>
  <c r="M77" i="14"/>
  <c r="M9" i="59" s="1"/>
  <c r="H9" i="18"/>
  <c r="Q22" i="14"/>
  <c r="G10" i="59"/>
  <c r="L10"/>
  <c r="D22" i="14"/>
  <c r="L22"/>
  <c r="E10" i="59"/>
  <c r="B8" i="18"/>
  <c r="B10" s="1"/>
  <c r="F13" i="15"/>
  <c r="B13"/>
  <c r="N13"/>
  <c r="L13"/>
  <c r="F77" i="14"/>
  <c r="F9" i="59" s="1"/>
  <c r="I101" i="18"/>
  <c r="H8" s="1"/>
  <c r="E101"/>
  <c r="E8" s="1"/>
  <c r="F101"/>
  <c r="H101"/>
  <c r="D10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B89" i="14"/>
  <c r="B19" i="59" s="1"/>
  <c r="J17" i="18"/>
  <c r="G101"/>
  <c r="I8" s="1"/>
  <c r="C101"/>
  <c r="J8" s="1"/>
  <c r="O8" s="1"/>
  <c r="O10" s="1"/>
  <c r="C77" i="14"/>
  <c r="C9" i="59" s="1"/>
  <c r="J87" i="14"/>
  <c r="J20" i="18"/>
  <c r="H20"/>
  <c r="M87" i="14"/>
  <c r="F76"/>
  <c r="E10" i="18"/>
  <c r="C20"/>
  <c r="O17"/>
  <c r="O20" s="1"/>
  <c r="D87" i="14"/>
  <c r="D17" i="59" s="1"/>
  <c r="D20" s="1"/>
  <c r="H10" i="18"/>
  <c r="M76" i="14"/>
  <c r="B88"/>
  <c r="B18" i="59" s="1"/>
  <c r="I17" i="18"/>
  <c r="D76" i="14"/>
  <c r="D8" i="59" s="1"/>
  <c r="D10" s="1"/>
  <c r="C10" i="18"/>
  <c r="C88" i="14"/>
  <c r="C18" i="59" s="1"/>
  <c r="I10" i="18"/>
  <c r="I76" i="14"/>
  <c r="I8" i="59" s="1"/>
  <c r="I10" s="1"/>
  <c r="B77" i="14"/>
  <c r="B9" i="59" s="1"/>
  <c r="E20" i="18"/>
  <c r="F87" i="14"/>
  <c r="Q88"/>
  <c r="P18" i="59" s="1"/>
  <c r="H14" i="15"/>
  <c r="H16" s="1"/>
  <c r="G14"/>
  <c r="G16" s="1"/>
  <c r="I10" i="14" l="1"/>
  <c r="I16" s="1"/>
  <c r="H5" i="48"/>
  <c r="F90" i="14"/>
  <c r="F17" i="59"/>
  <c r="F20" s="1"/>
  <c r="H10" i="14"/>
  <c r="H16" s="1"/>
  <c r="G5" i="48"/>
  <c r="J90" i="14"/>
  <c r="J17" i="59"/>
  <c r="J20" s="1"/>
  <c r="M78" i="14"/>
  <c r="M8" i="59"/>
  <c r="M10" s="1"/>
  <c r="M90" i="14"/>
  <c r="M17" i="59"/>
  <c r="M20" s="1"/>
  <c r="F78" i="14"/>
  <c r="F8" i="59"/>
  <c r="F10" s="1"/>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32"/>
  <c r="J30"/>
  <c r="J27"/>
  <c r="J31"/>
  <c r="J29"/>
  <c r="J28"/>
  <c r="I32"/>
  <c r="I28"/>
  <c r="I22"/>
  <c r="I26"/>
  <c r="I31"/>
  <c r="I30"/>
  <c r="I25"/>
  <c r="I24"/>
  <c r="I29"/>
  <c r="I27"/>
  <c r="G32"/>
  <c r="G22"/>
  <c r="G30"/>
  <c r="G26"/>
  <c r="G24"/>
  <c r="G29"/>
  <c r="G25"/>
  <c r="G23"/>
  <c r="C11" i="14"/>
  <c r="B4" i="48"/>
  <c r="N24"/>
  <c r="N32"/>
  <c r="N30"/>
  <c r="N29"/>
  <c r="N27"/>
  <c r="N31"/>
  <c r="N28"/>
  <c r="C19" i="14"/>
  <c r="B10" i="48"/>
  <c r="E32"/>
  <c r="E31"/>
  <c r="E30"/>
  <c r="E29"/>
  <c r="E24"/>
  <c r="E28"/>
  <c r="M26"/>
  <c r="M32"/>
  <c r="M22"/>
  <c r="M29"/>
  <c r="M24"/>
  <c r="M25"/>
  <c r="M30"/>
  <c r="M23"/>
  <c r="B8" i="9"/>
  <c r="B6" i="48" s="1"/>
  <c r="Q6" s="1"/>
  <c r="K28"/>
  <c r="K32"/>
  <c r="K27"/>
  <c r="K30"/>
  <c r="K31"/>
  <c r="K26"/>
  <c r="K25"/>
  <c r="K24"/>
  <c r="K29"/>
  <c r="K22"/>
  <c r="Q11" i="14"/>
  <c r="P4" i="48"/>
  <c r="P11" i="14"/>
  <c r="O4" i="48"/>
  <c r="D4"/>
  <c r="D22" s="1"/>
  <c r="E11" i="14"/>
  <c r="H32" i="48"/>
  <c r="H29"/>
  <c r="H26"/>
  <c r="H25"/>
  <c r="H24"/>
  <c r="H22"/>
  <c r="H28"/>
  <c r="H30"/>
  <c r="H23"/>
  <c r="D11" i="14"/>
  <c r="C4" i="48"/>
  <c r="F24"/>
  <c r="F32"/>
  <c r="F29"/>
  <c r="F30"/>
  <c r="F31"/>
  <c r="F28"/>
  <c r="F27"/>
  <c r="K5"/>
  <c r="L10" i="14"/>
  <c r="L16" s="1"/>
  <c r="L27" s="1"/>
  <c r="D31" i="48"/>
  <c r="D30"/>
  <c r="D28"/>
  <c r="D24"/>
  <c r="D29"/>
  <c r="D32"/>
  <c r="L32"/>
  <c r="L28"/>
  <c r="L27"/>
  <c r="L24"/>
  <c r="L22"/>
  <c r="L29"/>
  <c r="L31"/>
  <c r="L30"/>
  <c r="Q10" i="14"/>
  <c r="P5" i="48"/>
  <c r="P23"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E20"/>
  <c r="E22" s="1"/>
  <c r="D9" i="48"/>
  <c r="D27" s="1"/>
  <c r="P10" i="14"/>
  <c r="O5" i="48"/>
  <c r="O23" s="1"/>
  <c r="J7"/>
  <c r="J25" s="1"/>
  <c r="K24" i="14"/>
  <c r="K26" s="1"/>
  <c r="O22" i="48"/>
  <c r="C22" i="14"/>
  <c r="B9" i="48"/>
  <c r="C20" i="14"/>
  <c r="M12" i="22"/>
  <c r="M13" i="48"/>
  <c r="M31" s="1"/>
  <c r="N18" i="14"/>
  <c r="J12" i="17"/>
  <c r="K54" i="14" s="1"/>
  <c r="K56" s="1"/>
  <c r="P22" i="16"/>
  <c r="Q43" i="14" s="1"/>
  <c r="Q13"/>
  <c r="P8" i="48"/>
  <c r="P26" s="1"/>
  <c r="K23"/>
  <c r="K15"/>
  <c r="J10" i="14"/>
  <c r="J16" s="1"/>
  <c r="J27" s="1"/>
  <c r="I5" i="48"/>
  <c r="P15"/>
  <c r="P22"/>
  <c r="P33" s="1"/>
  <c r="F20" i="14"/>
  <c r="F22" s="1"/>
  <c r="E9" i="48"/>
  <c r="E27" s="1"/>
  <c r="K33"/>
  <c r="Q16" i="14"/>
  <c r="Q27" s="1"/>
  <c r="Q63" s="1"/>
  <c r="J61"/>
  <c r="L63"/>
  <c r="G11"/>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31"/>
  <c r="Q13"/>
  <c r="N19" i="14"/>
  <c r="M10" i="48"/>
  <c r="M28" s="1"/>
  <c r="O22" i="16"/>
  <c r="P43" i="14" s="1"/>
  <c r="P13"/>
  <c r="O8" i="48"/>
  <c r="P46" i="14"/>
  <c r="P61" s="1"/>
  <c r="G14" i="22"/>
  <c r="I23" i="48"/>
  <c r="I33" s="1"/>
  <c r="I15"/>
  <c r="K11" i="14"/>
  <c r="J4" i="48"/>
  <c r="E7"/>
  <c r="E25" s="1"/>
  <c r="F24" i="14"/>
  <c r="F26" s="1"/>
  <c r="M14" i="22"/>
  <c r="H19" i="14"/>
  <c r="R19" s="1"/>
  <c r="G10" i="48"/>
  <c r="E12" i="13"/>
  <c r="F41" i="14" s="1"/>
  <c r="E4" i="48"/>
  <c r="F11" i="14"/>
  <c r="J63"/>
  <c r="P16"/>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O26" i="48"/>
  <c r="O33" s="1"/>
  <c r="O15"/>
  <c r="F10" i="14"/>
  <c r="E5" i="48"/>
  <c r="E23" s="1"/>
  <c r="E22"/>
  <c r="Q4"/>
  <c r="H20" i="14"/>
  <c r="G9" i="48"/>
  <c r="H9"/>
  <c r="I20" i="14"/>
  <c r="I22" s="1"/>
  <c r="I27" s="1"/>
  <c r="R11"/>
  <c r="N20"/>
  <c r="N22" s="1"/>
  <c r="N27" s="1"/>
  <c r="M9" i="48"/>
  <c r="J22"/>
  <c r="G28"/>
  <c r="Q10"/>
  <c r="K10" i="14"/>
  <c r="J5" i="48"/>
  <c r="J23" s="1"/>
  <c r="P63" i="14"/>
  <c r="M18" i="22"/>
  <c r="N50" i="14" s="1"/>
  <c r="N52" s="1"/>
  <c r="N61" s="1"/>
  <c r="N63" s="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M27"/>
  <c r="M33" s="1"/>
  <c r="M15"/>
  <c r="G27"/>
  <c r="G33" s="1"/>
  <c r="G15"/>
  <c r="Q9"/>
  <c r="H27"/>
  <c r="H33" s="1"/>
  <c r="H15"/>
  <c r="E22" i="16"/>
  <c r="F43" i="14" s="1"/>
  <c r="H22"/>
  <c r="H27" s="1"/>
  <c r="H63" s="1"/>
  <c r="R20"/>
  <c r="R22" s="1"/>
  <c r="J22" i="16"/>
  <c r="K43" i="14" s="1"/>
  <c r="K13"/>
  <c r="J8" i="48"/>
  <c r="K46" i="14"/>
  <c r="K61" s="1"/>
  <c r="K63" s="1"/>
  <c r="F46"/>
  <c r="F61" s="1"/>
  <c r="K16"/>
  <c r="K27" s="1"/>
  <c r="I63"/>
  <c r="O13"/>
  <c r="N8" i="48"/>
  <c r="N26" s="1"/>
  <c r="F8"/>
  <c r="G13" i="14"/>
  <c r="R13" l="1"/>
  <c r="E26" i="48"/>
  <c r="E33" s="1"/>
  <c r="E15"/>
  <c r="J26"/>
  <c r="J33" s="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<sst xmlns="http://schemas.openxmlformats.org/spreadsheetml/2006/main" count="2428" uniqueCount="913">
  <si>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</si>
  <si>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</si>
  <si>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</si>
  <si>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</si>
  <si>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</si>
  <si>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</si>
  <si>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</si>
  <si>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</si>
  <si>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</si>
  <si>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</si>
  <si>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</si>
  <si>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</si>
  <si>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</si>
  <si>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</si>
  <si>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</si>
  <si>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</si>
  <si>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</si>
  <si>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</si>
  <si>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</si>
  <si>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</si>
  <si>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</si>
  <si>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</si>
  <si>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</si>
  <si>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</si>
  <si>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</si>
  <si>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</si>
  <si>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</si>
  <si>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</si>
  <si>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</si>
  <si>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</si>
  <si>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</si>
  <si>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</si>
  <si>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</si>
  <si>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</si>
  <si>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</si>
  <si>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</si>
  <si>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</si>
  <si>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</si>
  <si>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</si>
  <si>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</si>
  <si>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</si>
  <si>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</si>
  <si>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</si>
  <si>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</si>
  <si>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</si>
  <si>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</si>
  <si>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</si>
  <si>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</si>
  <si>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</si>
  <si>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</si>
  <si>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</si>
  <si>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</si>
  <si>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</si>
  <si>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</si>
  <si>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</si>
  <si>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</si>
  <si>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</si>
  <si>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</si>
  <si>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</si>
  <si>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</si>
  <si>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</si>
  <si>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</si>
  <si>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</si>
  <si>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</si>
  <si>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</si>
  <si>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</si>
  <si>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</si>
  <si>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</si>
  <si>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</si>
  <si>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</si>
  <si>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</si>
  <si>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</si>
  <si>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</si>
  <si>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</si>
  <si>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</si>
  <si>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</si>
  <si>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</si>
  <si>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</si>
  <si>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</si>
  <si>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</si>
  <si>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</si>
  <si>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</si>
  <si>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</si>
  <si>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</si>
  <si>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</si>
  <si>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</si>
  <si>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</si>
  <si>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</si>
  <si>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</si>
  <si>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</si>
  <si>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</si>
  <si>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</si>
  <si>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</si>
  <si>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</si>
  <si>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</si>
  <si>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</si>
  <si>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</si>
  <si>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</si>
  <si>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</si>
  <si>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</si>
  <si>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</si>
  <si>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</si>
  <si>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</si>
  <si>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</si>
  <si>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</si>
  <si>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</si>
  <si>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</si>
  <si>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</si>
  <si>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</si>
  <si>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</si>
  <si>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</si>
  <si>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</si>
  <si>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</si>
  <si>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</si>
  <si>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</si>
  <si>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</si>
  <si>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</si>
  <si>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</si>
  <si>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</si>
  <si>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</si>
  <si>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</si>
  <si>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</si>
  <si>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</si>
  <si>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</si>
  <si>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</si>
  <si>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</si>
  <si>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</si>
  <si>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</si>
  <si>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</si>
  <si>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</si>
  <si>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</si>
  <si>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</si>
  <si>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</si>
  <si>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</si>
  <si>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</si>
  <si>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</si>
  <si>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</si>
  <si>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</si>
  <si>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</si>
  <si>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</si>
  <si>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</si>
  <si>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</si>
  <si>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</si>
  <si>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</si>
  <si>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</si>
  <si>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</si>
  <si>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</si>
  <si>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</si>
  <si>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</si>
  <si>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</si>
  <si>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</si>
  <si>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</si>
  <si>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</si>
  <si>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</si>
  <si>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</si>
  <si>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</si>
  <si>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</si>
  <si>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</si>
  <si>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</si>
  <si>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</si>
  <si>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</si>
  <si>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</si>
  <si>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</si>
  <si>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</si>
  <si>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</si>
  <si>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</si>
  <si>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</si>
  <si>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</si>
  <si>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</si>
  <si>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</si>
  <si>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</si>
  <si>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</si>
  <si>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</si>
  <si>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</si>
  <si>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</si>
  <si>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</si>
  <si>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</si>
  <si>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</si>
  <si>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</si>
  <si>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</si>
  <si>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</si>
  <si>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</si>
  <si>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</si>
  <si>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</si>
  <si>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</si>
  <si>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</si>
  <si>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</si>
  <si>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</si>
  <si>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</si>
  <si>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</si>
  <si>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</si>
  <si>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</si>
  <si>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</si>
  <si>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</si>
  <si>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</si>
  <si>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</si>
  <si>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</si>
  <si>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</si>
  <si>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</si>
  <si>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</si>
  <si>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</si>
  <si>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</si>
  <si>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</si>
  <si>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</si>
  <si>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</si>
  <si>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</si>
  <si>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</si>
  <si>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</si>
  <si>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</si>
  <si>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</si>
  <si>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</si>
  <si>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</si>
  <si>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</si>
  <si>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</si>
  <si>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</si>
  <si>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</si>
  <si>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</si>
  <si>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</si>
  <si>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</si>
  <si>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</si>
  <si>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</si>
  <si>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</si>
  <si>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</si>
  <si>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</si>
  <si>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</si>
  <si>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</si>
  <si>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</si>
  <si>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</si>
  <si>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</si>
  <si>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</si>
  <si>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</si>
  <si>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</si>
  <si>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</si>
  <si>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</si>
  <si>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</si>
  <si>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</si>
  <si>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</si>
  <si>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</si>
  <si>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</si>
  <si>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</si>
  <si>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</si>
  <si>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</si>
  <si>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</si>
  <si>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</si>
  <si>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</si>
  <si>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</si>
  <si>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</si>
  <si>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</si>
  <si>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</si>
  <si>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</si>
  <si>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</si>
  <si>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</si>
  <si>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</si>
  <si>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</si>
  <si>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</si>
  <si>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</si>
  <si>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</si>
  <si>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</si>
  <si>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</si>
  <si>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</si>
  <si>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</si>
  <si>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</si>
  <si>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</si>
  <si>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</si>
  <si>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</si>
  <si>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</si>
  <si>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</si>
  <si>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</si>
  <si>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</si>
  <si>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</si>
  <si>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</si>
  <si>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</si>
  <si>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</si>
  <si>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</si>
  <si>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</si>
  <si>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</si>
  <si>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</si>
  <si>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</si>
  <si>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</si>
  <si>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</si>
  <si>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</si>
  <si>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</si>
  <si>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</si>
  <si>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</si>
  <si>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</si>
  <si>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</si>
  <si>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</si>
  <si>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</si>
  <si>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</si>
  <si>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</si>
  <si>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</si>
  <si>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</si>
  <si>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</si>
  <si>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</si>
  <si>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</si>
  <si>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</si>
  <si>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</si>
  <si>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</si>
  <si>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</si>
  <si>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</si>
  <si>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</si>
  <si>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</si>
  <si>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</si>
  <si>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</si>
  <si>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</si>
  <si>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</si>
  <si>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</si>
  <si>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</si>
  <si>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</si>
  <si>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</si>
  <si>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</si>
  <si>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</si>
  <si>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</si>
  <si>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</si>
  <si>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</si>
  <si>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</si>
  <si>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</si>
  <si>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</si>
  <si>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</si>
  <si>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</si>
  <si>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</si>
  <si>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</si>
  <si>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</si>
  <si>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</si>
  <si>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</si>
  <si>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</si>
  <si>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</si>
  <si>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</si>
  <si>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</si>
  <si>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</si>
  <si>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</si>
  <si>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</si>
  <si>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</si>
  <si>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</si>
  <si>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</si>
  <si>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</si>
  <si>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</si>
  <si>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</si>
  <si>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</si>
  <si>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</si>
  <si>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</si>
  <si>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</si>
  <si>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</si>
  <si>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</si>
  <si>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</si>
  <si>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</si>
  <si>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</si>
  <si>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</si>
  <si>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</si>
  <si>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</si>
  <si>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</si>
  <si>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</si>
  <si>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</si>
  <si>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</si>
  <si>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</si>
  <si>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</si>
  <si>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</si>
  <si>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</si>
  <si>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</si>
  <si>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</si>
  <si>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</si>
  <si>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</si>
  <si>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</si>
  <si>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</si>
  <si>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</si>
  <si>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</si>
  <si>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</si>
  <si>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</si>
  <si>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</si>
  <si>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</si>
  <si>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</si>
  <si>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</si>
  <si>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</si>
  <si>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</si>
  <si>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</si>
  <si>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</si>
  <si>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</si>
  <si>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</si>
  <si>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</si>
  <si>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</si>
  <si>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</si>
  <si>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</si>
  <si>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</si>
  <si>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</si>
  <si>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</si>
  <si>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</si>
  <si>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</si>
  <si>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</si>
  <si>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</si>
  <si>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</si>
  <si>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</si>
  <si>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</si>
  <si>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</si>
  <si>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</si>
  <si>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</si>
  <si>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</si>
  <si>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</si>
  <si>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</si>
  <si>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</si>
  <si>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</si>
  <si>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</si>
  <si>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</si>
  <si>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</si>
  <si>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</si>
  <si>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</si>
  <si>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</si>
  <si>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</si>
  <si>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</si>
  <si>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</si>
  <si>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</si>
  <si>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</si>
  <si>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</si>
  <si>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</si>
  <si>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</si>
  <si>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</si>
  <si>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</si>
  <si>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</si>
  <si>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</si>
  <si>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</si>
  <si>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</si>
  <si>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</si>
  <si>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</si>
  <si>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</si>
  <si>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</si>
  <si>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</si>
  <si>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</si>
  <si>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</si>
  <si>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</si>
  <si>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</si>
  <si>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</si>
  <si>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</si>
  <si>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</si>
  <si>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</si>
  <si>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</si>
  <si>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</si>
  <si>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</si>
  <si>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</si>
  <si>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</si>
  <si>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</si>
  <si>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</si>
  <si>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</si>
  <si>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</si>
  <si>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</si>
  <si>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</si>
  <si>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</si>
  <si>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</si>
  <si>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</si>
  <si>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</si>
  <si>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</si>
  <si>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</si>
  <si>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</si>
  <si>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</si>
  <si>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</si>
  <si>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</si>
  <si>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</si>
  <si>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</si>
  <si>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</si>
  <si>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</si>
  <si>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</si>
  <si>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</si>
  <si>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</si>
  <si>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</si>
  <si>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</si>
  <si>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</si>
  <si>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</si>
  <si>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</si>
  <si>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</si>
  <si>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</si>
  <si>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</si>
  <si>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</si>
  <si>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</si>
  <si>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</si>
  <si>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</si>
  <si>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</si>
  <si>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</si>
  <si>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</si>
  <si>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</si>
  <si>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</si>
  <si>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</si>
  <si>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</si>
  <si>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</si>
  <si>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</si>
  <si>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</si>
  <si>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</si>
  <si>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</si>
  <si>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</si>
  <si>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</si>
  <si>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</si>
  <si>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</si>
  <si>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</si>
  <si>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</si>
  <si>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</si>
  <si>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</si>
  <si>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</si>
  <si>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</si>
  <si>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</si>
  <si>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</si>
  <si>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</si>
  <si>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</si>
  <si>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</si>
  <si>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</si>
  <si>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</si>
  <si>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</si>
  <si>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</si>
  <si>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</si>
  <si>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</si>
  <si>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</si>
  <si>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</si>
  <si>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</si>
  <si>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</si>
  <si>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</si>
  <si>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</si>
  <si>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</si>
  <si>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</si>
  <si>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</si>
  <si>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</si>
  <si>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</si>
  <si>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</si>
  <si>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</si>
  <si>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</si>
  <si>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</si>
  <si>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</si>
  <si>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</si>
  <si>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</si>
  <si>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</si>
  <si>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</si>
  <si>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</si>
  <si>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</si>
  <si>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</si>
  <si>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</si>
  <si>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</si>
  <si>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</si>
  <si>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</si>
  <si>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</si>
  <si>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</si>
  <si>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</si>
  <si>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</si>
  <si>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</si>
  <si>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</si>
  <si>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</si>
  <si>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</si>
  <si>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</si>
  <si>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</si>
  <si>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</si>
  <si>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</si>
  <si>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</si>
  <si>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</si>
  <si>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</si>
  <si>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</si>
  <si>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</si>
  <si>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</si>
  <si>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</si>
  <si>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</si>
  <si>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</si>
  <si>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</si>
  <si>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</si>
  <si>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</si>
  <si>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</si>
  <si>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</si>
  <si>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</si>
  <si>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</si>
  <si>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</si>
  <si>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</si>
  <si>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</si>
  <si>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</si>
  <si>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</si>
  <si>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</si>
  <si>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</si>
  <si>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</si>
  <si>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</si>
  <si>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</si>
  <si>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</si>
  <si>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</si>
  <si>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</si>
  <si>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</si>
  <si>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</si>
  <si>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</si>
  <si>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</si>
  <si>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</si>
  <si>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</si>
  <si>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</si>
  <si>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</si>
  <si>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</si>
  <si>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</si>
  <si>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</si>
  <si>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</si>
  <si>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</si>
  <si>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</si>
  <si>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</si>
  <si>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</si>
  <si>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</si>
  <si>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</si>
  <si>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</si>
  <si>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</si>
  <si>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</si>
  <si>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</si>
  <si>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</si>
  <si>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</si>
  <si>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</si>
  <si>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</si>
  <si>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</si>
  <si>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</si>
  <si>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</si>
  <si>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</si>
  <si>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</si>
  <si>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</si>
  <si>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</si>
  <si>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</si>
  <si>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</si>
  <si>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</si>
  <si>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</si>
  <si>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</si>
  <si>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</si>
  <si>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</si>
  <si>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</si>
  <si>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</si>
  <si>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</si>
  <si>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</si>
  <si>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</si>
  <si>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</si>
  <si>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</si>
  <si>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</si>
  <si>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</si>
  <si>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</si>
  <si>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</si>
  <si>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</si>
  <si>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</si>
  <si>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</si>
  <si>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</si>
  <si>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</si>
  <si>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</si>
  <si>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</si>
  <si>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</si>
  <si>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</si>
  <si>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</si>
  <si>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</si>
  <si>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</si>
  <si>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</si>
  <si>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</si>
  <si>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</si>
  <si>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</si>
  <si>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</si>
  <si>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</si>
  <si>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</si>
  <si>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</si>
  <si>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</si>
  <si>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</si>
  <si>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</si>
  <si>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</si>
  <si>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</si>
  <si>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</si>
  <si>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</si>
  <si>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</si>
  <si>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</si>
  <si>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</si>
  <si>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</si>
  <si>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</si>
  <si>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</si>
  <si>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</si>
  <si>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</si>
  <si>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</si>
  <si>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</si>
  <si>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</si>
  <si>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</si>
  <si>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</si>
  <si>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</si>
  <si>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</si>
  <si>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</si>
  <si>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</si>
  <si>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</si>
  <si>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</si>
  <si>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</si>
  <si>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</si>
  <si>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</si>
  <si>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</si>
  <si>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</si>
  <si>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</si>
  <si>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</si>
  <si>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</si>
  <si>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</si>
  <si>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</si>
  <si>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</si>
  <si>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</si>
  <si>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</si>
  <si>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</si>
  <si>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</si>
  <si>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</si>
  <si>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</si>
  <si>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</si>
  <si>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</si>
  <si>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</si>
  <si>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</si>
  <si>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</si>
  <si>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</si>
  <si>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</si>
  <si>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</si>
  <si>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</si>
  <si>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</si>
  <si>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</si>
  <si>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</si>
  <si>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</si>
  <si>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</si>
  <si>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</si>
  <si>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</si>
  <si>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</si>
  <si>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</si>
  <si>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</si>
  <si>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</si>
  <si>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</si>
  <si>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</si>
  <si>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</si>
  <si>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</si>
  <si>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</si>
  <si>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</si>
  <si>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</si>
  <si>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</si>
  <si>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</si>
  <si>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</si>
  <si>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</si>
  <si>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</si>
  <si>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</si>
  <si>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</si>
  <si>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</si>
  <si>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</si>
  <si>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</si>
  <si>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</si>
  <si>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</si>
  <si>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</si>
  <si>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</si>
  <si>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</si>
  <si>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</si>
  <si>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</si>
  <si>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</si>
  <si>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</si>
  <si>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</si>
  <si>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</si>
  <si>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</si>
  <si>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</si>
  <si>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</si>
  <si>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</si>
  <si>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</si>
  <si>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</si>
  <si>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</si>
  <si>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</si>
  <si>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</si>
  <si>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</si>
  <si>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</si>
  <si>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</si>
  <si>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</si>
  <si>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</si>
  <si>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</si>
  <si>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</si>
  <si>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</si>
  <si>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</si>
  <si>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</si>
  <si>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</si>
  <si>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</si>
  <si>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</si>
  <si>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</si>
  <si>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</si>
  <si>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</si>
  <si>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</si>
  <si>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</si>
  <si>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</si>
  <si>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</si>
  <si>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</si>
  <si>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</si>
  <si>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</si>
  <si>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</si>
  <si>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</si>
  <si>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</si>
  <si>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</si>
  <si>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</si>
  <si>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</si>
  <si>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</si>
  <si>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</si>
  <si>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</si>
  <si>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</si>
  <si>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</si>
  <si>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</si>
  <si>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</si>
  <si>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</si>
  <si>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</si>
  <si>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</si>
  <si>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</si>
  <si>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</si>
  <si>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</si>
  <si>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</si>
  <si>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</si>
  <si>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</si>
  <si>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</si>
  <si>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</si>
  <si>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</si>
  <si>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</si>
  <si>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</si>
  <si>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</si>
  <si>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</si>
  <si>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</si>
  <si>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</si>
  <si>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</si>
  <si>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</si>
  <si>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</si>
  <si>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</si>
  <si>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</si>
  <si>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</si>
  <si>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</si>
  <si>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</si>
  <si>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</si>
  <si>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</si>
  <si>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</si>
  <si>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</si>
  <si>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</si>
  <si>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</si>
  <si>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</si>
  <si>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</si>
  <si>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</si>
  <si>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</si>
  <si>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</si>
  <si>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</si>
  <si>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</si>
  <si>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</si>
  <si>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</si>
  <si>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</si>
  <si>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</si>
  <si>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</si>
  <si>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</si>
  <si>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</si>
  <si>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</si>
  <si>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</si>
  <si>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</si>
  <si>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</si>
  <si>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</si>
  <si>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</si>
  <si>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</si>
  <si>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</si>
  <si>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</si>
  <si>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</si>
  <si>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</si>
  <si>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</si>
  <si>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</si>
  <si>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</si>
  <si>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</si>
  <si>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</si>
  <si>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</si>
  <si>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</si>
  <si>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</si>
  <si>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</si>
  <si>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</si>
  <si>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</si>
  <si>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</si>
  <si>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</si>
  <si>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</si>
  <si>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</si>
  <si>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</si>
  <si>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</si>
  <si>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</si>
  <si>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</si>
  <si>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</si>
  <si>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</si>
  <si>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</si>
  <si>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</si>
  <si>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</si>
  <si>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</si>
  <si>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</si>
  <si>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</si>
  <si>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</si>
  <si>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</si>
  <si>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</si>
  <si>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</si>
  <si>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</si>
  <si>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</si>
  <si>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</si>
  <si>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</si>
  <si>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</si>
  <si>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</si>
  <si>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</si>
  <si>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</si>
  <si>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</si>
  <si>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</si>
  <si>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</si>
  <si>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</si>
  <si>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</si>
  <si>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</si>
  <si>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</si>
  <si>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</si>
  <si>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</si>
  <si>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</si>
  <si>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</si>
  <si>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</si>
  <si>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</si>
  <si>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</si>
  <si>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</si>
  <si>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</si>
  <si>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</si>
  <si>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</si>
  <si>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</si>
  <si>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</si>
  <si>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</si>
  <si>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</si>
  <si>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41081</t>
  </si>
  <si>
    <t>ZOTTEGEM</t>
  </si>
  <si>
    <t>Paarden&amp;pony's 200 - 600 kg</t>
  </si>
  <si>
    <t>Paarden&amp;pony's &lt; 200 kg</t>
  </si>
  <si>
    <t>referentietaak LNE (2017); Jaarverslag De Lijn (2014)</t>
  </si>
  <si>
    <t>op basis van VEA (maart 2018) en Inventaris Hernieuwbare Energiebronnen (juni 2018)</t>
  </si>
  <si>
    <t>VEA (maart 2016)</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</si>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</sst>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210093.13383211565</c:v>
                </c:pt>
                <c:pt idx="1">
                  <c:v>77700.762035012158</c:v>
                </c:pt>
                <c:pt idx="2">
                  <c:v>1845.421</c:v>
                </c:pt>
                <c:pt idx="3">
                  <c:v>3801.2783205083038</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210093.13383211565</c:v>
                </c:pt>
                <c:pt idx="1">
                  <c:v>77700.762035012158</c:v>
                </c:pt>
                <c:pt idx="2">
                  <c:v>1845.421</c:v>
                </c:pt>
                <c:pt idx="3">
                  <c:v>3801.2783205083038</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44356.177673418591</c:v>
                </c:pt>
                <c:pt idx="2">
                  <c:v>15947.64635949261</c:v>
                </c:pt>
                <c:pt idx="3">
                  <c:v>385.6344275158736</c:v>
                </c:pt>
                <c:pt idx="4">
                  <c:v>961.32517622501405</c:v>
                </c:pt>
                <c:pt idx="5">
                  <c:v>16269.634855614664</c:v>
                </c:pt>
                <c:pt idx="6">
                  <c:v>31140.816245738435</c:v>
                </c:pt>
                <c:pt idx="7">
                  <c:v>564.085786968702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0416"/>
        <c:axId val="174146304"/>
      </c:barChart>
      <c:catAx>
        <c:axId val="174140416"/>
        <c:scaling>
          <c:orientation val="minMax"/>
        </c:scaling>
        <c:axPos val="b"/>
        <c:numFmt formatCode="General" sourceLinked="0"/>
        <c:tickLblPos val="nextTo"/>
        <c:crossAx val="174146304"/>
        <c:crosses val="autoZero"/>
        <c:auto val="1"/>
        <c:lblAlgn val="ctr"/>
        <c:lblOffset val="100"/>
      </c:catAx>
      <c:valAx>
        <c:axId val="174146304"/>
        <c:scaling>
          <c:orientation val="minMax"/>
        </c:scaling>
        <c:axPos val="l"/>
        <c:majorGridlines/>
        <c:numFmt formatCode="#,##0" sourceLinked="1"/>
        <c:tickLblPos val="nextTo"/>
        <c:crossAx val="174140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44356.177673418591</c:v>
                </c:pt>
                <c:pt idx="2">
                  <c:v>15947.64635949261</c:v>
                </c:pt>
                <c:pt idx="3">
                  <c:v>385.6344275158736</c:v>
                </c:pt>
                <c:pt idx="4">
                  <c:v>961.32517622501405</c:v>
                </c:pt>
                <c:pt idx="5">
                  <c:v>16269.634855614664</c:v>
                </c:pt>
                <c:pt idx="6">
                  <c:v>31140.816245738435</c:v>
                </c:pt>
                <c:pt idx="7">
                  <c:v>564.085786968702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41081</v>
      </c>
      <c r="B6" s="416"/>
      <c r="C6" s="417"/>
    </row>
    <row r="7" spans="1:7" s="414" customFormat="1" ht="15.75" customHeight="1">
      <c r="A7" s="418" t="str">
        <f>txtMunicipality</f>
        <v>ZOTTEGEM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0.20896826659926032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0.20896826659926032</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11212</v>
      </c>
      <c r="C9" s="342">
        <v>11286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3179</v>
      </c>
    </row>
    <row r="15" spans="1:6">
      <c r="A15" s="348" t="s">
        <v>184</v>
      </c>
      <c r="B15" s="334">
        <v>20</v>
      </c>
    </row>
    <row r="16" spans="1:6">
      <c r="A16" s="348" t="s">
        <v>6</v>
      </c>
      <c r="B16" s="334">
        <v>843</v>
      </c>
    </row>
    <row r="17" spans="1:6">
      <c r="A17" s="348" t="s">
        <v>7</v>
      </c>
      <c r="B17" s="334">
        <v>737</v>
      </c>
    </row>
    <row r="18" spans="1:6">
      <c r="A18" s="348" t="s">
        <v>8</v>
      </c>
      <c r="B18" s="334">
        <v>1074</v>
      </c>
    </row>
    <row r="19" spans="1:6">
      <c r="A19" s="348" t="s">
        <v>9</v>
      </c>
      <c r="B19" s="334">
        <v>915</v>
      </c>
    </row>
    <row r="20" spans="1:6">
      <c r="A20" s="348" t="s">
        <v>10</v>
      </c>
      <c r="B20" s="334">
        <v>763</v>
      </c>
    </row>
    <row r="21" spans="1:6">
      <c r="A21" s="348" t="s">
        <v>11</v>
      </c>
      <c r="B21" s="334">
        <v>0</v>
      </c>
    </row>
    <row r="22" spans="1:6">
      <c r="A22" s="348" t="s">
        <v>12</v>
      </c>
      <c r="B22" s="334">
        <v>51</v>
      </c>
    </row>
    <row r="23" spans="1:6">
      <c r="A23" s="348" t="s">
        <v>13</v>
      </c>
      <c r="B23" s="334">
        <v>0</v>
      </c>
    </row>
    <row r="24" spans="1:6">
      <c r="A24" s="348" t="s">
        <v>14</v>
      </c>
      <c r="B24" s="334">
        <v>0</v>
      </c>
    </row>
    <row r="25" spans="1:6">
      <c r="A25" s="348" t="s">
        <v>15</v>
      </c>
      <c r="B25" s="334">
        <v>0</v>
      </c>
    </row>
    <row r="26" spans="1:6">
      <c r="A26" s="348" t="s">
        <v>16</v>
      </c>
      <c r="B26" s="334">
        <v>61</v>
      </c>
    </row>
    <row r="27" spans="1:6">
      <c r="A27" s="348" t="s">
        <v>17</v>
      </c>
      <c r="B27" s="334">
        <v>0</v>
      </c>
    </row>
    <row r="28" spans="1:6" s="356" customFormat="1">
      <c r="A28" s="355" t="s">
        <v>18</v>
      </c>
      <c r="B28" s="355">
        <v>0</v>
      </c>
    </row>
    <row r="29" spans="1:6">
      <c r="A29" s="355" t="s">
        <v>901</v>
      </c>
      <c r="B29" s="355">
        <v>202</v>
      </c>
      <c r="C29" s="356"/>
      <c r="D29" s="356"/>
      <c r="E29" s="356"/>
      <c r="F29" s="356"/>
    </row>
    <row r="30" spans="1:6">
      <c r="A30" s="341" t="s">
        <v>902</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4372</v>
      </c>
    </row>
    <row r="39" spans="1:6">
      <c r="A39" s="348" t="s">
        <v>30</v>
      </c>
      <c r="B39" s="348" t="s">
        <v>31</v>
      </c>
      <c r="C39" s="334">
        <v>5601</v>
      </c>
      <c r="D39" s="334">
        <v>77854343.247267902</v>
      </c>
      <c r="E39" s="334">
        <v>11313</v>
      </c>
      <c r="F39" s="334">
        <v>49456815</v>
      </c>
    </row>
    <row r="40" spans="1:6">
      <c r="A40" s="348" t="s">
        <v>30</v>
      </c>
      <c r="B40" s="348" t="s">
        <v>29</v>
      </c>
      <c r="C40" s="334">
        <v>0</v>
      </c>
      <c r="D40" s="334">
        <v>0</v>
      </c>
      <c r="E40" s="334">
        <v>1</v>
      </c>
      <c r="F40" s="334">
        <v>25715.3</v>
      </c>
    </row>
    <row r="41" spans="1:6">
      <c r="A41" s="348" t="s">
        <v>32</v>
      </c>
      <c r="B41" s="348" t="s">
        <v>33</v>
      </c>
      <c r="C41" s="334">
        <v>67</v>
      </c>
      <c r="D41" s="334">
        <v>1347620.97713099</v>
      </c>
      <c r="E41" s="334">
        <v>206</v>
      </c>
      <c r="F41" s="334">
        <v>16507327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309875</v>
      </c>
    </row>
    <row r="45" spans="1:6">
      <c r="A45" s="348" t="s">
        <v>32</v>
      </c>
      <c r="B45" s="348" t="s">
        <v>37</v>
      </c>
      <c r="C45" s="334">
        <v>0</v>
      </c>
      <c r="D45" s="334">
        <v>0</v>
      </c>
      <c r="E45" s="334">
        <v>15</v>
      </c>
      <c r="F45" s="334">
        <v>243850.8</v>
      </c>
    </row>
    <row r="46" spans="1:6">
      <c r="A46" s="348" t="s">
        <v>32</v>
      </c>
      <c r="B46" s="348" t="s">
        <v>38</v>
      </c>
      <c r="C46" s="334">
        <v>0</v>
      </c>
      <c r="D46" s="334">
        <v>0</v>
      </c>
      <c r="E46" s="334">
        <v>0</v>
      </c>
      <c r="F46" s="334">
        <v>0</v>
      </c>
    </row>
    <row r="47" spans="1:6">
      <c r="A47" s="348" t="s">
        <v>32</v>
      </c>
      <c r="B47" s="348" t="s">
        <v>39</v>
      </c>
      <c r="C47" s="334">
        <v>3</v>
      </c>
      <c r="D47" s="334">
        <v>695966.34173734998</v>
      </c>
      <c r="E47" s="334">
        <v>4</v>
      </c>
      <c r="F47" s="334">
        <v>431656</v>
      </c>
    </row>
    <row r="48" spans="1:6">
      <c r="A48" s="348" t="s">
        <v>32</v>
      </c>
      <c r="B48" s="348" t="s">
        <v>29</v>
      </c>
      <c r="C48" s="334">
        <v>30</v>
      </c>
      <c r="D48" s="334">
        <v>4572267.9955714103</v>
      </c>
      <c r="E48" s="334">
        <v>32</v>
      </c>
      <c r="F48" s="334">
        <v>8170299</v>
      </c>
    </row>
    <row r="49" spans="1:6">
      <c r="A49" s="348" t="s">
        <v>32</v>
      </c>
      <c r="B49" s="348" t="s">
        <v>40</v>
      </c>
      <c r="C49" s="334">
        <v>0</v>
      </c>
      <c r="D49" s="334">
        <v>0</v>
      </c>
      <c r="E49" s="334">
        <v>7</v>
      </c>
      <c r="F49" s="334">
        <v>94208.09</v>
      </c>
    </row>
    <row r="50" spans="1:6">
      <c r="A50" s="348" t="s">
        <v>32</v>
      </c>
      <c r="B50" s="348" t="s">
        <v>41</v>
      </c>
      <c r="C50" s="334">
        <v>19</v>
      </c>
      <c r="D50" s="334">
        <v>2471949.69362472</v>
      </c>
      <c r="E50" s="334">
        <v>27</v>
      </c>
      <c r="F50" s="334">
        <v>5647970</v>
      </c>
    </row>
    <row r="51" spans="1:6">
      <c r="A51" s="348" t="s">
        <v>42</v>
      </c>
      <c r="B51" s="348" t="s">
        <v>43</v>
      </c>
      <c r="C51" s="334">
        <v>8</v>
      </c>
      <c r="D51" s="334">
        <v>82405.668257361307</v>
      </c>
      <c r="E51" s="334">
        <v>88</v>
      </c>
      <c r="F51" s="334">
        <v>908673.7</v>
      </c>
    </row>
    <row r="52" spans="1:6">
      <c r="A52" s="348" t="s">
        <v>42</v>
      </c>
      <c r="B52" s="348" t="s">
        <v>29</v>
      </c>
      <c r="C52" s="334">
        <v>4</v>
      </c>
      <c r="D52" s="334">
        <v>71141.436409843707</v>
      </c>
      <c r="E52" s="334">
        <v>5</v>
      </c>
      <c r="F52" s="334">
        <v>81329.649999999994</v>
      </c>
    </row>
    <row r="53" spans="1:6">
      <c r="A53" s="348" t="s">
        <v>44</v>
      </c>
      <c r="B53" s="348" t="s">
        <v>45</v>
      </c>
      <c r="C53" s="334">
        <v>160</v>
      </c>
      <c r="D53" s="334">
        <v>4471750.5713903904</v>
      </c>
      <c r="E53" s="334">
        <v>442</v>
      </c>
      <c r="F53" s="334">
        <v>1739015</v>
      </c>
    </row>
    <row r="54" spans="1:6">
      <c r="A54" s="348" t="s">
        <v>46</v>
      </c>
      <c r="B54" s="348" t="s">
        <v>47</v>
      </c>
      <c r="C54" s="334">
        <v>0</v>
      </c>
      <c r="D54" s="334">
        <v>0</v>
      </c>
      <c r="E54" s="334">
        <v>1</v>
      </c>
      <c r="F54" s="334">
        <v>1845421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2652783.2499112501</v>
      </c>
      <c r="E57" s="334">
        <v>130</v>
      </c>
      <c r="F57" s="334">
        <v>2197989</v>
      </c>
    </row>
    <row r="58" spans="1:6">
      <c r="A58" s="348" t="s">
        <v>49</v>
      </c>
      <c r="B58" s="348" t="s">
        <v>51</v>
      </c>
      <c r="C58" s="334">
        <v>26</v>
      </c>
      <c r="D58" s="334">
        <v>11958074.0530909</v>
      </c>
      <c r="E58" s="334">
        <v>53</v>
      </c>
      <c r="F58" s="334">
        <v>8486654</v>
      </c>
    </row>
    <row r="59" spans="1:6">
      <c r="A59" s="348" t="s">
        <v>49</v>
      </c>
      <c r="B59" s="348" t="s">
        <v>52</v>
      </c>
      <c r="C59" s="334">
        <v>132</v>
      </c>
      <c r="D59" s="334">
        <v>5346089.6678454997</v>
      </c>
      <c r="E59" s="334">
        <v>338</v>
      </c>
      <c r="F59" s="334">
        <v>13482110</v>
      </c>
    </row>
    <row r="60" spans="1:6">
      <c r="A60" s="348" t="s">
        <v>49</v>
      </c>
      <c r="B60" s="348" t="s">
        <v>53</v>
      </c>
      <c r="C60" s="334">
        <v>87</v>
      </c>
      <c r="D60" s="334">
        <v>3894124.8247390399</v>
      </c>
      <c r="E60" s="334">
        <v>141</v>
      </c>
      <c r="F60" s="334">
        <v>3072678</v>
      </c>
    </row>
    <row r="61" spans="1:6">
      <c r="A61" s="348" t="s">
        <v>49</v>
      </c>
      <c r="B61" s="348" t="s">
        <v>54</v>
      </c>
      <c r="C61" s="334">
        <v>161</v>
      </c>
      <c r="D61" s="334">
        <v>8045505.2056734404</v>
      </c>
      <c r="E61" s="334">
        <v>386</v>
      </c>
      <c r="F61" s="334">
        <v>4795310</v>
      </c>
    </row>
    <row r="62" spans="1:6">
      <c r="A62" s="348" t="s">
        <v>49</v>
      </c>
      <c r="B62" s="348" t="s">
        <v>55</v>
      </c>
      <c r="C62" s="334">
        <v>16</v>
      </c>
      <c r="D62" s="334">
        <v>2733542.24299102</v>
      </c>
      <c r="E62" s="334">
        <v>24</v>
      </c>
      <c r="F62" s="334">
        <v>845730.9</v>
      </c>
    </row>
    <row r="63" spans="1:6">
      <c r="A63" s="348" t="s">
        <v>49</v>
      </c>
      <c r="B63" s="348" t="s">
        <v>29</v>
      </c>
      <c r="C63" s="334">
        <v>112</v>
      </c>
      <c r="D63" s="334">
        <v>5069611.6580785504</v>
      </c>
      <c r="E63" s="334">
        <v>107</v>
      </c>
      <c r="F63" s="334">
        <v>2238235</v>
      </c>
    </row>
    <row r="64" spans="1:6">
      <c r="A64" s="348" t="s">
        <v>56</v>
      </c>
      <c r="B64" s="348" t="s">
        <v>57</v>
      </c>
      <c r="C64" s="334">
        <v>0</v>
      </c>
      <c r="D64" s="334">
        <v>0</v>
      </c>
      <c r="E64" s="334">
        <v>0</v>
      </c>
      <c r="F64" s="334">
        <v>0</v>
      </c>
    </row>
    <row r="65" spans="1:6">
      <c r="A65" s="348" t="s">
        <v>56</v>
      </c>
      <c r="B65" s="348" t="s">
        <v>29</v>
      </c>
      <c r="C65" s="334">
        <v>3</v>
      </c>
      <c r="D65" s="334">
        <v>236170.28419689101</v>
      </c>
      <c r="E65" s="334">
        <v>2</v>
      </c>
      <c r="F65" s="334">
        <v>17372.63</v>
      </c>
    </row>
    <row r="66" spans="1:6">
      <c r="A66" s="348" t="s">
        <v>56</v>
      </c>
      <c r="B66" s="348" t="s">
        <v>58</v>
      </c>
      <c r="C66" s="334">
        <v>0</v>
      </c>
      <c r="D66" s="334">
        <v>0</v>
      </c>
      <c r="E66" s="334">
        <v>12</v>
      </c>
      <c r="F66" s="334">
        <v>267226.3</v>
      </c>
    </row>
    <row r="67" spans="1:6">
      <c r="A67" s="355" t="s">
        <v>56</v>
      </c>
      <c r="B67" s="355" t="s">
        <v>59</v>
      </c>
      <c r="C67" s="334">
        <v>0</v>
      </c>
      <c r="D67" s="334">
        <v>0</v>
      </c>
      <c r="E67" s="334">
        <v>0</v>
      </c>
      <c r="F67" s="334">
        <v>0</v>
      </c>
    </row>
    <row r="68" spans="1:6">
      <c r="A68" s="341" t="s">
        <v>56</v>
      </c>
      <c r="B68" s="341" t="s">
        <v>60</v>
      </c>
      <c r="C68" s="334">
        <v>3</v>
      </c>
      <c r="D68" s="334">
        <v>81855.752887562296</v>
      </c>
      <c r="E68" s="334">
        <v>9</v>
      </c>
      <c r="F68" s="334">
        <v>25337.279999999999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93438821</v>
      </c>
      <c r="E73" s="476">
        <v>105097554.35719962</v>
      </c>
    </row>
    <row r="74" spans="1:6">
      <c r="A74" s="348" t="s">
        <v>64</v>
      </c>
      <c r="B74" s="348" t="s">
        <v>714</v>
      </c>
      <c r="C74" s="1311" t="s">
        <v>716</v>
      </c>
      <c r="D74" s="476">
        <v>8460309.0485588871</v>
      </c>
      <c r="E74" s="476">
        <v>9387239.2708573136</v>
      </c>
    </row>
    <row r="75" spans="1:6">
      <c r="A75" s="348" t="s">
        <v>65</v>
      </c>
      <c r="B75" s="348" t="s">
        <v>713</v>
      </c>
      <c r="C75" s="1311" t="s">
        <v>717</v>
      </c>
      <c r="D75" s="476">
        <v>44286044</v>
      </c>
      <c r="E75" s="476">
        <v>49845134.778035618</v>
      </c>
    </row>
    <row r="76" spans="1:6">
      <c r="A76" s="348" t="s">
        <v>65</v>
      </c>
      <c r="B76" s="348" t="s">
        <v>714</v>
      </c>
      <c r="C76" s="1311" t="s">
        <v>718</v>
      </c>
      <c r="D76" s="476">
        <v>1885524.0485588876</v>
      </c>
      <c r="E76" s="476">
        <v>2085911.1433472196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596753.90288222465</v>
      </c>
      <c r="C83" s="476">
        <v>605475.91965217714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9.8618834080717495</v>
      </c>
    </row>
    <row r="90" spans="1:6">
      <c r="A90" s="348" t="s">
        <v>559</v>
      </c>
      <c r="B90" s="1308">
        <v>0</v>
      </c>
    </row>
    <row r="91" spans="1:6">
      <c r="A91" s="348" t="s">
        <v>68</v>
      </c>
      <c r="B91" s="334">
        <v>4173.1706200482249</v>
      </c>
    </row>
    <row r="92" spans="1:6">
      <c r="A92" s="341" t="s">
        <v>69</v>
      </c>
      <c r="B92" s="342">
        <v>2785.070406362986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40</v>
      </c>
      <c r="C123" s="334">
        <v>37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1</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126122.90873773885</v>
      </c>
      <c r="C3" s="43" t="s">
        <v>170</v>
      </c>
      <c r="D3" s="43"/>
      <c r="E3" s="154"/>
      <c r="F3" s="43"/>
      <c r="G3" s="43"/>
      <c r="H3" s="43"/>
      <c r="I3" s="43"/>
      <c r="J3" s="43"/>
      <c r="K3" s="96"/>
    </row>
    <row r="4" spans="1:11">
      <c r="A4" s="384" t="s">
        <v>171</v>
      </c>
      <c r="B4" s="49">
        <f>IF(ISERROR('SEAP template'!B78+'SEAP template'!C78),0,'SEAP template'!B78+'SEAP template'!C78)</f>
        <v>8318.102909819283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320.82352941176475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0.20896826659926032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458.31932773109253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1928.5714285714287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1845.421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1845.421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0.20896826659926032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385.6344275158736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49482.530299999999</v>
      </c>
      <c r="C5" s="17">
        <f>IF(ISERROR('Eigen informatie GS &amp; warmtenet'!B57),0,'Eigen informatie GS &amp; warmtenet'!B57)</f>
        <v>0</v>
      </c>
      <c r="D5" s="30">
        <f>(SUM(HH_hh_gas_kWh,HH_rest_gas_kWh)/1000)*0.902</f>
        <v>70224.617609035646</v>
      </c>
      <c r="E5" s="17">
        <f>B46*B57</f>
        <v>5546.0405546471575</v>
      </c>
      <c r="F5" s="17">
        <f>B51*B62</f>
        <v>56179.74423555551</v>
      </c>
      <c r="G5" s="18"/>
      <c r="H5" s="17"/>
      <c r="I5" s="17"/>
      <c r="J5" s="17">
        <f>B50*B61+C50*C61</f>
        <v>7625.7717095038352</v>
      </c>
      <c r="K5" s="17"/>
      <c r="L5" s="17"/>
      <c r="M5" s="17"/>
      <c r="N5" s="17">
        <f>B48*B59+C48*C59</f>
        <v>15347.698803325266</v>
      </c>
      <c r="O5" s="17">
        <f>B69*B70*B71</f>
        <v>331.42666666666673</v>
      </c>
      <c r="P5" s="17">
        <f>B77*B78*B79/1000-B77*B78*B79/1000/B80</f>
        <v>1182.1333333333332</v>
      </c>
    </row>
    <row r="6" spans="1:16">
      <c r="A6" s="16" t="s">
        <v>631</v>
      </c>
      <c r="B6" s="789">
        <f>kWh_PV_kleiner_dan_10kW</f>
        <v>4173.1706200482249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53655.700920048221</v>
      </c>
      <c r="C8" s="21">
        <f>C5</f>
        <v>0</v>
      </c>
      <c r="D8" s="21">
        <f>D5</f>
        <v>70224.617609035646</v>
      </c>
      <c r="E8" s="21">
        <f>E5</f>
        <v>5546.0405546471575</v>
      </c>
      <c r="F8" s="21">
        <f>F5</f>
        <v>56179.74423555551</v>
      </c>
      <c r="G8" s="21"/>
      <c r="H8" s="21"/>
      <c r="I8" s="21"/>
      <c r="J8" s="21">
        <f>J5</f>
        <v>7625.7717095038352</v>
      </c>
      <c r="K8" s="21"/>
      <c r="L8" s="21">
        <f>L5</f>
        <v>0</v>
      </c>
      <c r="M8" s="21">
        <f>M5</f>
        <v>0</v>
      </c>
      <c r="N8" s="21">
        <f>N5</f>
        <v>15347.698803325266</v>
      </c>
      <c r="O8" s="21">
        <f>O5</f>
        <v>331.42666666666673</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0.20896826659926032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11212.338814430814</v>
      </c>
      <c r="C12" s="23">
        <f ca="1">C10*C8</f>
        <v>0</v>
      </c>
      <c r="D12" s="23">
        <f>D8*D10</f>
        <v>14185.372757025201</v>
      </c>
      <c r="E12" s="23">
        <f>E10*E8</f>
        <v>1258.9512059049048</v>
      </c>
      <c r="F12" s="23">
        <f>F10*F8</f>
        <v>14999.991710893322</v>
      </c>
      <c r="G12" s="23"/>
      <c r="H12" s="23"/>
      <c r="I12" s="23"/>
      <c r="J12" s="23">
        <f>J10*J8</f>
        <v>2699.5231851643575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11212</v>
      </c>
      <c r="C28" s="36"/>
      <c r="D28" s="228"/>
    </row>
    <row r="29" spans="1:7" s="15" customFormat="1">
      <c r="A29" s="230" t="s">
        <v>741</v>
      </c>
      <c r="B29" s="37">
        <f>SUM(HH_hh_gas_aantal,HH_rest_gas_aantal)</f>
        <v>5601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5601</v>
      </c>
      <c r="C32" s="167">
        <f>IF(ISERROR(B32/SUM($B$32,$B$34,$B$35,$B$36,$B$38,$B$39)*100),0,B32/SUM($B$32,$B$34,$B$35,$B$36,$B$38,$B$39)*100)</f>
        <v>50.233183856502237</v>
      </c>
      <c r="D32" s="233"/>
      <c r="G32" s="15"/>
    </row>
    <row r="33" spans="1:7">
      <c r="A33" s="171" t="s">
        <v>72</v>
      </c>
      <c r="B33" s="34" t="s">
        <v>111</v>
      </c>
      <c r="C33" s="167"/>
      <c r="D33" s="233"/>
      <c r="G33" s="15"/>
    </row>
    <row r="34" spans="1:7">
      <c r="A34" s="171" t="s">
        <v>73</v>
      </c>
      <c r="B34" s="33">
        <f>IF((($B$28-$B$32-$B$39-$B$77-$B$38)*C20/100)&lt;0,0,($B$28-$B$32-$B$39-$B$77-$B$38)*C20/100)</f>
        <v>371.70619235836625</v>
      </c>
      <c r="C34" s="167">
        <f>IF(ISERROR(B34/SUM($B$32,$B$34,$B$35,$B$36,$B$38,$B$39)*100),0,B34/SUM($B$32,$B$34,$B$35,$B$36,$B$38,$B$39)*100)</f>
        <v>3.3336878238418501</v>
      </c>
      <c r="D34" s="233"/>
      <c r="G34" s="15"/>
    </row>
    <row r="35" spans="1:7">
      <c r="A35" s="171" t="s">
        <v>74</v>
      </c>
      <c r="B35" s="33">
        <f>IF((($B$28-$B$32-$B$39-$B$77-$B$38)*C21/100)&lt;0,0,($B$28-$B$32-$B$39-$B$77-$B$38)*C21/100)</f>
        <v>2407.0487483530965</v>
      </c>
      <c r="C35" s="167">
        <f>IF(ISERROR(B35/SUM($B$32,$B$34,$B$35,$B$36,$B$38,$B$39)*100),0,B35/SUM($B$32,$B$34,$B$35,$B$36,$B$38,$B$39)*100)</f>
        <v>21.587881151148846</v>
      </c>
      <c r="D35" s="233"/>
      <c r="G35" s="15"/>
    </row>
    <row r="36" spans="1:7">
      <c r="A36" s="171" t="s">
        <v>75</v>
      </c>
      <c r="B36" s="33">
        <f>IF((($B$28-$B$32-$B$39-$B$77-$B$38)*C22/100)&lt;0,0,($B$28-$B$32-$B$39-$B$77-$B$38)*C22/100)</f>
        <v>271.2450592885375</v>
      </c>
      <c r="C36" s="167">
        <f>IF(ISERROR(B36/SUM($B$32,$B$34,$B$35,$B$36,$B$38,$B$39)*100),0,B36/SUM($B$32,$B$34,$B$35,$B$36,$B$38,$B$39)*100)</f>
        <v>2.4326911146954036</v>
      </c>
      <c r="D36" s="233"/>
      <c r="G36" s="15"/>
    </row>
    <row r="37" spans="1:7">
      <c r="A37" s="171" t="s">
        <v>76</v>
      </c>
      <c r="B37" s="34" t="s">
        <v>111</v>
      </c>
      <c r="C37" s="167"/>
      <c r="D37" s="173"/>
      <c r="G37" s="15"/>
    </row>
    <row r="38" spans="1:7">
      <c r="A38" s="171" t="s">
        <v>77</v>
      </c>
      <c r="B38" s="33">
        <f>IF((B24-(B29-B18)*0.1)&lt;0,0,B24-(B29-B18)*0.1)</f>
        <v>216.79999999999995</v>
      </c>
      <c r="C38" s="167">
        <f>IF(ISERROR(B38/SUM($B$32,$B$34,$B$35,$B$36,$B$38,$B$39)*100),0,B38/SUM($B$32,$B$34,$B$35,$B$36,$B$38,$B$39)*100)</f>
        <v>1.9443946188340802</v>
      </c>
      <c r="D38" s="234"/>
      <c r="G38" s="15"/>
    </row>
    <row r="39" spans="1:7">
      <c r="A39" s="171" t="s">
        <v>78</v>
      </c>
      <c r="B39" s="33">
        <f>IF((B25-(B29-B18))&lt;0,0,B25-(B29-B18)*0.9)</f>
        <v>2282.1999999999998</v>
      </c>
      <c r="C39" s="167">
        <f>IF(ISERROR(B39/SUM($B$32,$B$34,$B$35,$B$36,$B$38,$B$39)*100),0,B39/SUM($B$32,$B$34,$B$35,$B$36,$B$38,$B$39)*100)</f>
        <v>20.468161434977578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5601</v>
      </c>
      <c r="C44" s="34" t="s">
        <v>111</v>
      </c>
      <c r="D44" s="174"/>
    </row>
    <row r="45" spans="1:7">
      <c r="A45" s="171" t="s">
        <v>72</v>
      </c>
      <c r="B45" s="33" t="str">
        <f t="shared" si="0"/>
        <v>-</v>
      </c>
      <c r="C45" s="34" t="s">
        <v>111</v>
      </c>
      <c r="D45" s="174"/>
    </row>
    <row r="46" spans="1:7">
      <c r="A46" s="171" t="s">
        <v>73</v>
      </c>
      <c r="B46" s="33">
        <f t="shared" si="0"/>
        <v>371.70619235836625</v>
      </c>
      <c r="C46" s="34" t="s">
        <v>111</v>
      </c>
      <c r="D46" s="174"/>
    </row>
    <row r="47" spans="1:7">
      <c r="A47" s="171" t="s">
        <v>74</v>
      </c>
      <c r="B47" s="33">
        <f t="shared" si="0"/>
        <v>2407.0487483530965</v>
      </c>
      <c r="C47" s="34" t="s">
        <v>111</v>
      </c>
      <c r="D47" s="174"/>
    </row>
    <row r="48" spans="1:7">
      <c r="A48" s="171" t="s">
        <v>75</v>
      </c>
      <c r="B48" s="33">
        <f t="shared" si="0"/>
        <v>271.2450592885375</v>
      </c>
      <c r="C48" s="33">
        <f>B48*10</f>
        <v>2712.450592885375</v>
      </c>
      <c r="D48" s="234"/>
    </row>
    <row r="49" spans="1:6">
      <c r="A49" s="171" t="s">
        <v>76</v>
      </c>
      <c r="B49" s="33" t="str">
        <f t="shared" si="0"/>
        <v>-</v>
      </c>
      <c r="C49" s="34" t="s">
        <v>111</v>
      </c>
      <c r="D49" s="234"/>
    </row>
    <row r="50" spans="1:6">
      <c r="A50" s="171" t="s">
        <v>77</v>
      </c>
      <c r="B50" s="33">
        <f t="shared" si="0"/>
        <v>216.79999999999995</v>
      </c>
      <c r="C50" s="33">
        <f>B50*2</f>
        <v>433.59999999999991</v>
      </c>
      <c r="D50" s="234"/>
    </row>
    <row r="51" spans="1:6">
      <c r="A51" s="171" t="s">
        <v>78</v>
      </c>
      <c r="B51" s="33">
        <f t="shared" si="0"/>
        <v>2282.1999999999998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35118.706900000005</v>
      </c>
      <c r="C5" s="17">
        <f>IF(ISERROR('Eigen informatie GS &amp; warmtenet'!B58),0,'Eigen informatie GS &amp; warmtenet'!B58)</f>
        <v>0</v>
      </c>
      <c r="D5" s="30">
        <f>SUM(D6:D12)</f>
        <v>35809.157273901394</v>
      </c>
      <c r="E5" s="17">
        <f>SUM(E6:E12)</f>
        <v>322.79363254149104</v>
      </c>
      <c r="F5" s="17">
        <f>SUM(F6:F12)</f>
        <v>5022.2602958048292</v>
      </c>
      <c r="G5" s="18"/>
      <c r="H5" s="17"/>
      <c r="I5" s="17"/>
      <c r="J5" s="17">
        <f>SUM(J6:J12)</f>
        <v>0</v>
      </c>
      <c r="K5" s="17"/>
      <c r="L5" s="17"/>
      <c r="M5" s="17"/>
      <c r="N5" s="17">
        <f>SUM(N6:N12)</f>
        <v>1966.7186946692095</v>
      </c>
      <c r="O5" s="17">
        <f>B38*B39*B40</f>
        <v>1.5633333333333335</v>
      </c>
      <c r="P5" s="17">
        <f>B46*B47*B48/1000-B46*B47*B48/1000/B49</f>
        <v>38.133333333333333</v>
      </c>
      <c r="R5" s="32"/>
    </row>
    <row r="6" spans="1:18">
      <c r="A6" s="32" t="s">
        <v>54</v>
      </c>
      <c r="B6" s="37">
        <f>B26</f>
        <v>4795.3100000000004</v>
      </c>
      <c r="C6" s="33"/>
      <c r="D6" s="37">
        <f>IF(ISERROR(TER_kantoor_gas_kWh/1000),0,TER_kantoor_gas_kWh/1000)*0.902</f>
        <v>7257.0456955174432</v>
      </c>
      <c r="E6" s="33">
        <f>$C$26*'E Balans VL '!I12/100/3.6*1000000</f>
        <v>13.892716641738264</v>
      </c>
      <c r="F6" s="33">
        <f>$C$26*('E Balans VL '!L12+'E Balans VL '!N12)/100/3.6*1000000</f>
        <v>542.72344312949542</v>
      </c>
      <c r="G6" s="34"/>
      <c r="H6" s="33"/>
      <c r="I6" s="33"/>
      <c r="J6" s="33">
        <f>$C$26*('E Balans VL '!D12+'E Balans VL '!E12)/100/3.6*1000000</f>
        <v>0</v>
      </c>
      <c r="K6" s="33"/>
      <c r="L6" s="33"/>
      <c r="M6" s="33"/>
      <c r="N6" s="33">
        <f>$C$26*'E Balans VL '!Y12/100/3.6*1000000</f>
        <v>47.997519757832634</v>
      </c>
      <c r="O6" s="33"/>
      <c r="P6" s="33"/>
      <c r="R6" s="32"/>
    </row>
    <row r="7" spans="1:18">
      <c r="A7" s="32" t="s">
        <v>53</v>
      </c>
      <c r="B7" s="37">
        <f t="shared" ref="B7:B12" si="0">B27</f>
        <v>3072.6779999999999</v>
      </c>
      <c r="C7" s="33"/>
      <c r="D7" s="37">
        <f>IF(ISERROR(TER_horeca_gas_kWh/1000),0,TER_horeca_gas_kWh/1000)*0.902</f>
        <v>3512.5005919146142</v>
      </c>
      <c r="E7" s="33">
        <f>$C$27*'E Balans VL '!I9/100/3.6*1000000</f>
        <v>128.98243754733838</v>
      </c>
      <c r="F7" s="33">
        <f>$C$27*('E Balans VL '!L9+'E Balans VL '!N9)/100/3.6*1000000</f>
        <v>660.22787949697022</v>
      </c>
      <c r="G7" s="34"/>
      <c r="H7" s="33"/>
      <c r="I7" s="33"/>
      <c r="J7" s="33">
        <f>$C$27*('E Balans VL '!D9+'E Balans VL '!E9)/100/3.6*1000000</f>
        <v>0</v>
      </c>
      <c r="K7" s="33"/>
      <c r="L7" s="33"/>
      <c r="M7" s="33"/>
      <c r="N7" s="33">
        <f>$C$27*'E Balans VL '!Y9/100/3.6*1000000</f>
        <v>0.79180224905606256</v>
      </c>
      <c r="O7" s="33"/>
      <c r="P7" s="33"/>
      <c r="R7" s="32"/>
    </row>
    <row r="8" spans="1:18">
      <c r="A8" s="6" t="s">
        <v>52</v>
      </c>
      <c r="B8" s="37">
        <f t="shared" si="0"/>
        <v>13482.11</v>
      </c>
      <c r="C8" s="33"/>
      <c r="D8" s="37">
        <f>IF(ISERROR(TER_handel_gas_kWh/1000),0,TER_handel_gas_kWh/1000)*0.902</f>
        <v>4822.1728803966416</v>
      </c>
      <c r="E8" s="33">
        <f>$C$28*'E Balans VL '!I13/100/3.6*1000000</f>
        <v>144.80908224118275</v>
      </c>
      <c r="F8" s="33">
        <f>$C$28*('E Balans VL '!L13+'E Balans VL '!N13)/100/3.6*1000000</f>
        <v>1745.3704724692741</v>
      </c>
      <c r="G8" s="34"/>
      <c r="H8" s="33"/>
      <c r="I8" s="33"/>
      <c r="J8" s="33">
        <f>$C$28*('E Balans VL '!D13+'E Balans VL '!E13)/100/3.6*1000000</f>
        <v>0</v>
      </c>
      <c r="K8" s="33"/>
      <c r="L8" s="33"/>
      <c r="M8" s="33"/>
      <c r="N8" s="33">
        <f>$C$28*'E Balans VL '!Y13/100/3.6*1000000</f>
        <v>109.3676124752137</v>
      </c>
      <c r="O8" s="33"/>
      <c r="P8" s="33"/>
      <c r="R8" s="32"/>
    </row>
    <row r="9" spans="1:18">
      <c r="A9" s="32" t="s">
        <v>51</v>
      </c>
      <c r="B9" s="37">
        <f t="shared" si="0"/>
        <v>8486.6540000000005</v>
      </c>
      <c r="C9" s="33"/>
      <c r="D9" s="37">
        <f>IF(ISERROR(TER_gezond_gas_kWh/1000),0,TER_gezond_gas_kWh/1000)*0.902</f>
        <v>10786.182795887993</v>
      </c>
      <c r="E9" s="33">
        <f>$C$29*'E Balans VL '!I10/100/3.6*1000000</f>
        <v>6.7559254860751974</v>
      </c>
      <c r="F9" s="33">
        <f>$C$29*('E Balans VL '!L10+'E Balans VL '!N10)/100/3.6*1000000</f>
        <v>1031.6754368968222</v>
      </c>
      <c r="G9" s="34"/>
      <c r="H9" s="33"/>
      <c r="I9" s="33"/>
      <c r="J9" s="33">
        <f>$C$29*('E Balans VL '!D10+'E Balans VL '!E10)/100/3.6*1000000</f>
        <v>0</v>
      </c>
      <c r="K9" s="33"/>
      <c r="L9" s="33"/>
      <c r="M9" s="33"/>
      <c r="N9" s="33">
        <f>$C$29*'E Balans VL '!Y10/100/3.6*1000000</f>
        <v>68.552942620750343</v>
      </c>
      <c r="O9" s="33"/>
      <c r="P9" s="33"/>
      <c r="R9" s="32"/>
    </row>
    <row r="10" spans="1:18">
      <c r="A10" s="32" t="s">
        <v>50</v>
      </c>
      <c r="B10" s="37">
        <f t="shared" si="0"/>
        <v>2197.989</v>
      </c>
      <c r="C10" s="33"/>
      <c r="D10" s="37">
        <f>IF(ISERROR(TER_ander_gas_kWh/1000),0,TER_ander_gas_kWh/1000)*0.902</f>
        <v>2392.8104914199475</v>
      </c>
      <c r="E10" s="33">
        <f>$C$30*'E Balans VL '!I14/100/3.6*1000000</f>
        <v>7.5326237705407415</v>
      </c>
      <c r="F10" s="33">
        <f>$C$30*('E Balans VL '!L14+'E Balans VL '!N14)/100/3.6*1000000</f>
        <v>490.94142684812311</v>
      </c>
      <c r="G10" s="34"/>
      <c r="H10" s="33"/>
      <c r="I10" s="33"/>
      <c r="J10" s="33">
        <f>$C$30*('E Balans VL '!D14+'E Balans VL '!E14)/100/3.6*1000000</f>
        <v>0</v>
      </c>
      <c r="K10" s="33"/>
      <c r="L10" s="33"/>
      <c r="M10" s="33"/>
      <c r="N10" s="33">
        <f>$C$30*'E Balans VL '!Y14/100/3.6*1000000</f>
        <v>1548.275458979195</v>
      </c>
      <c r="O10" s="33"/>
      <c r="P10" s="33"/>
      <c r="R10" s="32"/>
    </row>
    <row r="11" spans="1:18">
      <c r="A11" s="32" t="s">
        <v>55</v>
      </c>
      <c r="B11" s="37">
        <f t="shared" si="0"/>
        <v>845.73090000000002</v>
      </c>
      <c r="C11" s="33"/>
      <c r="D11" s="37">
        <f>IF(ISERROR(TER_onderwijs_gas_kWh/1000),0,TER_onderwijs_gas_kWh/1000)*0.902</f>
        <v>2465.6551031778999</v>
      </c>
      <c r="E11" s="33">
        <f>$C$31*'E Balans VL '!I11/100/3.6*1000000</f>
        <v>0.58462772470816893</v>
      </c>
      <c r="F11" s="33">
        <f>$C$31*('E Balans VL '!L11+'E Balans VL '!N11)/100/3.6*1000000</f>
        <v>221.3877828042535</v>
      </c>
      <c r="G11" s="34"/>
      <c r="H11" s="33"/>
      <c r="I11" s="33"/>
      <c r="J11" s="33">
        <f>$C$31*('E Balans VL '!D11+'E Balans VL '!E11)/100/3.6*1000000</f>
        <v>0</v>
      </c>
      <c r="K11" s="33"/>
      <c r="L11" s="33"/>
      <c r="M11" s="33"/>
      <c r="N11" s="33">
        <f>$C$31*'E Balans VL '!Y11/100/3.6*1000000</f>
        <v>0.84185307721116476</v>
      </c>
      <c r="O11" s="33"/>
      <c r="P11" s="33"/>
      <c r="R11" s="32"/>
    </row>
    <row r="12" spans="1:18">
      <c r="A12" s="32" t="s">
        <v>260</v>
      </c>
      <c r="B12" s="37">
        <f t="shared" si="0"/>
        <v>2238.2350000000001</v>
      </c>
      <c r="C12" s="33"/>
      <c r="D12" s="37">
        <f>IF(ISERROR(TER_rest_gas_kWh/1000),0,TER_rest_gas_kWh/1000)*0.902</f>
        <v>4572.7897155868523</v>
      </c>
      <c r="E12" s="33">
        <f>$C$32*'E Balans VL '!I8/100/3.6*1000000</f>
        <v>20.236219129907564</v>
      </c>
      <c r="F12" s="33">
        <f>$C$32*('E Balans VL '!L8+'E Balans VL '!N8)/100/3.6*1000000</f>
        <v>329.9338541598907</v>
      </c>
      <c r="G12" s="34"/>
      <c r="H12" s="33"/>
      <c r="I12" s="33"/>
      <c r="J12" s="33">
        <f>$C$32*('E Balans VL '!D8+'E Balans VL '!E8)/100/3.6*1000000</f>
        <v>0</v>
      </c>
      <c r="K12" s="33"/>
      <c r="L12" s="33"/>
      <c r="M12" s="33"/>
      <c r="N12" s="33">
        <f>$C$32*'E Balans VL '!Y8/100/3.6*1000000</f>
        <v>190.8915055099506</v>
      </c>
      <c r="O12" s="33"/>
      <c r="P12" s="33"/>
      <c r="R12" s="32"/>
    </row>
    <row r="13" spans="1:18">
      <c r="A13" s="16" t="s">
        <v>494</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36468.706900000005</v>
      </c>
      <c r="C16" s="21">
        <f t="shared" ca="1" si="1"/>
        <v>1928.5714285714287</v>
      </c>
      <c r="D16" s="21">
        <f t="shared" ca="1" si="1"/>
        <v>31952.014416758535</v>
      </c>
      <c r="E16" s="21">
        <f t="shared" si="1"/>
        <v>322.79363254149104</v>
      </c>
      <c r="F16" s="21">
        <f t="shared" ca="1" si="1"/>
        <v>5022.2602958048292</v>
      </c>
      <c r="G16" s="21">
        <f t="shared" si="1"/>
        <v>0</v>
      </c>
      <c r="H16" s="21">
        <f t="shared" si="1"/>
        <v>0</v>
      </c>
      <c r="I16" s="21">
        <f t="shared" si="1"/>
        <v>0</v>
      </c>
      <c r="J16" s="21">
        <f t="shared" si="1"/>
        <v>0</v>
      </c>
      <c r="K16" s="21">
        <f t="shared" si="1"/>
        <v>0</v>
      </c>
      <c r="L16" s="21">
        <f t="shared" ca="1" si="1"/>
        <v>0</v>
      </c>
      <c r="M16" s="21">
        <f t="shared" si="1"/>
        <v>0</v>
      </c>
      <c r="N16" s="21">
        <f t="shared" ca="1" si="1"/>
        <v>1966.7186946692095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0.20896826659926032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7620.8024660094852</v>
      </c>
      <c r="C20" s="23">
        <f t="shared" ref="C20:P20" ca="1" si="2">C16*C18</f>
        <v>458.31932773109253</v>
      </c>
      <c r="D20" s="23">
        <f t="shared" ca="1" si="2"/>
        <v>6454.3069121852241</v>
      </c>
      <c r="E20" s="23">
        <f t="shared" si="2"/>
        <v>73.27415458691847</v>
      </c>
      <c r="F20" s="23">
        <f t="shared" ca="1" si="2"/>
        <v>1340.9434989798895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4795.3100000000004</v>
      </c>
      <c r="C26" s="39">
        <f>IF(ISERROR(B26*3.6/1000000/'E Balans VL '!Z12*100),0,B26*3.6/1000000/'E Balans VL '!Z12*100)</f>
        <v>0.10533452808351423</v>
      </c>
      <c r="D26" s="237" t="s">
        <v>692</v>
      </c>
      <c r="F26" s="6"/>
    </row>
    <row r="27" spans="1:18">
      <c r="A27" s="231" t="s">
        <v>53</v>
      </c>
      <c r="B27" s="33">
        <f>IF(ISERROR(TER_horeca_ele_kWh/1000),0,TER_horeca_ele_kWh/1000)</f>
        <v>3072.6779999999999</v>
      </c>
      <c r="C27" s="39">
        <f>IF(ISERROR(B27*3.6/1000000/'E Balans VL '!Z9*100),0,B27*3.6/1000000/'E Balans VL '!Z9*100)</f>
        <v>0.24692030611606339</v>
      </c>
      <c r="D27" s="237" t="s">
        <v>692</v>
      </c>
      <c r="F27" s="6"/>
    </row>
    <row r="28" spans="1:18">
      <c r="A28" s="171" t="s">
        <v>52</v>
      </c>
      <c r="B28" s="33">
        <f>IF(ISERROR(TER_handel_ele_kWh/1000),0,TER_handel_ele_kWh/1000)</f>
        <v>13482.11</v>
      </c>
      <c r="C28" s="39">
        <f>IF(ISERROR(B28*3.6/1000000/'E Balans VL '!Z13*100),0,B28*3.6/1000000/'E Balans VL '!Z13*100)</f>
        <v>0.39865657390019155</v>
      </c>
      <c r="D28" s="237" t="s">
        <v>692</v>
      </c>
      <c r="F28" s="6"/>
    </row>
    <row r="29" spans="1:18">
      <c r="A29" s="231" t="s">
        <v>51</v>
      </c>
      <c r="B29" s="33">
        <f>IF(ISERROR(TER_gezond_ele_kWh/1000),0,TER_gezond_ele_kWh/1000)</f>
        <v>8486.6540000000005</v>
      </c>
      <c r="C29" s="39">
        <f>IF(ISERROR(B29*3.6/1000000/'E Balans VL '!Z10*100),0,B29*3.6/1000000/'E Balans VL '!Z10*100)</f>
        <v>0.95622679970797075</v>
      </c>
      <c r="D29" s="237" t="s">
        <v>692</v>
      </c>
      <c r="F29" s="6"/>
    </row>
    <row r="30" spans="1:18">
      <c r="A30" s="231" t="s">
        <v>50</v>
      </c>
      <c r="B30" s="33">
        <f>IF(ISERROR(TER_ander_ele_kWh/1000),0,TER_ander_ele_kWh/1000)</f>
        <v>2197.989</v>
      </c>
      <c r="C30" s="39">
        <f>IF(ISERROR(B30*3.6/1000000/'E Balans VL '!Z14*100),0,B30*3.6/1000000/'E Balans VL '!Z14*100)</f>
        <v>0.16623015077752162</v>
      </c>
      <c r="D30" s="237" t="s">
        <v>692</v>
      </c>
      <c r="F30" s="6"/>
    </row>
    <row r="31" spans="1:18">
      <c r="A31" s="231" t="s">
        <v>55</v>
      </c>
      <c r="B31" s="33">
        <f>IF(ISERROR(TER_onderwijs_ele_kWh/1000),0,TER_onderwijs_ele_kWh/1000)</f>
        <v>845.73090000000002</v>
      </c>
      <c r="C31" s="39">
        <f>IF(ISERROR(B31*3.6/1000000/'E Balans VL '!Z11*100),0,B31*3.6/1000000/'E Balans VL '!Z11*100)</f>
        <v>0.17555410204000094</v>
      </c>
      <c r="D31" s="237" t="s">
        <v>692</v>
      </c>
    </row>
    <row r="32" spans="1:18">
      <c r="A32" s="231" t="s">
        <v>260</v>
      </c>
      <c r="B32" s="33">
        <f>IF(ISERROR(TER_rest_ele_kWh/1000),0,TER_rest_ele_kWh/1000)</f>
        <v>2238.2350000000001</v>
      </c>
      <c r="C32" s="39">
        <f>IF(ISERROR(B32*3.6/1000000/'E Balans VL '!Z8*100),0,B32*3.6/1000000/'E Balans VL '!Z8*100)</f>
        <v>1.8855813165939383E-2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31405.185890000001</v>
      </c>
      <c r="C5" s="17">
        <f>IF(ISERROR('Eigen informatie GS &amp; warmtenet'!B59),0,'Eigen informatie GS &amp; warmtenet'!B59)</f>
        <v>0</v>
      </c>
      <c r="D5" s="30">
        <f>SUM(D6:D15)</f>
        <v>8197.2001172741529</v>
      </c>
      <c r="E5" s="17">
        <f>SUM(E6:E15)</f>
        <v>5021.7016280549396</v>
      </c>
      <c r="F5" s="17">
        <f>SUM(F6:F15)</f>
        <v>25659.449713584785</v>
      </c>
      <c r="G5" s="18"/>
      <c r="H5" s="17"/>
      <c r="I5" s="17"/>
      <c r="J5" s="17">
        <f>SUM(J6:J15)</f>
        <v>169.81308239781868</v>
      </c>
      <c r="K5" s="17"/>
      <c r="L5" s="17"/>
      <c r="M5" s="17"/>
      <c r="N5" s="17">
        <f>SUM(N6:N15)</f>
        <v>10046.994239733562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309.875</v>
      </c>
      <c r="C8" s="33"/>
      <c r="D8" s="37">
        <f>IF( ISERROR(IND_metaal_Gas_kWH/1000),0,IND_metaal_Gas_kWH/1000)*0.902</f>
        <v>0</v>
      </c>
      <c r="E8" s="33">
        <f>C30*'E Balans VL '!I18/100/3.6*1000000</f>
        <v>7.755086710734739</v>
      </c>
      <c r="F8" s="33">
        <f>C30*'E Balans VL '!L18/100/3.6*1000000+C30*'E Balans VL '!N18/100/3.6*1000000</f>
        <v>97.116366397520935</v>
      </c>
      <c r="G8" s="34"/>
      <c r="H8" s="33"/>
      <c r="I8" s="33"/>
      <c r="J8" s="40">
        <f>C30*'E Balans VL '!D18/100/3.6*1000000+C30*'E Balans VL '!E18/100/3.6*1000000</f>
        <v>0</v>
      </c>
      <c r="K8" s="33"/>
      <c r="L8" s="33"/>
      <c r="M8" s="33"/>
      <c r="N8" s="33">
        <f>C30*'E Balans VL '!Y18/100/3.6*1000000</f>
        <v>7.7848641957514104</v>
      </c>
      <c r="O8" s="33"/>
      <c r="P8" s="33"/>
      <c r="R8" s="32"/>
    </row>
    <row r="9" spans="1:18">
      <c r="A9" s="6" t="s">
        <v>33</v>
      </c>
      <c r="B9" s="37">
        <f t="shared" si="0"/>
        <v>16507.327000000001</v>
      </c>
      <c r="C9" s="33"/>
      <c r="D9" s="37">
        <f>IF( ISERROR(IND_andere_gas_kWh/1000),0,IND_andere_gas_kWh/1000)*0.902</f>
        <v>1215.5541213721531</v>
      </c>
      <c r="E9" s="33">
        <f>C31*'E Balans VL '!I19/100/3.6*1000000</f>
        <v>4538.8378760653841</v>
      </c>
      <c r="F9" s="33">
        <f>C31*'E Balans VL '!L19/100/3.6*1000000+C31*'E Balans VL '!N19/100/3.6*1000000</f>
        <v>13010.646157136285</v>
      </c>
      <c r="G9" s="34"/>
      <c r="H9" s="33"/>
      <c r="I9" s="33"/>
      <c r="J9" s="40">
        <f>C31*'E Balans VL '!D19/100/3.6*1000000+C31*'E Balans VL '!E19/100/3.6*1000000</f>
        <v>0</v>
      </c>
      <c r="K9" s="33"/>
      <c r="L9" s="33"/>
      <c r="M9" s="33"/>
      <c r="N9" s="33">
        <f>C31*'E Balans VL '!Y19/100/3.6*1000000</f>
        <v>5343.8574704197008</v>
      </c>
      <c r="O9" s="33"/>
      <c r="P9" s="33"/>
      <c r="R9" s="32"/>
    </row>
    <row r="10" spans="1:18">
      <c r="A10" s="6" t="s">
        <v>41</v>
      </c>
      <c r="B10" s="37">
        <f t="shared" si="0"/>
        <v>5647.97</v>
      </c>
      <c r="C10" s="33"/>
      <c r="D10" s="37">
        <f>IF( ISERROR(IND_voed_gas_kWh/1000),0,IND_voed_gas_kWh/1000)*0.902</f>
        <v>2229.6986236494977</v>
      </c>
      <c r="E10" s="33">
        <f>C32*'E Balans VL '!I20/100/3.6*1000000</f>
        <v>57.577942665572806</v>
      </c>
      <c r="F10" s="33">
        <f>C32*'E Balans VL '!L20/100/3.6*1000000+C32*'E Balans VL '!N20/100/3.6*1000000</f>
        <v>10668.980005357575</v>
      </c>
      <c r="G10" s="34"/>
      <c r="H10" s="33"/>
      <c r="I10" s="33"/>
      <c r="J10" s="40">
        <f>C32*'E Balans VL '!D20/100/3.6*1000000+C32*'E Balans VL '!E20/100/3.6*1000000</f>
        <v>135.17440234150743</v>
      </c>
      <c r="K10" s="33"/>
      <c r="L10" s="33"/>
      <c r="M10" s="33"/>
      <c r="N10" s="33">
        <f>C32*'E Balans VL '!Y20/100/3.6*1000000</f>
        <v>2977.1307563692326</v>
      </c>
      <c r="O10" s="33"/>
      <c r="P10" s="33"/>
      <c r="R10" s="32"/>
    </row>
    <row r="11" spans="1:18">
      <c r="A11" s="6" t="s">
        <v>40</v>
      </c>
      <c r="B11" s="37">
        <f t="shared" si="0"/>
        <v>94.208089999999999</v>
      </c>
      <c r="C11" s="33"/>
      <c r="D11" s="37">
        <f>IF( ISERROR(IND_textiel_gas_kWh/1000),0,IND_textiel_gas_kWh/1000)*0.902</f>
        <v>0</v>
      </c>
      <c r="E11" s="33">
        <f>C33*'E Balans VL '!I21/100/3.6*1000000</f>
        <v>0.24969752674649928</v>
      </c>
      <c r="F11" s="33">
        <f>C33*'E Balans VL '!L21/100/3.6*1000000+C33*'E Balans VL '!N21/100/3.6*1000000</f>
        <v>4.2074304822812643</v>
      </c>
      <c r="G11" s="34"/>
      <c r="H11" s="33"/>
      <c r="I11" s="33"/>
      <c r="J11" s="40">
        <f>C33*'E Balans VL '!D21/100/3.6*1000000+C33*'E Balans VL '!E21/100/3.6*1000000</f>
        <v>0</v>
      </c>
      <c r="K11" s="33"/>
      <c r="L11" s="33"/>
      <c r="M11" s="33"/>
      <c r="N11" s="33">
        <f>C33*'E Balans VL '!Y21/100/3.6*1000000</f>
        <v>0.88784390434010274</v>
      </c>
      <c r="O11" s="33"/>
      <c r="P11" s="33"/>
      <c r="R11" s="32"/>
    </row>
    <row r="12" spans="1:18">
      <c r="A12" s="6" t="s">
        <v>37</v>
      </c>
      <c r="B12" s="37">
        <f t="shared" si="0"/>
        <v>243.85079999999999</v>
      </c>
      <c r="C12" s="33"/>
      <c r="D12" s="37">
        <f>IF( ISERROR(IND_min_gas_kWh/1000),0,IND_min_gas_kWh/1000)*0.902</f>
        <v>0</v>
      </c>
      <c r="E12" s="33">
        <f>C34*'E Balans VL '!I22/100/3.6*1000000</f>
        <v>0.73851376657543721</v>
      </c>
      <c r="F12" s="33">
        <f>C34*'E Balans VL '!L22/100/3.6*1000000+C34*'E Balans VL '!N22/100/3.6*1000000</f>
        <v>7.6205471473369943</v>
      </c>
      <c r="G12" s="34"/>
      <c r="H12" s="33"/>
      <c r="I12" s="33"/>
      <c r="J12" s="40">
        <f>C34*'E Balans VL '!D22/100/3.6*1000000+C34*'E Balans VL '!E22/100/3.6*1000000</f>
        <v>0.36157660431177419</v>
      </c>
      <c r="K12" s="33"/>
      <c r="L12" s="33"/>
      <c r="M12" s="33"/>
      <c r="N12" s="33">
        <f>C34*'E Balans VL '!Y22/100/3.6*1000000</f>
        <v>0</v>
      </c>
      <c r="O12" s="33"/>
      <c r="P12" s="33"/>
      <c r="R12" s="32"/>
    </row>
    <row r="13" spans="1:18">
      <c r="A13" s="6" t="s">
        <v>39</v>
      </c>
      <c r="B13" s="37">
        <f t="shared" si="0"/>
        <v>431.65600000000001</v>
      </c>
      <c r="C13" s="33"/>
      <c r="D13" s="37">
        <f>IF( ISERROR(IND_papier_gas_kWh/1000),0,IND_papier_gas_kWh/1000)*0.902</f>
        <v>627.76164024708976</v>
      </c>
      <c r="E13" s="33">
        <f>C35*'E Balans VL '!I23/100/3.6*1000000</f>
        <v>0.89398871207841568</v>
      </c>
      <c r="F13" s="33">
        <f>C35*'E Balans VL '!L23/100/3.6*1000000+C35*'E Balans VL '!N23/100/3.6*1000000</f>
        <v>8.5606638769127326</v>
      </c>
      <c r="G13" s="34"/>
      <c r="H13" s="33"/>
      <c r="I13" s="33"/>
      <c r="J13" s="40">
        <f>C35*'E Balans VL '!D23/100/3.6*1000000+C35*'E Balans VL '!E23/100/3.6*1000000</f>
        <v>0</v>
      </c>
      <c r="K13" s="33"/>
      <c r="L13" s="33"/>
      <c r="M13" s="33"/>
      <c r="N13" s="33">
        <f>C35*'E Balans VL '!Y23/100/3.6*1000000</f>
        <v>182.26582604620953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8170.299</v>
      </c>
      <c r="C15" s="33"/>
      <c r="D15" s="37">
        <f>IF( ISERROR(IND_rest_gas_kWh/1000),0,IND_rest_gas_kWh/1000)*0.902</f>
        <v>4124.1857320054123</v>
      </c>
      <c r="E15" s="33">
        <f>C37*'E Balans VL '!I15/100/3.6*1000000</f>
        <v>415.64852260784789</v>
      </c>
      <c r="F15" s="33">
        <f>C37*'E Balans VL '!L15/100/3.6*1000000+C37*'E Balans VL '!N15/100/3.6*1000000</f>
        <v>1862.3185431868724</v>
      </c>
      <c r="G15" s="34"/>
      <c r="H15" s="33"/>
      <c r="I15" s="33"/>
      <c r="J15" s="40">
        <f>C37*'E Balans VL '!D15/100/3.6*1000000+C37*'E Balans VL '!E15/100/3.6*1000000</f>
        <v>34.277103451999459</v>
      </c>
      <c r="K15" s="33"/>
      <c r="L15" s="33"/>
      <c r="M15" s="33"/>
      <c r="N15" s="33">
        <f>C37*'E Balans VL '!Y15/100/3.6*1000000</f>
        <v>1535.0674787983257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31405.185890000001</v>
      </c>
      <c r="C18" s="21">
        <f>C5+C16</f>
        <v>0</v>
      </c>
      <c r="D18" s="21">
        <f>MAX((D5+D16),0)</f>
        <v>8197.2001172741529</v>
      </c>
      <c r="E18" s="21">
        <f>MAX((E5+E16),0)</f>
        <v>5021.7016280549396</v>
      </c>
      <c r="F18" s="21">
        <f>MAX((F5+F16),0)</f>
        <v>25659.449713584785</v>
      </c>
      <c r="G18" s="21"/>
      <c r="H18" s="21"/>
      <c r="I18" s="21"/>
      <c r="J18" s="21">
        <f>MAX((J5+J16),0)</f>
        <v>169.81308239781868</v>
      </c>
      <c r="K18" s="21"/>
      <c r="L18" s="21">
        <f>MAX((L5+L16),0)</f>
        <v>0</v>
      </c>
      <c r="M18" s="21"/>
      <c r="N18" s="21">
        <f>MAX((N5+N16),0)</f>
        <v>10046.994239733562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0.20896826659926032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6562.6872576608484</v>
      </c>
      <c r="C22" s="23">
        <f ca="1">C18*C20</f>
        <v>0</v>
      </c>
      <c r="D22" s="23">
        <f>D18*D20</f>
        <v>1655.834423689379</v>
      </c>
      <c r="E22" s="23">
        <f>E18*E20</f>
        <v>1139.9262695684713</v>
      </c>
      <c r="F22" s="23">
        <f>F18*F20</f>
        <v>6851.0730735271381</v>
      </c>
      <c r="G22" s="23"/>
      <c r="H22" s="23"/>
      <c r="I22" s="23"/>
      <c r="J22" s="23">
        <f>J18*J20</f>
        <v>60.113831168827808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309.875</v>
      </c>
      <c r="C30" s="39">
        <f>IF(ISERROR(B30*3.6/1000000/'E Balans VL '!Z18*100),0,B30*3.6/1000000/'E Balans VL '!Z18*100)</f>
        <v>4.3372173301542805E-2</v>
      </c>
      <c r="D30" s="237" t="s">
        <v>692</v>
      </c>
    </row>
    <row r="31" spans="1:18">
      <c r="A31" s="6" t="s">
        <v>33</v>
      </c>
      <c r="B31" s="37">
        <f>IF( ISERROR(IND_ander_ele_kWh/1000),0,IND_ander_ele_kWh/1000)</f>
        <v>16507.327000000001</v>
      </c>
      <c r="C31" s="39">
        <f>IF(ISERROR(B31*3.6/1000000/'E Balans VL '!Z19*100),0,B31*3.6/1000000/'E Balans VL '!Z19*100)</f>
        <v>0.72252302492110421</v>
      </c>
      <c r="D31" s="237" t="s">
        <v>692</v>
      </c>
    </row>
    <row r="32" spans="1:18">
      <c r="A32" s="171" t="s">
        <v>41</v>
      </c>
      <c r="B32" s="37">
        <f>IF( ISERROR(IND_voed_ele_kWh/1000),0,IND_voed_ele_kWh/1000)</f>
        <v>5647.97</v>
      </c>
      <c r="C32" s="39">
        <f>IF(ISERROR(B32*3.6/1000000/'E Balans VL '!Z20*100),0,B32*3.6/1000000/'E Balans VL '!Z20*100)</f>
        <v>1.3982498121677791</v>
      </c>
      <c r="D32" s="237" t="s">
        <v>692</v>
      </c>
    </row>
    <row r="33" spans="1:5">
      <c r="A33" s="171" t="s">
        <v>40</v>
      </c>
      <c r="B33" s="37">
        <f>IF( ISERROR(IND_textiel_ele_kWh/1000),0,IND_textiel_ele_kWh/1000)</f>
        <v>94.208089999999999</v>
      </c>
      <c r="C33" s="39">
        <f>IF(ISERROR(B33*3.6/1000000/'E Balans VL '!Z21*100),0,B33*3.6/1000000/'E Balans VL '!Z21*100)</f>
        <v>1.0615592252205725E-2</v>
      </c>
      <c r="D33" s="237" t="s">
        <v>692</v>
      </c>
    </row>
    <row r="34" spans="1:5">
      <c r="A34" s="171" t="s">
        <v>37</v>
      </c>
      <c r="B34" s="37">
        <f>IF( ISERROR(IND_min_ele_kWh/1000),0,IND_min_ele_kWh/1000)</f>
        <v>243.85079999999999</v>
      </c>
      <c r="C34" s="39">
        <f>IF(ISERROR(B34*3.6/1000000/'E Balans VL '!Z22*100),0,B34*3.6/1000000/'E Balans VL '!Z22*100)</f>
        <v>6.9194908462040907E-3</v>
      </c>
      <c r="D34" s="237" t="s">
        <v>692</v>
      </c>
    </row>
    <row r="35" spans="1:5">
      <c r="A35" s="171" t="s">
        <v>39</v>
      </c>
      <c r="B35" s="37">
        <f>IF( ISERROR(IND_papier_ele_kWh/1000),0,IND_papier_ele_kWh/1000)</f>
        <v>431.65600000000001</v>
      </c>
      <c r="C35" s="39">
        <f>IF(ISERROR(B35*3.6/1000000/'E Balans VL '!Z22*100),0,B35*3.6/1000000/'E Balans VL '!Z22*100)</f>
        <v>1.2248636218167311E-2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8170.299</v>
      </c>
      <c r="C37" s="39">
        <f>IF(ISERROR(B37*3.6/1000000/'E Balans VL '!Z15*100),0,B37*3.6/1000000/'E Balans VL '!Z15*100)</f>
        <v>6.0581368270618358E-2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990.00334999999995</v>
      </c>
      <c r="C5" s="17">
        <f>'Eigen informatie GS &amp; warmtenet'!B60</f>
        <v>0</v>
      </c>
      <c r="D5" s="30">
        <f>IF(ISERROR(SUM(LB_lb_gas_kWh,LB_rest_gas_kWh)/1000),0,SUM(LB_lb_gas_kWh,LB_rest_gas_kWh)/1000)*0.902</f>
        <v>138.49948840981892</v>
      </c>
      <c r="E5" s="17">
        <f>B17*'E Balans VL '!I25/3.6*1000000/100</f>
        <v>9.1698256792185457</v>
      </c>
      <c r="F5" s="17">
        <f>B17*('E Balans VL '!L25/3.6*1000000+'E Balans VL '!N25/3.6*1000000)/100</f>
        <v>2511.8270943946345</v>
      </c>
      <c r="G5" s="18"/>
      <c r="H5" s="17"/>
      <c r="I5" s="17"/>
      <c r="J5" s="17">
        <f>('E Balans VL '!D25+'E Balans VL '!E25)/3.6*1000000*landbouw!B17/100</f>
        <v>151.77856202463201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990.00334999999995</v>
      </c>
      <c r="C8" s="21">
        <f>C5+C6</f>
        <v>0</v>
      </c>
      <c r="D8" s="21">
        <f>MAX((D5+D6),0)</f>
        <v>138.49948840981892</v>
      </c>
      <c r="E8" s="21">
        <f>MAX((E5+E6),0)</f>
        <v>9.1698256792185457</v>
      </c>
      <c r="F8" s="21">
        <f>MAX((F5+F6),0)</f>
        <v>2511.8270943946345</v>
      </c>
      <c r="G8" s="21"/>
      <c r="H8" s="21"/>
      <c r="I8" s="21"/>
      <c r="J8" s="21">
        <f>MAX((J5+J6),0)</f>
        <v>151.77856202463201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0.20896826659926032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206.87928397696081</v>
      </c>
      <c r="C12" s="23">
        <f ca="1">C8*C10</f>
        <v>0</v>
      </c>
      <c r="D12" s="23">
        <f>D8*D10</f>
        <v>27.976896658783424</v>
      </c>
      <c r="E12" s="23">
        <f>E8*E10</f>
        <v>2.0815504291826099</v>
      </c>
      <c r="F12" s="23">
        <f>F8*F10</f>
        <v>670.65783420336743</v>
      </c>
      <c r="G12" s="23"/>
      <c r="H12" s="23"/>
      <c r="I12" s="23"/>
      <c r="J12" s="23">
        <f>J8*J10</f>
        <v>53.729610956719732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0.14075748467058427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307.73118735412055</v>
      </c>
      <c r="C26" s="247">
        <f>B26*'GWP N2O_CH4'!B5</f>
        <v>6462.3549344365319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46.476048305509757</v>
      </c>
      <c r="C27" s="247">
        <f>B27*'GWP N2O_CH4'!B5</f>
        <v>975.99701441570494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3.9745153397869522</v>
      </c>
      <c r="C28" s="247">
        <f>B28*'GWP N2O_CH4'!B4</f>
        <v>1232.0997553339553</v>
      </c>
      <c r="D28" s="50"/>
    </row>
    <row r="29" spans="1:4">
      <c r="A29" s="41" t="s">
        <v>277</v>
      </c>
      <c r="B29" s="247">
        <f>B34*'ha_N2O bodem landbouw'!B4</f>
        <v>21.044303342186634</v>
      </c>
      <c r="C29" s="247">
        <f>B29*'GWP N2O_CH4'!B4</f>
        <v>6523.7340360778562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4.7198664956290383E-3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6.7952439686297926E-5</v>
      </c>
      <c r="C5" s="464" t="s">
        <v>211</v>
      </c>
      <c r="D5" s="449">
        <f>SUM(D6:D11)</f>
        <v>1.9603381174851598E-4</v>
      </c>
      <c r="E5" s="449">
        <f>SUM(E6:E11)</f>
        <v>1.2315727299317602E-3</v>
      </c>
      <c r="F5" s="462" t="s">
        <v>211</v>
      </c>
      <c r="G5" s="449">
        <f>SUM(G6:G11)</f>
        <v>0.34993901858672349</v>
      </c>
      <c r="H5" s="449">
        <f>SUM(H6:H11)</f>
        <v>7.3654035256237135E-2</v>
      </c>
      <c r="I5" s="464" t="s">
        <v>211</v>
      </c>
      <c r="J5" s="464" t="s">
        <v>211</v>
      </c>
      <c r="K5" s="464" t="s">
        <v>211</v>
      </c>
      <c r="L5" s="464" t="s">
        <v>211</v>
      </c>
      <c r="M5" s="449">
        <f>SUM(M6:M11)</f>
        <v>2.2509736355288804E-2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4.6102029930189349E-5</v>
      </c>
      <c r="C6" s="450"/>
      <c r="D6" s="893">
        <f>vkm_2011_GW_PW*SUMIFS(TableVerdeelsleutelVkm[CNG],TableVerdeelsleutelVkm[Voertuigtype],"Lichte voertuigen")*SUMIFS(TableECFTransport[EnergieConsumptieFactor (PJ per km)],TableECFTransport[Index],CONCATENATE($A6,"_CNG_CNG"))</f>
        <v>1.0663907085176714E-4</v>
      </c>
      <c r="E6" s="893">
        <f>vkm_2011_GW_PW*SUMIFS(TableVerdeelsleutelVkm[LPG],TableVerdeelsleutelVkm[Voertuigtype],"Lichte voertuigen")*SUMIFS(TableECFTransport[EnergieConsumptieFactor (PJ per km)],TableECFTransport[Index],CONCATENATE($A6,"_LPG_LPG"))</f>
        <v>6.9436923185563952E-4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0.14425007078701346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4.0661113938081528E-2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9.5959319202611332E-3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7.8924907280281315E-2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2.6990884946771591E-5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4.5662532528408378E-3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2.185040975610857E-5</v>
      </c>
      <c r="C8" s="450"/>
      <c r="D8" s="452">
        <f>vkm_2011_NGW_PW*SUMIFS(TableVerdeelsleutelVkm[CNG],TableVerdeelsleutelVkm[Voertuigtype],"Lichte voertuigen")*SUMIFS(TableECFTransport[EnergieConsumptieFactor (PJ per km)],TableECFTransport[Index],CONCATENATE($A8,"_CNG_CNG"))</f>
        <v>8.9394740896748824E-5</v>
      </c>
      <c r="E8" s="452">
        <f>vkm_2011_NGW_PW*SUMIFS(TableVerdeelsleutelVkm[LPG],TableVerdeelsleutelVkm[Voertuigtype],"Lichte voertuigen")*SUMIFS(TableECFTransport[EnergieConsumptieFactor (PJ per km)],TableECFTransport[Index],CONCATENATE($A8,"_LPG_LPG"))</f>
        <v>5.3720349807612059E-4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0.10432413013978141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3.295866913960542E-2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7.0492878781354866E-3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2.2439910379647307E-2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7.2612936034126084E-6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1.2982633040513488E-3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18.875677690638312</v>
      </c>
      <c r="C14" s="21"/>
      <c r="D14" s="21">
        <f t="shared" ref="D14:M14" si="0">((D5)*10^9/3600)+D12</f>
        <v>54.45383659681</v>
      </c>
      <c r="E14" s="21">
        <f t="shared" si="0"/>
        <v>342.10353609215559</v>
      </c>
      <c r="F14" s="21"/>
      <c r="G14" s="21">
        <f t="shared" si="0"/>
        <v>97205.28294075653</v>
      </c>
      <c r="H14" s="21">
        <f t="shared" si="0"/>
        <v>20459.454237843649</v>
      </c>
      <c r="I14" s="21"/>
      <c r="J14" s="21"/>
      <c r="K14" s="21"/>
      <c r="L14" s="21"/>
      <c r="M14" s="21">
        <f t="shared" si="0"/>
        <v>6252.7045431357792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0.20896826659926032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3.9444176478990172</v>
      </c>
      <c r="C18" s="23"/>
      <c r="D18" s="23">
        <f t="shared" ref="D18:M18" si="1">D14*D16</f>
        <v>10.999674992555621</v>
      </c>
      <c r="E18" s="23">
        <f t="shared" si="1"/>
        <v>77.657502692919323</v>
      </c>
      <c r="F18" s="23"/>
      <c r="G18" s="23">
        <f t="shared" si="1"/>
        <v>25953.810545181994</v>
      </c>
      <c r="H18" s="23">
        <f t="shared" si="1"/>
        <v>5094.4041052230687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7.6056510602521615E-3</v>
      </c>
      <c r="H50" s="321">
        <f t="shared" si="2"/>
        <v>0</v>
      </c>
      <c r="I50" s="321">
        <f t="shared" si="2"/>
        <v>0</v>
      </c>
      <c r="J50" s="321">
        <f t="shared" si="2"/>
        <v>0</v>
      </c>
      <c r="K50" s="321">
        <f t="shared" si="2"/>
        <v>0</v>
      </c>
      <c r="L50" s="321">
        <f t="shared" si="2"/>
        <v>0</v>
      </c>
      <c r="M50" s="321">
        <f t="shared" si="2"/>
        <v>4.3372810829563204E-4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7.6056510602521615E-3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4.3372810829563204E-4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2112.6808500700449</v>
      </c>
      <c r="H54" s="21">
        <f t="shared" si="3"/>
        <v>0</v>
      </c>
      <c r="I54" s="21">
        <f t="shared" si="3"/>
        <v>0</v>
      </c>
      <c r="J54" s="21">
        <f t="shared" si="3"/>
        <v>0</v>
      </c>
      <c r="K54" s="21">
        <f t="shared" si="3"/>
        <v>0</v>
      </c>
      <c r="L54" s="21">
        <f t="shared" si="3"/>
        <v>0</v>
      </c>
      <c r="M54" s="21">
        <f t="shared" si="3"/>
        <v>120.48003008212002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0.20896826659926032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564.085786968702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38314.127900000007</v>
      </c>
      <c r="D10" s="1025">
        <f ca="1">tertiair!C16</f>
        <v>1928.5714285714287</v>
      </c>
      <c r="E10" s="1025">
        <f ca="1">tertiair!D16</f>
        <v>31952.014416758535</v>
      </c>
      <c r="F10" s="1025">
        <f>tertiair!E16</f>
        <v>322.79363254149104</v>
      </c>
      <c r="G10" s="1025">
        <f ca="1">tertiair!F16</f>
        <v>5022.2602958048292</v>
      </c>
      <c r="H10" s="1025">
        <f>tertiair!G16</f>
        <v>0</v>
      </c>
      <c r="I10" s="1025">
        <f>tertiair!H16</f>
        <v>0</v>
      </c>
      <c r="J10" s="1025">
        <f>tertiair!I16</f>
        <v>0</v>
      </c>
      <c r="K10" s="1025">
        <f>tertiair!J16</f>
        <v>0</v>
      </c>
      <c r="L10" s="1025">
        <f>tertiair!K16</f>
        <v>0</v>
      </c>
      <c r="M10" s="1025">
        <f ca="1">tertiair!L16</f>
        <v>0</v>
      </c>
      <c r="N10" s="1025">
        <f>tertiair!M16</f>
        <v>0</v>
      </c>
      <c r="O10" s="1025">
        <f ca="1">tertiair!N16</f>
        <v>1966.7186946692095</v>
      </c>
      <c r="P10" s="1025">
        <f>tertiair!O16</f>
        <v>1.5633333333333335</v>
      </c>
      <c r="Q10" s="1026">
        <f>tertiair!P16</f>
        <v>38.133333333333333</v>
      </c>
      <c r="R10" s="701">
        <f ca="1">SUM(C10:Q10)</f>
        <v>79546.18303501216</v>
      </c>
      <c r="S10" s="67"/>
    </row>
    <row r="11" spans="1:19" s="474" customFormat="1">
      <c r="A11" s="810" t="s">
        <v>225</v>
      </c>
      <c r="B11" s="815"/>
      <c r="C11" s="1025">
        <f>huishoudens!B8</f>
        <v>53655.700920048221</v>
      </c>
      <c r="D11" s="1025">
        <f>huishoudens!C8</f>
        <v>0</v>
      </c>
      <c r="E11" s="1025">
        <f>huishoudens!D8</f>
        <v>70224.617609035646</v>
      </c>
      <c r="F11" s="1025">
        <f>huishoudens!E8</f>
        <v>5546.0405546471575</v>
      </c>
      <c r="G11" s="1025">
        <f>huishoudens!F8</f>
        <v>56179.74423555551</v>
      </c>
      <c r="H11" s="1025">
        <f>huishoudens!G8</f>
        <v>0</v>
      </c>
      <c r="I11" s="1025">
        <f>huishoudens!H8</f>
        <v>0</v>
      </c>
      <c r="J11" s="1025">
        <f>huishoudens!I8</f>
        <v>0</v>
      </c>
      <c r="K11" s="1025">
        <f>huishoudens!J8</f>
        <v>7625.7717095038352</v>
      </c>
      <c r="L11" s="1025">
        <f>huishoudens!K8</f>
        <v>0</v>
      </c>
      <c r="M11" s="1025">
        <f>huishoudens!L8</f>
        <v>0</v>
      </c>
      <c r="N11" s="1025">
        <f>huishoudens!M8</f>
        <v>0</v>
      </c>
      <c r="O11" s="1025">
        <f>huishoudens!N8</f>
        <v>15347.698803325266</v>
      </c>
      <c r="P11" s="1025">
        <f>huishoudens!O8</f>
        <v>331.42666666666673</v>
      </c>
      <c r="Q11" s="1026">
        <f>huishoudens!P8</f>
        <v>1182.1333333333332</v>
      </c>
      <c r="R11" s="701">
        <f>SUM(C11:Q11)</f>
        <v>210093.13383211565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31405.185890000001</v>
      </c>
      <c r="D13" s="1025">
        <f>industrie!C18</f>
        <v>0</v>
      </c>
      <c r="E13" s="1025">
        <f>industrie!D18</f>
        <v>8197.2001172741529</v>
      </c>
      <c r="F13" s="1025">
        <f>industrie!E18</f>
        <v>5021.7016280549396</v>
      </c>
      <c r="G13" s="1025">
        <f>industrie!F18</f>
        <v>25659.449713584785</v>
      </c>
      <c r="H13" s="1025">
        <f>industrie!G18</f>
        <v>0</v>
      </c>
      <c r="I13" s="1025">
        <f>industrie!H18</f>
        <v>0</v>
      </c>
      <c r="J13" s="1025">
        <f>industrie!I18</f>
        <v>0</v>
      </c>
      <c r="K13" s="1025">
        <f>industrie!J18</f>
        <v>169.81308239781868</v>
      </c>
      <c r="L13" s="1025">
        <f>industrie!K18</f>
        <v>0</v>
      </c>
      <c r="M13" s="1025">
        <f>industrie!L18</f>
        <v>0</v>
      </c>
      <c r="N13" s="1025">
        <f>industrie!M18</f>
        <v>0</v>
      </c>
      <c r="O13" s="1025">
        <f>industrie!N18</f>
        <v>10046.994239733562</v>
      </c>
      <c r="P13" s="1025">
        <f>industrie!O18</f>
        <v>0</v>
      </c>
      <c r="Q13" s="1026">
        <f>industrie!P18</f>
        <v>0</v>
      </c>
      <c r="R13" s="701">
        <f>SUM(C13:Q13)</f>
        <v>80500.344671045255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123375.01471004821</v>
      </c>
      <c r="D16" s="733">
        <f t="shared" ref="D16:R16" ca="1" si="0">SUM(D9:D15)</f>
        <v>1928.5714285714287</v>
      </c>
      <c r="E16" s="733">
        <f t="shared" ca="1" si="0"/>
        <v>110373.83214306834</v>
      </c>
      <c r="F16" s="733">
        <f t="shared" si="0"/>
        <v>10890.535815243587</v>
      </c>
      <c r="G16" s="733">
        <f t="shared" ca="1" si="0"/>
        <v>86861.454244945126</v>
      </c>
      <c r="H16" s="733">
        <f t="shared" si="0"/>
        <v>0</v>
      </c>
      <c r="I16" s="733">
        <f t="shared" si="0"/>
        <v>0</v>
      </c>
      <c r="J16" s="733">
        <f t="shared" si="0"/>
        <v>0</v>
      </c>
      <c r="K16" s="733">
        <f t="shared" si="0"/>
        <v>7795.5847919016542</v>
      </c>
      <c r="L16" s="733">
        <f t="shared" si="0"/>
        <v>0</v>
      </c>
      <c r="M16" s="733">
        <f t="shared" ca="1" si="0"/>
        <v>0</v>
      </c>
      <c r="N16" s="733">
        <f t="shared" si="0"/>
        <v>0</v>
      </c>
      <c r="O16" s="733">
        <f t="shared" ca="1" si="0"/>
        <v>27361.411737728038</v>
      </c>
      <c r="P16" s="733">
        <f t="shared" si="0"/>
        <v>332.99000000000007</v>
      </c>
      <c r="Q16" s="733">
        <f t="shared" si="0"/>
        <v>1220.2666666666667</v>
      </c>
      <c r="R16" s="733">
        <f t="shared" ca="1" si="0"/>
        <v>370139.66153817304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2112.6808500700449</v>
      </c>
      <c r="I19" s="1025">
        <f>transport!H54</f>
        <v>0</v>
      </c>
      <c r="J19" s="1025">
        <f>transport!I54</f>
        <v>0</v>
      </c>
      <c r="K19" s="1025">
        <f>transport!J54</f>
        <v>0</v>
      </c>
      <c r="L19" s="1025">
        <f>transport!K54</f>
        <v>0</v>
      </c>
      <c r="M19" s="1025">
        <f>transport!L54</f>
        <v>0</v>
      </c>
      <c r="N19" s="1025">
        <f>transport!M54</f>
        <v>120.48003008212002</v>
      </c>
      <c r="O19" s="1025">
        <f>transport!N54</f>
        <v>0</v>
      </c>
      <c r="P19" s="1025">
        <f>transport!O54</f>
        <v>0</v>
      </c>
      <c r="Q19" s="1026">
        <f>transport!P54</f>
        <v>0</v>
      </c>
      <c r="R19" s="701">
        <f>SUM(C19:Q19)</f>
        <v>2233.1608801521647</v>
      </c>
      <c r="S19" s="67"/>
    </row>
    <row r="20" spans="1:19" s="474" customFormat="1">
      <c r="A20" s="810" t="s">
        <v>307</v>
      </c>
      <c r="B20" s="815"/>
      <c r="C20" s="1025">
        <f>transport!B14</f>
        <v>18.875677690638312</v>
      </c>
      <c r="D20" s="1025">
        <f>transport!C14</f>
        <v>0</v>
      </c>
      <c r="E20" s="1025">
        <f>transport!D14</f>
        <v>54.45383659681</v>
      </c>
      <c r="F20" s="1025">
        <f>transport!E14</f>
        <v>342.10353609215559</v>
      </c>
      <c r="G20" s="1025">
        <f>transport!F14</f>
        <v>0</v>
      </c>
      <c r="H20" s="1025">
        <f>transport!G14</f>
        <v>97205.28294075653</v>
      </c>
      <c r="I20" s="1025">
        <f>transport!H14</f>
        <v>20459.454237843649</v>
      </c>
      <c r="J20" s="1025">
        <f>transport!I14</f>
        <v>0</v>
      </c>
      <c r="K20" s="1025">
        <f>transport!J14</f>
        <v>0</v>
      </c>
      <c r="L20" s="1025">
        <f>transport!K14</f>
        <v>0</v>
      </c>
      <c r="M20" s="1025">
        <f>transport!L14</f>
        <v>0</v>
      </c>
      <c r="N20" s="1025">
        <f>transport!M14</f>
        <v>6252.7045431357792</v>
      </c>
      <c r="O20" s="1025">
        <f>transport!N14</f>
        <v>0</v>
      </c>
      <c r="P20" s="1025">
        <f>transport!O14</f>
        <v>0</v>
      </c>
      <c r="Q20" s="1026">
        <f>transport!P14</f>
        <v>0</v>
      </c>
      <c r="R20" s="701">
        <f>SUM(C20:Q20)</f>
        <v>124332.87477211557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18.875677690638312</v>
      </c>
      <c r="D22" s="813">
        <f t="shared" ref="D22:R22" si="1">SUM(D18:D21)</f>
        <v>0</v>
      </c>
      <c r="E22" s="813">
        <f t="shared" si="1"/>
        <v>54.45383659681</v>
      </c>
      <c r="F22" s="813">
        <f t="shared" si="1"/>
        <v>342.10353609215559</v>
      </c>
      <c r="G22" s="813">
        <f t="shared" si="1"/>
        <v>0</v>
      </c>
      <c r="H22" s="813">
        <f t="shared" si="1"/>
        <v>99317.963790826572</v>
      </c>
      <c r="I22" s="813">
        <f t="shared" si="1"/>
        <v>20459.454237843649</v>
      </c>
      <c r="J22" s="813">
        <f t="shared" si="1"/>
        <v>0</v>
      </c>
      <c r="K22" s="813">
        <f t="shared" si="1"/>
        <v>0</v>
      </c>
      <c r="L22" s="813">
        <f t="shared" si="1"/>
        <v>0</v>
      </c>
      <c r="M22" s="813">
        <f t="shared" si="1"/>
        <v>0</v>
      </c>
      <c r="N22" s="813">
        <f t="shared" si="1"/>
        <v>6373.184573217899</v>
      </c>
      <c r="O22" s="813">
        <f t="shared" si="1"/>
        <v>0</v>
      </c>
      <c r="P22" s="813">
        <f t="shared" si="1"/>
        <v>0</v>
      </c>
      <c r="Q22" s="813">
        <f t="shared" si="1"/>
        <v>0</v>
      </c>
      <c r="R22" s="813">
        <f t="shared" si="1"/>
        <v>126566.03565226773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990.00334999999995</v>
      </c>
      <c r="D24" s="1025">
        <f>+landbouw!C8</f>
        <v>0</v>
      </c>
      <c r="E24" s="1025">
        <f>+landbouw!D8</f>
        <v>138.49948840981892</v>
      </c>
      <c r="F24" s="1025">
        <f>+landbouw!E8</f>
        <v>9.1698256792185457</v>
      </c>
      <c r="G24" s="1025">
        <f>+landbouw!F8</f>
        <v>2511.8270943946345</v>
      </c>
      <c r="H24" s="1025">
        <f>+landbouw!G8</f>
        <v>0</v>
      </c>
      <c r="I24" s="1025">
        <f>+landbouw!H8</f>
        <v>0</v>
      </c>
      <c r="J24" s="1025">
        <f>+landbouw!I8</f>
        <v>0</v>
      </c>
      <c r="K24" s="1025">
        <f>+landbouw!J8</f>
        <v>151.77856202463201</v>
      </c>
      <c r="L24" s="1025">
        <f>+landbouw!K8</f>
        <v>0</v>
      </c>
      <c r="M24" s="1025">
        <f>+landbouw!L8</f>
        <v>0</v>
      </c>
      <c r="N24" s="1025">
        <f>+landbouw!M8</f>
        <v>0</v>
      </c>
      <c r="O24" s="1025">
        <f>+landbouw!N8</f>
        <v>0</v>
      </c>
      <c r="P24" s="1025">
        <f>+landbouw!O8</f>
        <v>0</v>
      </c>
      <c r="Q24" s="1026">
        <f>+landbouw!P8</f>
        <v>0</v>
      </c>
      <c r="R24" s="701">
        <f>SUM(C24:Q24)</f>
        <v>3801.2783205083038</v>
      </c>
      <c r="S24" s="67"/>
    </row>
    <row r="25" spans="1:19" s="474" customFormat="1" ht="15" thickBot="1">
      <c r="A25" s="832" t="s">
        <v>864</v>
      </c>
      <c r="B25" s="1028"/>
      <c r="C25" s="1029">
        <f>IF(Onbekend_ele_kWh="---",0,Onbekend_ele_kWh)/1000+IF(REST_rest_ele_kWh="---",0,REST_rest_ele_kWh)/1000</f>
        <v>1739.0150000000001</v>
      </c>
      <c r="D25" s="1029"/>
      <c r="E25" s="1029">
        <f>IF(onbekend_gas_kWh="---",0,onbekend_gas_kWh)/1000+IF(REST_rest_gas_kWh="---",0,REST_rest_gas_kWh)/1000</f>
        <v>4471.7505713903902</v>
      </c>
      <c r="F25" s="1029"/>
      <c r="G25" s="1029"/>
      <c r="H25" s="1029"/>
      <c r="I25" s="1029"/>
      <c r="J25" s="1029"/>
      <c r="K25" s="1029"/>
      <c r="L25" s="1029"/>
      <c r="M25" s="1029"/>
      <c r="N25" s="1029"/>
      <c r="O25" s="1029"/>
      <c r="P25" s="1029"/>
      <c r="Q25" s="1030"/>
      <c r="R25" s="701">
        <f>SUM(C25:Q25)</f>
        <v>6210.7655713903905</v>
      </c>
      <c r="S25" s="67"/>
    </row>
    <row r="26" spans="1:19" s="474" customFormat="1" ht="15.75" thickBot="1">
      <c r="A26" s="706" t="s">
        <v>865</v>
      </c>
      <c r="B26" s="818"/>
      <c r="C26" s="813">
        <f>SUM(C24:C25)</f>
        <v>2729.0183500000003</v>
      </c>
      <c r="D26" s="813">
        <f t="shared" ref="D26:R26" si="2">SUM(D24:D25)</f>
        <v>0</v>
      </c>
      <c r="E26" s="813">
        <f t="shared" si="2"/>
        <v>4610.2500598002089</v>
      </c>
      <c r="F26" s="813">
        <f t="shared" si="2"/>
        <v>9.1698256792185457</v>
      </c>
      <c r="G26" s="813">
        <f t="shared" si="2"/>
        <v>2511.8270943946345</v>
      </c>
      <c r="H26" s="813">
        <f t="shared" si="2"/>
        <v>0</v>
      </c>
      <c r="I26" s="813">
        <f t="shared" si="2"/>
        <v>0</v>
      </c>
      <c r="J26" s="813">
        <f t="shared" si="2"/>
        <v>0</v>
      </c>
      <c r="K26" s="813">
        <f t="shared" si="2"/>
        <v>151.77856202463201</v>
      </c>
      <c r="L26" s="813">
        <f t="shared" si="2"/>
        <v>0</v>
      </c>
      <c r="M26" s="813">
        <f t="shared" si="2"/>
        <v>0</v>
      </c>
      <c r="N26" s="813">
        <f t="shared" si="2"/>
        <v>0</v>
      </c>
      <c r="O26" s="813">
        <f t="shared" si="2"/>
        <v>0</v>
      </c>
      <c r="P26" s="813">
        <f t="shared" si="2"/>
        <v>0</v>
      </c>
      <c r="Q26" s="813">
        <f t="shared" si="2"/>
        <v>0</v>
      </c>
      <c r="R26" s="813">
        <f t="shared" si="2"/>
        <v>10012.043891898695</v>
      </c>
      <c r="S26" s="67"/>
    </row>
    <row r="27" spans="1:19" s="474" customFormat="1" ht="17.25" thickTop="1" thickBot="1">
      <c r="A27" s="707" t="s">
        <v>116</v>
      </c>
      <c r="B27" s="806"/>
      <c r="C27" s="708">
        <f ca="1">C22+C16+C26</f>
        <v>126122.90873773885</v>
      </c>
      <c r="D27" s="708">
        <f t="shared" ref="D27:R27" ca="1" si="3">D22+D16+D26</f>
        <v>1928.5714285714287</v>
      </c>
      <c r="E27" s="708">
        <f t="shared" ca="1" si="3"/>
        <v>115038.53603946535</v>
      </c>
      <c r="F27" s="708">
        <f t="shared" si="3"/>
        <v>11241.809177014962</v>
      </c>
      <c r="G27" s="708">
        <f t="shared" ca="1" si="3"/>
        <v>89373.281339339766</v>
      </c>
      <c r="H27" s="708">
        <f t="shared" si="3"/>
        <v>99317.963790826572</v>
      </c>
      <c r="I27" s="708">
        <f t="shared" si="3"/>
        <v>20459.454237843649</v>
      </c>
      <c r="J27" s="708">
        <f t="shared" si="3"/>
        <v>0</v>
      </c>
      <c r="K27" s="708">
        <f t="shared" si="3"/>
        <v>7947.3633539262864</v>
      </c>
      <c r="L27" s="708">
        <f t="shared" si="3"/>
        <v>0</v>
      </c>
      <c r="M27" s="708">
        <f t="shared" ca="1" si="3"/>
        <v>0</v>
      </c>
      <c r="N27" s="708">
        <f t="shared" si="3"/>
        <v>6373.184573217899</v>
      </c>
      <c r="O27" s="708">
        <f t="shared" ca="1" si="3"/>
        <v>27361.411737728038</v>
      </c>
      <c r="P27" s="708">
        <f t="shared" si="3"/>
        <v>332.99000000000007</v>
      </c>
      <c r="Q27" s="708">
        <f t="shared" si="3"/>
        <v>1220.2666666666667</v>
      </c>
      <c r="R27" s="708">
        <f t="shared" ca="1" si="3"/>
        <v>506717.74108233949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8006.4368935253588</v>
      </c>
      <c r="D40" s="1025">
        <f ca="1">tertiair!C20</f>
        <v>458.31932773109253</v>
      </c>
      <c r="E40" s="1025">
        <f ca="1">tertiair!D20</f>
        <v>6454.3069121852241</v>
      </c>
      <c r="F40" s="1025">
        <f>tertiair!E20</f>
        <v>73.27415458691847</v>
      </c>
      <c r="G40" s="1025">
        <f ca="1">tertiair!F20</f>
        <v>1340.9434989798895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16333.280787008483</v>
      </c>
    </row>
    <row r="41" spans="1:18">
      <c r="A41" s="823" t="s">
        <v>225</v>
      </c>
      <c r="B41" s="830"/>
      <c r="C41" s="1025">
        <f ca="1">huishoudens!B12</f>
        <v>11212.338814430814</v>
      </c>
      <c r="D41" s="1025">
        <f ca="1">huishoudens!C12</f>
        <v>0</v>
      </c>
      <c r="E41" s="1025">
        <f>huishoudens!D12</f>
        <v>14185.372757025201</v>
      </c>
      <c r="F41" s="1025">
        <f>huishoudens!E12</f>
        <v>1258.9512059049048</v>
      </c>
      <c r="G41" s="1025">
        <f>huishoudens!F12</f>
        <v>14999.991710893322</v>
      </c>
      <c r="H41" s="1025">
        <f>huishoudens!G12</f>
        <v>0</v>
      </c>
      <c r="I41" s="1025">
        <f>huishoudens!H12</f>
        <v>0</v>
      </c>
      <c r="J41" s="1025">
        <f>huishoudens!I12</f>
        <v>0</v>
      </c>
      <c r="K41" s="1025">
        <f>huishoudens!J12</f>
        <v>2699.5231851643575</v>
      </c>
      <c r="L41" s="1025">
        <f>huishoudens!K12</f>
        <v>0</v>
      </c>
      <c r="M41" s="1025">
        <f>huishoudens!L12</f>
        <v>0</v>
      </c>
      <c r="N41" s="1025">
        <f>huishoudens!M12</f>
        <v>0</v>
      </c>
      <c r="O41" s="1025">
        <f>huishoudens!N12</f>
        <v>0</v>
      </c>
      <c r="P41" s="1025">
        <f>huishoudens!O12</f>
        <v>0</v>
      </c>
      <c r="Q41" s="775">
        <f>huishoudens!P12</f>
        <v>0</v>
      </c>
      <c r="R41" s="851">
        <f t="shared" ca="1" si="4"/>
        <v>44356.177673418591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6562.6872576608484</v>
      </c>
      <c r="D43" s="1025">
        <f ca="1">industrie!C22</f>
        <v>0</v>
      </c>
      <c r="E43" s="1025">
        <f>industrie!D22</f>
        <v>1655.834423689379</v>
      </c>
      <c r="F43" s="1025">
        <f>industrie!E22</f>
        <v>1139.9262695684713</v>
      </c>
      <c r="G43" s="1025">
        <f>industrie!F22</f>
        <v>6851.0730735271381</v>
      </c>
      <c r="H43" s="1025">
        <f>industrie!G22</f>
        <v>0</v>
      </c>
      <c r="I43" s="1025">
        <f>industrie!H22</f>
        <v>0</v>
      </c>
      <c r="J43" s="1025">
        <f>industrie!I22</f>
        <v>0</v>
      </c>
      <c r="K43" s="1025">
        <f>industrie!J22</f>
        <v>60.113831168827808</v>
      </c>
      <c r="L43" s="1025">
        <f>industrie!K22</f>
        <v>0</v>
      </c>
      <c r="M43" s="1025">
        <f>industrie!L22</f>
        <v>0</v>
      </c>
      <c r="N43" s="1025">
        <f>industrie!M22</f>
        <v>0</v>
      </c>
      <c r="O43" s="1025">
        <f>industrie!N22</f>
        <v>0</v>
      </c>
      <c r="P43" s="1025">
        <f>industrie!O22</f>
        <v>0</v>
      </c>
      <c r="Q43" s="775">
        <f>industrie!P22</f>
        <v>0</v>
      </c>
      <c r="R43" s="850">
        <f t="shared" ca="1" si="4"/>
        <v>16269.634855614664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25781.462965617018</v>
      </c>
      <c r="D46" s="733">
        <f t="shared" ref="D46:Q46" ca="1" si="5">SUM(D39:D45)</f>
        <v>458.31932773109253</v>
      </c>
      <c r="E46" s="733">
        <f t="shared" ca="1" si="5"/>
        <v>22295.514092899804</v>
      </c>
      <c r="F46" s="733">
        <f t="shared" si="5"/>
        <v>2472.1516300602943</v>
      </c>
      <c r="G46" s="733">
        <f t="shared" ca="1" si="5"/>
        <v>23192.008283400352</v>
      </c>
      <c r="H46" s="733">
        <f t="shared" si="5"/>
        <v>0</v>
      </c>
      <c r="I46" s="733">
        <f t="shared" si="5"/>
        <v>0</v>
      </c>
      <c r="J46" s="733">
        <f t="shared" si="5"/>
        <v>0</v>
      </c>
      <c r="K46" s="733">
        <f t="shared" si="5"/>
        <v>2759.6370163331853</v>
      </c>
      <c r="L46" s="733">
        <f t="shared" si="5"/>
        <v>0</v>
      </c>
      <c r="M46" s="733">
        <f t="shared" ca="1" si="5"/>
        <v>0</v>
      </c>
      <c r="N46" s="733">
        <f t="shared" si="5"/>
        <v>0</v>
      </c>
      <c r="O46" s="733">
        <f t="shared" ca="1" si="5"/>
        <v>0</v>
      </c>
      <c r="P46" s="733">
        <f t="shared" si="5"/>
        <v>0</v>
      </c>
      <c r="Q46" s="733">
        <f t="shared" si="5"/>
        <v>0</v>
      </c>
      <c r="R46" s="733">
        <f ca="1">SUM(R39:R45)</f>
        <v>76959.093316041748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564.085786968702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564.085786968702</v>
      </c>
    </row>
    <row r="50" spans="1:18">
      <c r="A50" s="826" t="s">
        <v>307</v>
      </c>
      <c r="B50" s="836"/>
      <c r="C50" s="704">
        <f ca="1">transport!B18</f>
        <v>3.9444176478990172</v>
      </c>
      <c r="D50" s="704">
        <f>transport!C18</f>
        <v>0</v>
      </c>
      <c r="E50" s="704">
        <f>transport!D18</f>
        <v>10.999674992555621</v>
      </c>
      <c r="F50" s="704">
        <f>transport!E18</f>
        <v>77.657502692919323</v>
      </c>
      <c r="G50" s="704">
        <f>transport!F18</f>
        <v>0</v>
      </c>
      <c r="H50" s="704">
        <f>transport!G18</f>
        <v>25953.810545181994</v>
      </c>
      <c r="I50" s="704">
        <f>transport!H18</f>
        <v>5094.4041052230687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31140.816245738435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3.9444176478990172</v>
      </c>
      <c r="D52" s="733">
        <f t="shared" ref="D52:Q52" ca="1" si="6">SUM(D48:D51)</f>
        <v>0</v>
      </c>
      <c r="E52" s="733">
        <f t="shared" si="6"/>
        <v>10.999674992555621</v>
      </c>
      <c r="F52" s="733">
        <f t="shared" si="6"/>
        <v>77.657502692919323</v>
      </c>
      <c r="G52" s="733">
        <f t="shared" si="6"/>
        <v>0</v>
      </c>
      <c r="H52" s="733">
        <f t="shared" si="6"/>
        <v>26517.896332150696</v>
      </c>
      <c r="I52" s="733">
        <f t="shared" si="6"/>
        <v>5094.4041052230687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31704.902032707138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206.87928397696081</v>
      </c>
      <c r="D54" s="704">
        <f ca="1">+landbouw!C12</f>
        <v>0</v>
      </c>
      <c r="E54" s="704">
        <f>+landbouw!D12</f>
        <v>27.976896658783424</v>
      </c>
      <c r="F54" s="704">
        <f>+landbouw!E12</f>
        <v>2.0815504291826099</v>
      </c>
      <c r="G54" s="704">
        <f>+landbouw!F12</f>
        <v>670.65783420336743</v>
      </c>
      <c r="H54" s="704">
        <f>+landbouw!G12</f>
        <v>0</v>
      </c>
      <c r="I54" s="704">
        <f>+landbouw!H12</f>
        <v>0</v>
      </c>
      <c r="J54" s="704">
        <f>+landbouw!I12</f>
        <v>0</v>
      </c>
      <c r="K54" s="704">
        <f>+landbouw!J12</f>
        <v>53.729610956719732</v>
      </c>
      <c r="L54" s="704">
        <f>+landbouw!K12</f>
        <v>0</v>
      </c>
      <c r="M54" s="704">
        <f>+landbouw!L12</f>
        <v>0</v>
      </c>
      <c r="N54" s="704">
        <f>+landbouw!M12</f>
        <v>0</v>
      </c>
      <c r="O54" s="704">
        <f>+landbouw!N12</f>
        <v>0</v>
      </c>
      <c r="P54" s="704">
        <f>+landbouw!O12</f>
        <v>0</v>
      </c>
      <c r="Q54" s="705">
        <f>+landbouw!P12</f>
        <v>0</v>
      </c>
      <c r="R54" s="732">
        <f ca="1">SUM(C54:Q54)</f>
        <v>961.32517622501405</v>
      </c>
    </row>
    <row r="55" spans="1:18" ht="15" thickBot="1">
      <c r="A55" s="826" t="s">
        <v>864</v>
      </c>
      <c r="B55" s="836"/>
      <c r="C55" s="704">
        <f ca="1">C25*'EF ele_warmte'!B12</f>
        <v>363.39895014011273</v>
      </c>
      <c r="D55" s="704"/>
      <c r="E55" s="704">
        <f>E25*EF_CO2_aardgas</f>
        <v>903.29361542085883</v>
      </c>
      <c r="F55" s="704"/>
      <c r="G55" s="704"/>
      <c r="H55" s="704"/>
      <c r="I55" s="704"/>
      <c r="J55" s="704"/>
      <c r="K55" s="704"/>
      <c r="L55" s="704"/>
      <c r="M55" s="704"/>
      <c r="N55" s="704"/>
      <c r="O55" s="704"/>
      <c r="P55" s="704"/>
      <c r="Q55" s="705"/>
      <c r="R55" s="732">
        <f ca="1">SUM(C55:Q55)</f>
        <v>1266.6925655609716</v>
      </c>
    </row>
    <row r="56" spans="1:18" ht="15.75" thickBot="1">
      <c r="A56" s="824" t="s">
        <v>865</v>
      </c>
      <c r="B56" s="837"/>
      <c r="C56" s="733">
        <f ca="1">SUM(C54:C55)</f>
        <v>570.27823411707357</v>
      </c>
      <c r="D56" s="733">
        <f t="shared" ref="D56:Q56" ca="1" si="7">SUM(D54:D55)</f>
        <v>0</v>
      </c>
      <c r="E56" s="733">
        <f t="shared" si="7"/>
        <v>931.27051207964223</v>
      </c>
      <c r="F56" s="733">
        <f t="shared" si="7"/>
        <v>2.0815504291826099</v>
      </c>
      <c r="G56" s="733">
        <f t="shared" si="7"/>
        <v>670.65783420336743</v>
      </c>
      <c r="H56" s="733">
        <f t="shared" si="7"/>
        <v>0</v>
      </c>
      <c r="I56" s="733">
        <f t="shared" si="7"/>
        <v>0</v>
      </c>
      <c r="J56" s="733">
        <f t="shared" si="7"/>
        <v>0</v>
      </c>
      <c r="K56" s="733">
        <f t="shared" si="7"/>
        <v>53.729610956719732</v>
      </c>
      <c r="L56" s="733">
        <f t="shared" si="7"/>
        <v>0</v>
      </c>
      <c r="M56" s="733">
        <f t="shared" si="7"/>
        <v>0</v>
      </c>
      <c r="N56" s="733">
        <f t="shared" si="7"/>
        <v>0</v>
      </c>
      <c r="O56" s="733">
        <f t="shared" si="7"/>
        <v>0</v>
      </c>
      <c r="P56" s="733">
        <f t="shared" si="7"/>
        <v>0</v>
      </c>
      <c r="Q56" s="734">
        <f t="shared" si="7"/>
        <v>0</v>
      </c>
      <c r="R56" s="735">
        <f ca="1">SUM(R54:R55)</f>
        <v>2228.0177417859859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26355.685617381991</v>
      </c>
      <c r="D61" s="741">
        <f t="shared" ref="D61:Q61" ca="1" si="8">D46+D52+D56</f>
        <v>458.31932773109253</v>
      </c>
      <c r="E61" s="741">
        <f t="shared" ca="1" si="8"/>
        <v>23237.784279972002</v>
      </c>
      <c r="F61" s="741">
        <f t="shared" si="8"/>
        <v>2551.8906831823965</v>
      </c>
      <c r="G61" s="741">
        <f t="shared" ca="1" si="8"/>
        <v>23862.66611760372</v>
      </c>
      <c r="H61" s="741">
        <f t="shared" si="8"/>
        <v>26517.896332150696</v>
      </c>
      <c r="I61" s="741">
        <f t="shared" si="8"/>
        <v>5094.4041052230687</v>
      </c>
      <c r="J61" s="741">
        <f t="shared" si="8"/>
        <v>0</v>
      </c>
      <c r="K61" s="741">
        <f t="shared" si="8"/>
        <v>2813.366627289905</v>
      </c>
      <c r="L61" s="741">
        <f t="shared" si="8"/>
        <v>0</v>
      </c>
      <c r="M61" s="741">
        <f t="shared" ca="1" si="8"/>
        <v>0</v>
      </c>
      <c r="N61" s="741">
        <f t="shared" si="8"/>
        <v>0</v>
      </c>
      <c r="O61" s="741">
        <f t="shared" ca="1" si="8"/>
        <v>0</v>
      </c>
      <c r="P61" s="741">
        <f t="shared" si="8"/>
        <v>0</v>
      </c>
      <c r="Q61" s="741">
        <f t="shared" si="8"/>
        <v>0</v>
      </c>
      <c r="R61" s="741">
        <f ca="1">R46+R52+R56</f>
        <v>110892.01309053486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0.20896826659926032</v>
      </c>
      <c r="D63" s="782">
        <f t="shared" ca="1" si="9"/>
        <v>0.23764705882352943</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9.8618834080717495</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6958.2410264112114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1350</v>
      </c>
      <c r="D76" s="1046">
        <f>'lokale energieproductie'!C8</f>
        <v>1588.2352941176473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320.82352941176475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6968.102909819283</v>
      </c>
      <c r="C78" s="756">
        <f>SUM(C72:C77)</f>
        <v>1350</v>
      </c>
      <c r="D78" s="757">
        <f t="shared" ref="D78:H78" si="10">SUM(D76:D77)</f>
        <v>1588.2352941176473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320.82352941176475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1928.5714285714287</v>
      </c>
      <c r="D87" s="778">
        <f>'lokale energieproductie'!C17</f>
        <v>2268.9075630252105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458.31932773109253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1928.5714285714287</v>
      </c>
      <c r="D90" s="756">
        <f t="shared" ref="D90:H90" si="12">SUM(D87:D89)</f>
        <v>2268.9075630252105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458.31932773109253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9.8618834080717495</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6958.2410264112114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1350</v>
      </c>
      <c r="C8" s="571">
        <f>B101</f>
        <v>1588.2352941176473</v>
      </c>
      <c r="D8" s="1056"/>
      <c r="E8" s="1056">
        <f>E101</f>
        <v>0</v>
      </c>
      <c r="F8" s="1057"/>
      <c r="G8" s="572"/>
      <c r="H8" s="1056">
        <f>I101</f>
        <v>0</v>
      </c>
      <c r="I8" s="1056">
        <f>G101+F101</f>
        <v>0</v>
      </c>
      <c r="J8" s="1056">
        <f>H101+D101+C101</f>
        <v>0</v>
      </c>
      <c r="K8" s="1056"/>
      <c r="L8" s="1056"/>
      <c r="M8" s="1056"/>
      <c r="N8" s="573"/>
      <c r="O8" s="574">
        <f>C8*$C$12+D8*$D$12+E8*$E$12+F8*$F$12+G8*$G$12+H8*$H$12+I8*$I$12+J8*$J$12</f>
        <v>320.82352941176475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8318.102909819283</v>
      </c>
      <c r="C10" s="584">
        <f t="shared" ref="C10:L10" si="0">SUM(C8:C9)</f>
        <v>1588.2352941176473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320.82352941176475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1928.5714285714287</v>
      </c>
      <c r="C17" s="596">
        <f>B102</f>
        <v>2268.9075630252105</v>
      </c>
      <c r="D17" s="597"/>
      <c r="E17" s="597">
        <f>E102</f>
        <v>0</v>
      </c>
      <c r="F17" s="1062"/>
      <c r="G17" s="598"/>
      <c r="H17" s="596">
        <f>I102</f>
        <v>0</v>
      </c>
      <c r="I17" s="597">
        <f>G102+F102</f>
        <v>0</v>
      </c>
      <c r="J17" s="597">
        <f>H102+D102+C102</f>
        <v>0</v>
      </c>
      <c r="K17" s="597"/>
      <c r="L17" s="597"/>
      <c r="M17" s="597"/>
      <c r="N17" s="1063"/>
      <c r="O17" s="599">
        <f>C17*$C$22+E17*$E$22+H17*$H$22+I17*$I$22+J17*$J$22+D17*$D$22+F17*$F$22+G17*$G$22+K17*$K$22+L17*$L$22</f>
        <v>458.31932773109253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1928.5714285714287</v>
      </c>
      <c r="C20" s="583">
        <f>SUM(C17:C19)</f>
        <v>2268.9075630252105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458.31932773109253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41081</v>
      </c>
      <c r="C28" s="797">
        <v>9620</v>
      </c>
      <c r="D28" s="654" t="s">
        <v>907</v>
      </c>
      <c r="E28" s="653" t="s">
        <v>908</v>
      </c>
      <c r="F28" s="653" t="s">
        <v>909</v>
      </c>
      <c r="G28" s="653" t="s">
        <v>910</v>
      </c>
      <c r="H28" s="653" t="s">
        <v>911</v>
      </c>
      <c r="I28" s="653" t="s">
        <v>908</v>
      </c>
      <c r="J28" s="796">
        <v>38159</v>
      </c>
      <c r="K28" s="796">
        <v>38718</v>
      </c>
      <c r="L28" s="653" t="s">
        <v>912</v>
      </c>
      <c r="M28" s="653">
        <v>300</v>
      </c>
      <c r="N28" s="653">
        <v>1350</v>
      </c>
      <c r="O28" s="653">
        <v>1928.5714285714287</v>
      </c>
      <c r="P28" s="653">
        <v>3857.1428571428573</v>
      </c>
      <c r="Q28" s="653">
        <v>0</v>
      </c>
      <c r="R28" s="653">
        <v>0</v>
      </c>
      <c r="S28" s="653">
        <v>0</v>
      </c>
      <c r="T28" s="653">
        <v>0</v>
      </c>
      <c r="U28" s="653">
        <v>0</v>
      </c>
      <c r="V28" s="653">
        <v>0</v>
      </c>
      <c r="W28" s="653">
        <v>0</v>
      </c>
      <c r="X28" s="653">
        <v>1500</v>
      </c>
      <c r="Y28" s="653" t="s">
        <v>51</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300</v>
      </c>
      <c r="N58" s="611">
        <f>SUM(N28:N57)</f>
        <v>1350</v>
      </c>
      <c r="O58" s="611">
        <f t="shared" ref="O58:W58" si="2">SUM(O28:O57)</f>
        <v>1928.5714285714287</v>
      </c>
      <c r="P58" s="611">
        <f t="shared" si="2"/>
        <v>3857.1428571428573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300</v>
      </c>
      <c r="N60" s="611">
        <f ca="1">SUMIF($Z$28:AD57,"tertiair",N28:N57)</f>
        <v>1350</v>
      </c>
      <c r="O60" s="611">
        <f ca="1">SUMIF($Z$28:AE57,"tertiair",O28:O57)</f>
        <v>1928.5714285714287</v>
      </c>
      <c r="P60" s="611">
        <f ca="1">SUMIF($Z$28:AF57,"tertiair",P28:P57)</f>
        <v>3857.1428571428573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1588.2352941176473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2268.9075630252105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53655.700920048221</v>
      </c>
      <c r="C4" s="478">
        <f>huishoudens!C8</f>
        <v>0</v>
      </c>
      <c r="D4" s="478">
        <f>huishoudens!D8</f>
        <v>70224.617609035646</v>
      </c>
      <c r="E4" s="478">
        <f>huishoudens!E8</f>
        <v>5546.0405546471575</v>
      </c>
      <c r="F4" s="478">
        <f>huishoudens!F8</f>
        <v>56179.74423555551</v>
      </c>
      <c r="G4" s="478">
        <f>huishoudens!G8</f>
        <v>0</v>
      </c>
      <c r="H4" s="478">
        <f>huishoudens!H8</f>
        <v>0</v>
      </c>
      <c r="I4" s="478">
        <f>huishoudens!I8</f>
        <v>0</v>
      </c>
      <c r="J4" s="478">
        <f>huishoudens!J8</f>
        <v>7625.7717095038352</v>
      </c>
      <c r="K4" s="478">
        <f>huishoudens!K8</f>
        <v>0</v>
      </c>
      <c r="L4" s="478">
        <f>huishoudens!L8</f>
        <v>0</v>
      </c>
      <c r="M4" s="478">
        <f>huishoudens!M8</f>
        <v>0</v>
      </c>
      <c r="N4" s="478">
        <f>huishoudens!N8</f>
        <v>15347.698803325266</v>
      </c>
      <c r="O4" s="478">
        <f>huishoudens!O8</f>
        <v>331.42666666666673</v>
      </c>
      <c r="P4" s="479">
        <f>huishoudens!P8</f>
        <v>1182.1333333333332</v>
      </c>
      <c r="Q4" s="480">
        <f>SUM(B4:P4)</f>
        <v>210093.13383211565</v>
      </c>
    </row>
    <row r="5" spans="1:17">
      <c r="A5" s="477" t="s">
        <v>156</v>
      </c>
      <c r="B5" s="478">
        <f ca="1">tertiair!B16</f>
        <v>36468.706900000005</v>
      </c>
      <c r="C5" s="478">
        <f ca="1">tertiair!C16</f>
        <v>1928.5714285714287</v>
      </c>
      <c r="D5" s="478">
        <f ca="1">tertiair!D16</f>
        <v>31952.014416758535</v>
      </c>
      <c r="E5" s="478">
        <f>tertiair!E16</f>
        <v>322.79363254149104</v>
      </c>
      <c r="F5" s="478">
        <f ca="1">tertiair!F16</f>
        <v>5022.2602958048292</v>
      </c>
      <c r="G5" s="478">
        <f>tertiair!G16</f>
        <v>0</v>
      </c>
      <c r="H5" s="478">
        <f>tertiair!H16</f>
        <v>0</v>
      </c>
      <c r="I5" s="478">
        <f>tertiair!I16</f>
        <v>0</v>
      </c>
      <c r="J5" s="478">
        <f>tertiair!J16</f>
        <v>0</v>
      </c>
      <c r="K5" s="478">
        <f>tertiair!K16</f>
        <v>0</v>
      </c>
      <c r="L5" s="478">
        <f ca="1">tertiair!L16</f>
        <v>0</v>
      </c>
      <c r="M5" s="478">
        <f>tertiair!M16</f>
        <v>0</v>
      </c>
      <c r="N5" s="478">
        <f ca="1">tertiair!N16</f>
        <v>1966.7186946692095</v>
      </c>
      <c r="O5" s="478">
        <f>tertiair!O16</f>
        <v>1.5633333333333335</v>
      </c>
      <c r="P5" s="479">
        <f>tertiair!P16</f>
        <v>38.133333333333333</v>
      </c>
      <c r="Q5" s="477">
        <f t="shared" ref="Q5:Q14" ca="1" si="0">SUM(B5:P5)</f>
        <v>77700.762035012158</v>
      </c>
    </row>
    <row r="6" spans="1:17">
      <c r="A6" s="477" t="s">
        <v>194</v>
      </c>
      <c r="B6" s="478">
        <f>'openbare verlichting'!B8</f>
        <v>1845.421</v>
      </c>
      <c r="C6" s="478"/>
      <c r="D6" s="478"/>
      <c r="E6" s="478"/>
      <c r="F6" s="478"/>
      <c r="G6" s="478"/>
      <c r="H6" s="478"/>
      <c r="I6" s="478"/>
      <c r="J6" s="478"/>
      <c r="K6" s="478"/>
      <c r="L6" s="478"/>
      <c r="M6" s="478"/>
      <c r="N6" s="478"/>
      <c r="O6" s="478"/>
      <c r="P6" s="479"/>
      <c r="Q6" s="477">
        <f t="shared" si="0"/>
        <v>1845.421</v>
      </c>
    </row>
    <row r="7" spans="1:17">
      <c r="A7" s="477" t="s">
        <v>112</v>
      </c>
      <c r="B7" s="478">
        <f>landbouw!B8</f>
        <v>990.00334999999995</v>
      </c>
      <c r="C7" s="478">
        <f>landbouw!C8</f>
        <v>0</v>
      </c>
      <c r="D7" s="478">
        <f>landbouw!D8</f>
        <v>138.49948840981892</v>
      </c>
      <c r="E7" s="478">
        <f>landbouw!E8</f>
        <v>9.1698256792185457</v>
      </c>
      <c r="F7" s="478">
        <f>landbouw!F8</f>
        <v>2511.8270943946345</v>
      </c>
      <c r="G7" s="478">
        <f>landbouw!G8</f>
        <v>0</v>
      </c>
      <c r="H7" s="478">
        <f>landbouw!H8</f>
        <v>0</v>
      </c>
      <c r="I7" s="478">
        <f>landbouw!I8</f>
        <v>0</v>
      </c>
      <c r="J7" s="478">
        <f>landbouw!J8</f>
        <v>151.77856202463201</v>
      </c>
      <c r="K7" s="478">
        <f>landbouw!K8</f>
        <v>0</v>
      </c>
      <c r="L7" s="478">
        <f>landbouw!L8</f>
        <v>0</v>
      </c>
      <c r="M7" s="478">
        <f>landbouw!M8</f>
        <v>0</v>
      </c>
      <c r="N7" s="478">
        <f>landbouw!N8</f>
        <v>0</v>
      </c>
      <c r="O7" s="478">
        <f>landbouw!O8</f>
        <v>0</v>
      </c>
      <c r="P7" s="479">
        <f>landbouw!P8</f>
        <v>0</v>
      </c>
      <c r="Q7" s="477">
        <f t="shared" si="0"/>
        <v>3801.2783205083038</v>
      </c>
    </row>
    <row r="8" spans="1:17">
      <c r="A8" s="477" t="s">
        <v>650</v>
      </c>
      <c r="B8" s="478">
        <f>industrie!B18</f>
        <v>31405.185890000001</v>
      </c>
      <c r="C8" s="478">
        <f>industrie!C18</f>
        <v>0</v>
      </c>
      <c r="D8" s="478">
        <f>industrie!D18</f>
        <v>8197.2001172741529</v>
      </c>
      <c r="E8" s="478">
        <f>industrie!E18</f>
        <v>5021.7016280549396</v>
      </c>
      <c r="F8" s="478">
        <f>industrie!F18</f>
        <v>25659.449713584785</v>
      </c>
      <c r="G8" s="478">
        <f>industrie!G18</f>
        <v>0</v>
      </c>
      <c r="H8" s="478">
        <f>industrie!H18</f>
        <v>0</v>
      </c>
      <c r="I8" s="478">
        <f>industrie!I18</f>
        <v>0</v>
      </c>
      <c r="J8" s="478">
        <f>industrie!J18</f>
        <v>169.81308239781868</v>
      </c>
      <c r="K8" s="478">
        <f>industrie!K18</f>
        <v>0</v>
      </c>
      <c r="L8" s="478">
        <f>industrie!L18</f>
        <v>0</v>
      </c>
      <c r="M8" s="478">
        <f>industrie!M18</f>
        <v>0</v>
      </c>
      <c r="N8" s="478">
        <f>industrie!N18</f>
        <v>10046.994239733562</v>
      </c>
      <c r="O8" s="478">
        <f>industrie!O18</f>
        <v>0</v>
      </c>
      <c r="P8" s="479">
        <f>industrie!P18</f>
        <v>0</v>
      </c>
      <c r="Q8" s="477">
        <f t="shared" si="0"/>
        <v>80500.344671045255</v>
      </c>
    </row>
    <row r="9" spans="1:17" s="483" customFormat="1">
      <c r="A9" s="481" t="s">
        <v>571</v>
      </c>
      <c r="B9" s="482">
        <f>transport!B14</f>
        <v>18.875677690638312</v>
      </c>
      <c r="C9" s="482">
        <f>transport!C14</f>
        <v>0</v>
      </c>
      <c r="D9" s="482">
        <f>transport!D14</f>
        <v>54.45383659681</v>
      </c>
      <c r="E9" s="482">
        <f>transport!E14</f>
        <v>342.10353609215559</v>
      </c>
      <c r="F9" s="482">
        <f>transport!F14</f>
        <v>0</v>
      </c>
      <c r="G9" s="482">
        <f>transport!G14</f>
        <v>97205.28294075653</v>
      </c>
      <c r="H9" s="482">
        <f>transport!H14</f>
        <v>20459.454237843649</v>
      </c>
      <c r="I9" s="482">
        <f>transport!I14</f>
        <v>0</v>
      </c>
      <c r="J9" s="482">
        <f>transport!J14</f>
        <v>0</v>
      </c>
      <c r="K9" s="482">
        <f>transport!K14</f>
        <v>0</v>
      </c>
      <c r="L9" s="482">
        <f>transport!L14</f>
        <v>0</v>
      </c>
      <c r="M9" s="482">
        <f>transport!M14</f>
        <v>6252.7045431357792</v>
      </c>
      <c r="N9" s="482">
        <f>transport!N14</f>
        <v>0</v>
      </c>
      <c r="O9" s="482">
        <f>transport!O14</f>
        <v>0</v>
      </c>
      <c r="P9" s="482">
        <f>transport!P14</f>
        <v>0</v>
      </c>
      <c r="Q9" s="481">
        <f>SUM(B9:P9)</f>
        <v>124332.87477211557</v>
      </c>
    </row>
    <row r="10" spans="1:17">
      <c r="A10" s="477" t="s">
        <v>561</v>
      </c>
      <c r="B10" s="478">
        <f>transport!B54</f>
        <v>0</v>
      </c>
      <c r="C10" s="478">
        <f>transport!C54</f>
        <v>0</v>
      </c>
      <c r="D10" s="478">
        <f>transport!D54</f>
        <v>0</v>
      </c>
      <c r="E10" s="478">
        <f>transport!E54</f>
        <v>0</v>
      </c>
      <c r="F10" s="478">
        <f>transport!F54</f>
        <v>0</v>
      </c>
      <c r="G10" s="478">
        <f>transport!G54</f>
        <v>2112.6808500700449</v>
      </c>
      <c r="H10" s="478">
        <f>transport!H54</f>
        <v>0</v>
      </c>
      <c r="I10" s="478">
        <f>transport!I54</f>
        <v>0</v>
      </c>
      <c r="J10" s="478">
        <f>transport!J54</f>
        <v>0</v>
      </c>
      <c r="K10" s="478">
        <f>transport!K54</f>
        <v>0</v>
      </c>
      <c r="L10" s="478">
        <f>transport!L54</f>
        <v>0</v>
      </c>
      <c r="M10" s="478">
        <f>transport!M54</f>
        <v>120.48003008212002</v>
      </c>
      <c r="N10" s="478">
        <f>transport!N54</f>
        <v>0</v>
      </c>
      <c r="O10" s="478">
        <f>transport!O54</f>
        <v>0</v>
      </c>
      <c r="P10" s="479">
        <f>transport!P54</f>
        <v>0</v>
      </c>
      <c r="Q10" s="477">
        <f t="shared" si="0"/>
        <v>2233.1608801521647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1739.0150000000001</v>
      </c>
      <c r="C14" s="485"/>
      <c r="D14" s="485">
        <f>'SEAP template'!E25</f>
        <v>4471.7505713903902</v>
      </c>
      <c r="E14" s="485"/>
      <c r="F14" s="485"/>
      <c r="G14" s="485"/>
      <c r="H14" s="485"/>
      <c r="I14" s="485"/>
      <c r="J14" s="485"/>
      <c r="K14" s="485"/>
      <c r="L14" s="485"/>
      <c r="M14" s="485"/>
      <c r="N14" s="485"/>
      <c r="O14" s="485"/>
      <c r="P14" s="486"/>
      <c r="Q14" s="477">
        <f t="shared" si="0"/>
        <v>6210.7655713903905</v>
      </c>
    </row>
    <row r="15" spans="1:17" s="487" customFormat="1">
      <c r="A15" s="1051" t="s">
        <v>565</v>
      </c>
      <c r="B15" s="991">
        <f ca="1">SUM(B4:B14)</f>
        <v>126122.90873773886</v>
      </c>
      <c r="C15" s="991">
        <f t="shared" ref="C15:Q15" ca="1" si="1">SUM(C4:C14)</f>
        <v>1928.5714285714287</v>
      </c>
      <c r="D15" s="991">
        <f t="shared" ca="1" si="1"/>
        <v>115038.53603946535</v>
      </c>
      <c r="E15" s="991">
        <f t="shared" si="1"/>
        <v>11241.809177014962</v>
      </c>
      <c r="F15" s="991">
        <f t="shared" ca="1" si="1"/>
        <v>89373.281339339766</v>
      </c>
      <c r="G15" s="991">
        <f t="shared" si="1"/>
        <v>99317.963790826572</v>
      </c>
      <c r="H15" s="991">
        <f t="shared" si="1"/>
        <v>20459.454237843649</v>
      </c>
      <c r="I15" s="991">
        <f t="shared" si="1"/>
        <v>0</v>
      </c>
      <c r="J15" s="991">
        <f t="shared" si="1"/>
        <v>7947.3633539262864</v>
      </c>
      <c r="K15" s="991">
        <f t="shared" si="1"/>
        <v>0</v>
      </c>
      <c r="L15" s="991">
        <f t="shared" ca="1" si="1"/>
        <v>0</v>
      </c>
      <c r="M15" s="991">
        <f t="shared" si="1"/>
        <v>6373.184573217899</v>
      </c>
      <c r="N15" s="991">
        <f t="shared" ca="1" si="1"/>
        <v>27361.411737728038</v>
      </c>
      <c r="O15" s="991">
        <f t="shared" si="1"/>
        <v>332.99000000000007</v>
      </c>
      <c r="P15" s="991">
        <f t="shared" si="1"/>
        <v>1220.2666666666667</v>
      </c>
      <c r="Q15" s="991">
        <f t="shared" ca="1" si="1"/>
        <v>506717.74108233943</v>
      </c>
    </row>
    <row r="17" spans="1:17">
      <c r="A17" s="488" t="s">
        <v>566</v>
      </c>
      <c r="B17" s="787">
        <f ca="1">huishoudens!B10</f>
        <v>0.20896826659926032</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11212.338814430814</v>
      </c>
      <c r="C22" s="478">
        <f t="shared" ref="C22:C32" ca="1" si="3">C4*$C$17</f>
        <v>0</v>
      </c>
      <c r="D22" s="478">
        <f t="shared" ref="D22:D32" si="4">D4*$D$17</f>
        <v>14185.372757025201</v>
      </c>
      <c r="E22" s="478">
        <f t="shared" ref="E22:E32" si="5">E4*$E$17</f>
        <v>1258.9512059049048</v>
      </c>
      <c r="F22" s="478">
        <f t="shared" ref="F22:F32" si="6">F4*$F$17</f>
        <v>14999.991710893322</v>
      </c>
      <c r="G22" s="478">
        <f t="shared" ref="G22:G32" si="7">G4*$G$17</f>
        <v>0</v>
      </c>
      <c r="H22" s="478">
        <f t="shared" ref="H22:H32" si="8">H4*$H$17</f>
        <v>0</v>
      </c>
      <c r="I22" s="478">
        <f t="shared" ref="I22:I32" si="9">I4*$I$17</f>
        <v>0</v>
      </c>
      <c r="J22" s="478">
        <f t="shared" ref="J22:J32" si="10">J4*$J$17</f>
        <v>2699.5231851643575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44356.177673418591</v>
      </c>
    </row>
    <row r="23" spans="1:17">
      <c r="A23" s="477" t="s">
        <v>156</v>
      </c>
      <c r="B23" s="478">
        <f t="shared" ca="1" si="2"/>
        <v>7620.8024660094852</v>
      </c>
      <c r="C23" s="478">
        <f t="shared" ca="1" si="3"/>
        <v>458.31932773109253</v>
      </c>
      <c r="D23" s="478">
        <f t="shared" ca="1" si="4"/>
        <v>6454.3069121852241</v>
      </c>
      <c r="E23" s="478">
        <f t="shared" si="5"/>
        <v>73.27415458691847</v>
      </c>
      <c r="F23" s="478">
        <f t="shared" ca="1" si="6"/>
        <v>1340.9434989798895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15947.64635949261</v>
      </c>
    </row>
    <row r="24" spans="1:17">
      <c r="A24" s="477" t="s">
        <v>194</v>
      </c>
      <c r="B24" s="478">
        <f t="shared" ca="1" si="2"/>
        <v>385.6344275158736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385.6344275158736</v>
      </c>
    </row>
    <row r="25" spans="1:17">
      <c r="A25" s="477" t="s">
        <v>112</v>
      </c>
      <c r="B25" s="478">
        <f t="shared" ca="1" si="2"/>
        <v>206.87928397696081</v>
      </c>
      <c r="C25" s="478">
        <f t="shared" ca="1" si="3"/>
        <v>0</v>
      </c>
      <c r="D25" s="478">
        <f t="shared" si="4"/>
        <v>27.976896658783424</v>
      </c>
      <c r="E25" s="478">
        <f t="shared" si="5"/>
        <v>2.0815504291826099</v>
      </c>
      <c r="F25" s="478">
        <f t="shared" si="6"/>
        <v>670.65783420336743</v>
      </c>
      <c r="G25" s="478">
        <f t="shared" si="7"/>
        <v>0</v>
      </c>
      <c r="H25" s="478">
        <f t="shared" si="8"/>
        <v>0</v>
      </c>
      <c r="I25" s="478">
        <f t="shared" si="9"/>
        <v>0</v>
      </c>
      <c r="J25" s="478">
        <f t="shared" si="10"/>
        <v>53.729610956719732</v>
      </c>
      <c r="K25" s="478">
        <f t="shared" si="11"/>
        <v>0</v>
      </c>
      <c r="L25" s="478">
        <f t="shared" si="12"/>
        <v>0</v>
      </c>
      <c r="M25" s="478">
        <f t="shared" si="13"/>
        <v>0</v>
      </c>
      <c r="N25" s="478">
        <f t="shared" si="14"/>
        <v>0</v>
      </c>
      <c r="O25" s="478">
        <f t="shared" si="15"/>
        <v>0</v>
      </c>
      <c r="P25" s="479">
        <f t="shared" si="16"/>
        <v>0</v>
      </c>
      <c r="Q25" s="477">
        <f t="shared" ca="1" si="17"/>
        <v>961.32517622501405</v>
      </c>
    </row>
    <row r="26" spans="1:17">
      <c r="A26" s="477" t="s">
        <v>650</v>
      </c>
      <c r="B26" s="478">
        <f t="shared" ca="1" si="2"/>
        <v>6562.6872576608484</v>
      </c>
      <c r="C26" s="478">
        <f t="shared" ca="1" si="3"/>
        <v>0</v>
      </c>
      <c r="D26" s="478">
        <f t="shared" si="4"/>
        <v>1655.834423689379</v>
      </c>
      <c r="E26" s="478">
        <f t="shared" si="5"/>
        <v>1139.9262695684713</v>
      </c>
      <c r="F26" s="478">
        <f t="shared" si="6"/>
        <v>6851.0730735271381</v>
      </c>
      <c r="G26" s="478">
        <f t="shared" si="7"/>
        <v>0</v>
      </c>
      <c r="H26" s="478">
        <f t="shared" si="8"/>
        <v>0</v>
      </c>
      <c r="I26" s="478">
        <f t="shared" si="9"/>
        <v>0</v>
      </c>
      <c r="J26" s="478">
        <f t="shared" si="10"/>
        <v>60.113831168827808</v>
      </c>
      <c r="K26" s="478">
        <f t="shared" si="11"/>
        <v>0</v>
      </c>
      <c r="L26" s="478">
        <f t="shared" si="12"/>
        <v>0</v>
      </c>
      <c r="M26" s="478">
        <f t="shared" si="13"/>
        <v>0</v>
      </c>
      <c r="N26" s="478">
        <f t="shared" si="14"/>
        <v>0</v>
      </c>
      <c r="O26" s="478">
        <f t="shared" si="15"/>
        <v>0</v>
      </c>
      <c r="P26" s="479">
        <f t="shared" si="16"/>
        <v>0</v>
      </c>
      <c r="Q26" s="477">
        <f t="shared" ca="1" si="17"/>
        <v>16269.634855614664</v>
      </c>
    </row>
    <row r="27" spans="1:17" s="483" customFormat="1">
      <c r="A27" s="481" t="s">
        <v>571</v>
      </c>
      <c r="B27" s="781">
        <f t="shared" ca="1" si="2"/>
        <v>3.9444176478990172</v>
      </c>
      <c r="C27" s="482">
        <f t="shared" ca="1" si="3"/>
        <v>0</v>
      </c>
      <c r="D27" s="482">
        <f t="shared" si="4"/>
        <v>10.999674992555621</v>
      </c>
      <c r="E27" s="482">
        <f t="shared" si="5"/>
        <v>77.657502692919323</v>
      </c>
      <c r="F27" s="482">
        <f t="shared" si="6"/>
        <v>0</v>
      </c>
      <c r="G27" s="482">
        <f t="shared" si="7"/>
        <v>25953.810545181994</v>
      </c>
      <c r="H27" s="482">
        <f t="shared" si="8"/>
        <v>5094.4041052230687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31140.816245738435</v>
      </c>
    </row>
    <row r="28" spans="1:17">
      <c r="A28" s="477" t="s">
        <v>561</v>
      </c>
      <c r="B28" s="478">
        <f t="shared" ca="1" si="2"/>
        <v>0</v>
      </c>
      <c r="C28" s="478">
        <f t="shared" ca="1" si="3"/>
        <v>0</v>
      </c>
      <c r="D28" s="478">
        <f t="shared" si="4"/>
        <v>0</v>
      </c>
      <c r="E28" s="478">
        <f t="shared" si="5"/>
        <v>0</v>
      </c>
      <c r="F28" s="478">
        <f t="shared" si="6"/>
        <v>0</v>
      </c>
      <c r="G28" s="478">
        <f t="shared" si="7"/>
        <v>564.085786968702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564.085786968702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363.39895014011273</v>
      </c>
      <c r="C32" s="478">
        <f t="shared" ca="1" si="3"/>
        <v>0</v>
      </c>
      <c r="D32" s="478">
        <f t="shared" si="4"/>
        <v>903.29361542085883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1266.6925655609716</v>
      </c>
    </row>
    <row r="33" spans="1:17" s="487" customFormat="1">
      <c r="A33" s="1051" t="s">
        <v>565</v>
      </c>
      <c r="B33" s="991">
        <f ca="1">SUM(B22:B32)</f>
        <v>26355.685617381991</v>
      </c>
      <c r="C33" s="991">
        <f t="shared" ref="C33:Q33" ca="1" si="18">SUM(C22:C32)</f>
        <v>458.31932773109253</v>
      </c>
      <c r="D33" s="991">
        <f t="shared" ca="1" si="18"/>
        <v>23237.784279972002</v>
      </c>
      <c r="E33" s="991">
        <f t="shared" si="18"/>
        <v>2551.890683182397</v>
      </c>
      <c r="F33" s="991">
        <f t="shared" ca="1" si="18"/>
        <v>23862.66611760372</v>
      </c>
      <c r="G33" s="991">
        <f t="shared" si="18"/>
        <v>26517.896332150696</v>
      </c>
      <c r="H33" s="991">
        <f t="shared" si="18"/>
        <v>5094.4041052230687</v>
      </c>
      <c r="I33" s="991">
        <f t="shared" si="18"/>
        <v>0</v>
      </c>
      <c r="J33" s="991">
        <f t="shared" si="18"/>
        <v>2813.366627289905</v>
      </c>
      <c r="K33" s="991">
        <f t="shared" si="18"/>
        <v>0</v>
      </c>
      <c r="L33" s="991">
        <f t="shared" ca="1" si="18"/>
        <v>0</v>
      </c>
      <c r="M33" s="991">
        <f t="shared" si="18"/>
        <v>0</v>
      </c>
      <c r="N33" s="991">
        <f t="shared" ca="1" si="18"/>
        <v>0</v>
      </c>
      <c r="O33" s="991">
        <f t="shared" si="18"/>
        <v>0</v>
      </c>
      <c r="P33" s="991">
        <f t="shared" si="18"/>
        <v>0</v>
      </c>
      <c r="Q33" s="991">
        <f t="shared" ca="1" si="18"/>
        <v>110892.01309053486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9.8618834080717495</v>
      </c>
      <c r="C5" s="1068"/>
      <c r="D5" s="1068"/>
      <c r="E5" s="1068"/>
      <c r="F5" s="1068"/>
      <c r="G5" s="1068"/>
      <c r="H5" s="1068"/>
      <c r="I5" s="1068"/>
      <c r="J5" s="1068"/>
      <c r="K5" s="1068"/>
      <c r="L5" s="1068"/>
      <c r="M5" s="1068"/>
      <c r="N5" s="1068"/>
      <c r="O5" s="1068"/>
      <c r="P5" s="1069">
        <f>'SEAP template'!Q73</f>
        <v>0</v>
      </c>
    </row>
    <row r="6" spans="1:16">
      <c r="A6" s="1070" t="s">
        <v>251</v>
      </c>
      <c r="B6" s="1068">
        <f>'SEAP template'!B74</f>
        <v>6958.2410264112114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1350</v>
      </c>
      <c r="D8" s="1068">
        <f>'SEAP template'!D76</f>
        <v>1588.2352941176473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320.82352941176475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6968.102909819283</v>
      </c>
      <c r="C10" s="1072">
        <f>SUM(C4:C9)</f>
        <v>1350</v>
      </c>
      <c r="D10" s="1072">
        <f t="shared" ref="D10:H10" si="0">SUM(D8:D9)</f>
        <v>1588.2352941176473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320.82352941176475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0.20896826659926032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1928.5714285714287</v>
      </c>
      <c r="D17" s="1069">
        <f>'SEAP template'!D87</f>
        <v>2268.9075630252105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458.31932773109253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1928.5714285714287</v>
      </c>
      <c r="D20" s="1072">
        <f t="shared" ref="D20:H20" si="2">SUM(D17:D19)</f>
        <v>2268.9075630252105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458.31932773109253</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0.20896826659926032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2019-08-12T08:09:20Z</dcterms:modified>
</cp:coreProperties>
</file>