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R18" s="1"/>
  <c r="H13" i="48"/>
  <c r="H31" s="1"/>
  <c r="I18" i="14"/>
  <c r="P22" i="16"/>
  <c r="Q43" i="14" s="1"/>
  <c r="Q13"/>
  <c r="Q16" s="1"/>
  <c r="Q27" s="1"/>
  <c r="P8" i="48"/>
  <c r="P26" s="1"/>
  <c r="O22"/>
  <c r="C22" i="14"/>
  <c r="I5" i="48"/>
  <c r="J10" i="14"/>
  <c r="J16" s="1"/>
  <c r="J27" s="1"/>
  <c r="K23" i="48"/>
  <c r="K15"/>
  <c r="F20" i="14"/>
  <c r="F22" s="1"/>
  <c r="E9" i="48"/>
  <c r="E27" s="1"/>
  <c r="E20" i="14"/>
  <c r="E22" s="1"/>
  <c r="D9" i="48"/>
  <c r="D27" s="1"/>
  <c r="P10" i="14"/>
  <c r="O5" i="48"/>
  <c r="O23" s="1"/>
  <c r="K24" i="14"/>
  <c r="K26" s="1"/>
  <c r="J7" i="48"/>
  <c r="J25" s="1"/>
  <c r="C20" i="14"/>
  <c r="B9" i="48"/>
  <c r="G11" i="14"/>
  <c r="F4" i="48"/>
  <c r="F22" s="1"/>
  <c r="P15"/>
  <c r="P22"/>
  <c r="P33" s="1"/>
  <c r="L63" i="14"/>
  <c r="J63"/>
  <c r="K33" i="48"/>
  <c r="D10" i="14"/>
  <c r="J12" i="17"/>
  <c r="K54" i="14" s="1"/>
  <c r="K56" s="1"/>
  <c r="L46"/>
  <c r="L61" s="1"/>
  <c r="M12" i="22"/>
  <c r="M13" i="48"/>
  <c r="M31" s="1"/>
  <c r="N18" i="14"/>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G9"/>
  <c r="H20" i="14"/>
  <c r="G10" i="48"/>
  <c r="H19" i="14"/>
  <c r="R19" s="1"/>
  <c r="I23" i="48"/>
  <c r="I33" s="1"/>
  <c r="I15"/>
  <c r="E12" i="13"/>
  <c r="F41" i="14" s="1"/>
  <c r="F11"/>
  <c r="E4" i="48"/>
  <c r="J4"/>
  <c r="K11" i="14"/>
  <c r="E7" i="48"/>
  <c r="E25" s="1"/>
  <c r="F24" i="14"/>
  <c r="F26" s="1"/>
  <c r="N20"/>
  <c r="M9" i="48"/>
  <c r="Q13"/>
  <c r="G31"/>
  <c r="P16" i="14"/>
  <c r="P27" s="1"/>
  <c r="P63" s="1"/>
  <c r="P46"/>
  <c r="P61" s="1"/>
  <c r="Q46"/>
  <c r="Q61" s="1"/>
  <c r="Q63" s="1"/>
  <c r="N19"/>
  <c r="M10" i="48"/>
  <c r="M28" s="1"/>
  <c r="O22" i="16"/>
  <c r="P43" i="14" s="1"/>
  <c r="P13"/>
  <c r="O8" i="48"/>
  <c r="O26" s="1"/>
  <c r="O33" s="1"/>
  <c r="N22" i="14"/>
  <c r="N27"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G28" i="48" l="1"/>
  <c r="Q10"/>
  <c r="K10" i="14"/>
  <c r="J5" i="48"/>
  <c r="J23" s="1"/>
  <c r="F10" i="14"/>
  <c r="E5" i="48"/>
  <c r="E23" s="1"/>
  <c r="M27"/>
  <c r="M33" s="1"/>
  <c r="M15"/>
  <c r="H9"/>
  <c r="I20" i="14"/>
  <c r="E22" i="48"/>
  <c r="Q4"/>
  <c r="G27"/>
  <c r="G33" s="1"/>
  <c r="G15"/>
  <c r="J22"/>
  <c r="O15"/>
  <c r="R11" i="14"/>
  <c r="H22"/>
  <c r="H27" s="1"/>
  <c r="L25" i="48"/>
  <c r="Q7"/>
  <c r="M26" i="14"/>
  <c r="R24"/>
  <c r="R26" s="1"/>
  <c r="E20" i="15"/>
  <c r="F40" i="14" s="1"/>
  <c r="F18" i="16"/>
  <c r="F22" s="1"/>
  <c r="G43" i="14" s="1"/>
  <c r="J18" i="16"/>
  <c r="E18"/>
  <c r="J20" i="15"/>
  <c r="K40" i="14" s="1"/>
  <c r="N18" i="16"/>
  <c r="N22" s="1"/>
  <c r="O43" i="14" s="1"/>
  <c r="G18" i="22"/>
  <c r="H50" i="14" s="1"/>
  <c r="H52" s="1"/>
  <c r="H61" s="1"/>
  <c r="H18" i="22"/>
  <c r="I50" i="14" s="1"/>
  <c r="I52" s="1"/>
  <c r="I61" s="1"/>
  <c r="F13" l="1"/>
  <c r="F16" s="1"/>
  <c r="F27" s="1"/>
  <c r="E8" i="48"/>
  <c r="E26" s="1"/>
  <c r="E33" s="1"/>
  <c r="H27"/>
  <c r="H33" s="1"/>
  <c r="H15"/>
  <c r="Q9"/>
  <c r="R20" i="14"/>
  <c r="R22" s="1"/>
  <c r="I22"/>
  <c r="I27" s="1"/>
  <c r="I63" s="1"/>
  <c r="J22" i="16"/>
  <c r="K43" i="14" s="1"/>
  <c r="J8" i="48"/>
  <c r="J26" s="1"/>
  <c r="J33" s="1"/>
  <c r="K13" i="14"/>
  <c r="K16" s="1"/>
  <c r="K27" s="1"/>
  <c r="H63"/>
  <c r="K46"/>
  <c r="K61" s="1"/>
  <c r="E22" i="16"/>
  <c r="F43" i="14" s="1"/>
  <c r="F46"/>
  <c r="F61" s="1"/>
  <c r="O13"/>
  <c r="N8" i="48"/>
  <c r="N26" s="1"/>
  <c r="F8"/>
  <c r="G13" i="14"/>
  <c r="F63" l="1"/>
  <c r="K63"/>
  <c r="E15" i="48"/>
  <c r="R13" i="14"/>
  <c r="J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<sst xmlns="http://schemas.openxmlformats.org/spreadsheetml/2006/main" count="2428" uniqueCount="914">
  <si>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</si>
  <si>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</si>
  <si>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</si>
  <si>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</si>
  <si>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</si>
  <si>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</si>
  <si>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</si>
  <si>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</si>
  <si>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</si>
  <si>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</si>
  <si>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</si>
  <si>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</si>
  <si>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</si>
  <si>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</si>
  <si>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</si>
  <si>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</si>
  <si>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</si>
  <si>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</si>
  <si>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</si>
  <si>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</si>
  <si>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</si>
  <si>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</si>
  <si>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</si>
  <si>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</si>
  <si>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</si>
  <si>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</si>
  <si>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</si>
  <si>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</si>
  <si>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</si>
  <si>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</si>
  <si>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</si>
  <si>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</si>
  <si>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</si>
  <si>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</si>
  <si>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</si>
  <si>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</si>
  <si>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</si>
  <si>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</si>
  <si>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</si>
  <si>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</si>
  <si>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</si>
  <si>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</si>
  <si>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</si>
  <si>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</si>
  <si>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</si>
  <si>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</si>
  <si>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</si>
  <si>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</si>
  <si>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</si>
  <si>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</si>
  <si>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</si>
  <si>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</si>
  <si>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</si>
  <si>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</si>
  <si>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</si>
  <si>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</si>
  <si>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</si>
  <si>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</si>
  <si>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</si>
  <si>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</si>
  <si>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</si>
  <si>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</si>
  <si>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</si>
  <si>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</si>
  <si>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</si>
  <si>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</si>
  <si>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</si>
  <si>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</si>
  <si>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</si>
  <si>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</si>
  <si>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</si>
  <si>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</si>
  <si>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</si>
  <si>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</si>
  <si>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</si>
  <si>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</si>
  <si>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</si>
  <si>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</si>
  <si>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</si>
  <si>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</si>
  <si>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</si>
  <si>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</si>
  <si>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</si>
  <si>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</si>
  <si>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</si>
  <si>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</si>
  <si>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</si>
  <si>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</si>
  <si>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</si>
  <si>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</si>
  <si>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</si>
  <si>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</si>
  <si>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</si>
  <si>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</si>
  <si>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</si>
  <si>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</si>
  <si>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</si>
  <si>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</si>
  <si>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</si>
  <si>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</si>
  <si>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</si>
  <si>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</si>
  <si>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</si>
  <si>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</si>
  <si>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</si>
  <si>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</si>
  <si>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</si>
  <si>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</si>
  <si>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</si>
  <si>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</si>
  <si>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</si>
  <si>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</si>
  <si>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</si>
  <si>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</si>
  <si>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</si>
  <si>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</si>
  <si>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</si>
  <si>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</si>
  <si>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</si>
  <si>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</si>
  <si>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</si>
  <si>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</si>
  <si>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</si>
  <si>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</si>
  <si>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</si>
  <si>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</si>
  <si>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</si>
  <si>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</si>
  <si>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</si>
  <si>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</si>
  <si>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</si>
  <si>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</si>
  <si>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</si>
  <si>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</si>
  <si>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</si>
  <si>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</si>
  <si>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</si>
  <si>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</si>
  <si>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</si>
  <si>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</si>
  <si>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</si>
  <si>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</si>
  <si>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</si>
  <si>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</si>
  <si>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</si>
  <si>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</si>
  <si>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</si>
  <si>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</si>
  <si>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</si>
  <si>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</si>
  <si>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</si>
  <si>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</si>
  <si>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</si>
  <si>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</si>
  <si>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</si>
  <si>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</si>
  <si>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</si>
  <si>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</si>
  <si>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</si>
  <si>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</si>
  <si>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</si>
  <si>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</si>
  <si>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</si>
  <si>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</si>
  <si>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</si>
  <si>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</si>
  <si>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</si>
  <si>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</si>
  <si>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</si>
  <si>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</si>
  <si>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</si>
  <si>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</si>
  <si>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</si>
  <si>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</si>
  <si>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</si>
  <si>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</si>
  <si>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</si>
  <si>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</si>
  <si>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</si>
  <si>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</si>
  <si>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</si>
  <si>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</si>
  <si>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</si>
  <si>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</si>
  <si>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</si>
  <si>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</si>
  <si>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</si>
  <si>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</si>
  <si>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</si>
  <si>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</si>
  <si>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</si>
  <si>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</si>
  <si>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</si>
  <si>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</si>
  <si>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</si>
  <si>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</si>
  <si>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</si>
  <si>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</si>
  <si>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</si>
  <si>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</si>
  <si>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</si>
  <si>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</si>
  <si>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</si>
  <si>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</si>
  <si>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</si>
  <si>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</si>
  <si>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</si>
  <si>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</si>
  <si>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</si>
  <si>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</si>
  <si>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</si>
  <si>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</si>
  <si>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</si>
  <si>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</si>
  <si>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</si>
  <si>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</si>
  <si>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</si>
  <si>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</si>
  <si>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</si>
  <si>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</si>
  <si>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</si>
  <si>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</si>
  <si>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</si>
  <si>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</si>
  <si>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</si>
  <si>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</si>
  <si>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</si>
  <si>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</si>
  <si>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</si>
  <si>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</si>
  <si>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</si>
  <si>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</si>
  <si>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</si>
  <si>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</si>
  <si>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</si>
  <si>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</si>
  <si>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</si>
  <si>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</si>
  <si>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</si>
  <si>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</si>
  <si>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</si>
  <si>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</si>
  <si>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</si>
  <si>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</si>
  <si>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</si>
  <si>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</si>
  <si>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</si>
  <si>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</si>
  <si>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</si>
  <si>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</si>
  <si>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</si>
  <si>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</si>
  <si>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</si>
  <si>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</si>
  <si>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</si>
  <si>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</si>
  <si>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</si>
  <si>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</si>
  <si>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</si>
  <si>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</si>
  <si>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</si>
  <si>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</si>
  <si>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</si>
  <si>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</si>
  <si>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</si>
  <si>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</si>
  <si>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</si>
  <si>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</si>
  <si>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</si>
  <si>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</si>
  <si>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</si>
  <si>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</si>
  <si>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</si>
  <si>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</si>
  <si>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</si>
  <si>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</si>
  <si>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</si>
  <si>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</si>
  <si>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</si>
  <si>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</si>
  <si>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</si>
  <si>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</si>
  <si>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</si>
  <si>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</si>
  <si>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</si>
  <si>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</si>
  <si>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</si>
  <si>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</si>
  <si>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</si>
  <si>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</si>
  <si>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</si>
  <si>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</si>
  <si>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</si>
  <si>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</si>
  <si>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</si>
  <si>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</si>
  <si>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</si>
  <si>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</si>
  <si>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</si>
  <si>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</si>
  <si>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</si>
  <si>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</si>
  <si>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</si>
  <si>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</si>
  <si>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</si>
  <si>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</si>
  <si>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</si>
  <si>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</si>
  <si>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</si>
  <si>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</si>
  <si>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</si>
  <si>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</si>
  <si>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</si>
  <si>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</si>
  <si>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</si>
  <si>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</si>
  <si>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</si>
  <si>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</si>
  <si>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</si>
  <si>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</si>
  <si>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</si>
  <si>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</si>
  <si>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</si>
  <si>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</si>
  <si>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</si>
  <si>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</si>
  <si>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</si>
  <si>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</si>
  <si>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</si>
  <si>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</si>
  <si>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</si>
  <si>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</si>
  <si>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</si>
  <si>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</si>
  <si>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</si>
  <si>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</si>
  <si>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</si>
  <si>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</si>
  <si>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</si>
  <si>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</si>
  <si>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</si>
  <si>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</si>
  <si>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</si>
  <si>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</si>
  <si>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</si>
  <si>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</si>
  <si>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</si>
  <si>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</si>
  <si>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</si>
  <si>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</si>
  <si>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</si>
  <si>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</si>
  <si>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</si>
  <si>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</si>
  <si>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</si>
  <si>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</si>
  <si>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</si>
  <si>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</si>
  <si>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</si>
  <si>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</si>
  <si>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</si>
  <si>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</si>
  <si>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</si>
  <si>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</si>
  <si>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</si>
  <si>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</si>
  <si>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</si>
  <si>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</si>
  <si>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</si>
  <si>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</si>
  <si>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</si>
  <si>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</si>
  <si>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</si>
  <si>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</si>
  <si>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</si>
  <si>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</si>
  <si>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</si>
  <si>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</si>
  <si>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</si>
  <si>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</si>
  <si>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</si>
  <si>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</si>
  <si>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</si>
  <si>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</si>
  <si>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</si>
  <si>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</si>
  <si>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</si>
  <si>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</si>
  <si>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</si>
  <si>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</si>
  <si>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</si>
  <si>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</si>
  <si>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</si>
  <si>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</si>
  <si>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</si>
  <si>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</si>
  <si>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</si>
  <si>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</si>
  <si>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</si>
  <si>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</si>
  <si>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</si>
  <si>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</si>
  <si>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</si>
  <si>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</si>
  <si>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</si>
  <si>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</si>
  <si>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</si>
  <si>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</si>
  <si>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</si>
  <si>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</si>
  <si>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</si>
  <si>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</si>
  <si>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</si>
  <si>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</si>
  <si>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</si>
  <si>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</si>
  <si>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</si>
  <si>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</si>
  <si>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</si>
  <si>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</si>
  <si>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</si>
  <si>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</si>
  <si>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</si>
  <si>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</si>
  <si>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</si>
  <si>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</si>
  <si>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</si>
  <si>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</si>
  <si>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</si>
  <si>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</si>
  <si>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</si>
  <si>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</si>
  <si>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</si>
  <si>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</si>
  <si>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</si>
  <si>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</si>
  <si>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</si>
  <si>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</si>
  <si>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</si>
  <si>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</si>
  <si>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</si>
  <si>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</si>
  <si>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</si>
  <si>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</si>
  <si>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</si>
  <si>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</si>
  <si>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</si>
  <si>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</si>
  <si>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</si>
  <si>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</si>
  <si>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</si>
  <si>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</si>
  <si>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</si>
  <si>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</si>
  <si>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</si>
  <si>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</si>
  <si>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</si>
  <si>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</si>
  <si>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</si>
  <si>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</si>
  <si>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</si>
  <si>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</si>
  <si>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</si>
  <si>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</si>
  <si>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</si>
  <si>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</si>
  <si>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</si>
  <si>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</si>
  <si>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</si>
  <si>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</si>
  <si>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</si>
  <si>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</si>
  <si>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</si>
  <si>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</si>
  <si>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</si>
  <si>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</si>
  <si>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</si>
  <si>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</si>
  <si>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</si>
  <si>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</si>
  <si>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</si>
  <si>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</si>
  <si>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</si>
  <si>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</si>
  <si>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</si>
  <si>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</si>
  <si>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</si>
  <si>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</si>
  <si>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</si>
  <si>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</si>
  <si>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</si>
  <si>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</si>
  <si>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</si>
  <si>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</si>
  <si>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</si>
  <si>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</si>
  <si>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</si>
  <si>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</si>
  <si>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</si>
  <si>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</si>
  <si>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</si>
  <si>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</si>
  <si>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</si>
  <si>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</si>
  <si>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</si>
  <si>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</si>
  <si>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</si>
  <si>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</si>
  <si>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</si>
  <si>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</si>
  <si>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</si>
  <si>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</si>
  <si>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</si>
  <si>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</si>
  <si>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</si>
  <si>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</si>
  <si>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</si>
  <si>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</si>
  <si>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</si>
  <si>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</si>
  <si>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</si>
  <si>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</si>
  <si>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</si>
  <si>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</si>
  <si>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</si>
  <si>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</si>
  <si>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</si>
  <si>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</si>
  <si>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</si>
  <si>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</si>
  <si>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</si>
  <si>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</si>
  <si>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</si>
  <si>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</si>
  <si>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</si>
  <si>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</si>
  <si>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</si>
  <si>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</si>
  <si>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</si>
  <si>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</si>
  <si>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</si>
  <si>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</si>
  <si>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</si>
  <si>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</si>
  <si>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</si>
  <si>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</si>
  <si>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</si>
  <si>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</si>
  <si>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</si>
  <si>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</si>
  <si>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</si>
  <si>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</si>
  <si>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</si>
  <si>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</si>
  <si>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</si>
  <si>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</si>
  <si>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</si>
  <si>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</si>
  <si>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</si>
  <si>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</si>
  <si>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</si>
  <si>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</si>
  <si>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</si>
  <si>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</si>
  <si>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</si>
  <si>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</si>
  <si>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</si>
  <si>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</si>
  <si>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</si>
  <si>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</si>
  <si>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</si>
  <si>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</si>
  <si>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</si>
  <si>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</si>
  <si>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</si>
  <si>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</si>
  <si>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</si>
  <si>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</si>
  <si>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</si>
  <si>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</si>
  <si>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</si>
  <si>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</si>
  <si>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</si>
  <si>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</si>
  <si>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</si>
  <si>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</si>
  <si>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</si>
  <si>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</si>
  <si>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</si>
  <si>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</si>
  <si>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</si>
  <si>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</si>
  <si>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</si>
  <si>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</si>
  <si>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</si>
  <si>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</si>
  <si>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</si>
  <si>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</si>
  <si>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</si>
  <si>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</si>
  <si>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</si>
  <si>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</si>
  <si>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</si>
  <si>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</si>
  <si>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</si>
  <si>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</si>
  <si>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</si>
  <si>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</si>
  <si>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</si>
  <si>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</si>
  <si>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</si>
  <si>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</si>
  <si>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</si>
  <si>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</si>
  <si>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</si>
  <si>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</si>
  <si>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</si>
  <si>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</si>
  <si>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</si>
  <si>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</si>
  <si>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</si>
  <si>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</si>
  <si>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</si>
  <si>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</si>
  <si>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</si>
  <si>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</si>
  <si>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</si>
  <si>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</si>
  <si>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</si>
  <si>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</si>
  <si>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</si>
  <si>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</si>
  <si>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</si>
  <si>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</si>
  <si>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</si>
  <si>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</si>
  <si>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</si>
  <si>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</si>
  <si>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</si>
  <si>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</si>
  <si>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</si>
  <si>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</si>
  <si>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</si>
  <si>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</si>
  <si>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</si>
  <si>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</si>
  <si>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</si>
  <si>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</si>
  <si>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</si>
  <si>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</si>
  <si>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</si>
  <si>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</si>
  <si>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</si>
  <si>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</si>
  <si>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</si>
  <si>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</si>
  <si>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</si>
  <si>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</si>
  <si>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</si>
  <si>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</si>
  <si>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</si>
  <si>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</si>
  <si>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</si>
  <si>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</si>
  <si>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</si>
  <si>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</si>
  <si>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</si>
  <si>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</si>
  <si>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</si>
  <si>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</si>
  <si>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</si>
  <si>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</si>
  <si>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</si>
  <si>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</si>
  <si>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</si>
  <si>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</si>
  <si>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</si>
  <si>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</si>
  <si>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</si>
  <si>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</si>
  <si>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</si>
  <si>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</si>
  <si>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</si>
  <si>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</si>
  <si>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</si>
  <si>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</si>
  <si>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</si>
  <si>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</si>
  <si>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</si>
  <si>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</si>
  <si>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</si>
  <si>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</si>
  <si>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</si>
  <si>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</si>
  <si>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</si>
  <si>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</si>
  <si>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</si>
  <si>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</si>
  <si>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</si>
  <si>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</si>
  <si>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</si>
  <si>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</si>
  <si>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</si>
  <si>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</si>
  <si>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</si>
  <si>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</si>
  <si>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</si>
  <si>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</si>
  <si>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</si>
  <si>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</si>
  <si>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</si>
  <si>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</si>
  <si>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</si>
  <si>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</si>
  <si>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</si>
  <si>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</si>
  <si>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</si>
  <si>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</si>
  <si>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</si>
  <si>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</si>
  <si>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</si>
  <si>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</si>
  <si>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</si>
  <si>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</si>
  <si>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</si>
  <si>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</si>
  <si>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</si>
  <si>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</si>
  <si>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</si>
  <si>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</si>
  <si>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</si>
  <si>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</si>
  <si>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</si>
  <si>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</si>
  <si>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</si>
  <si>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</si>
  <si>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</si>
  <si>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</si>
  <si>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</si>
  <si>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</si>
  <si>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</si>
  <si>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</si>
  <si>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</si>
  <si>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</si>
  <si>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</si>
  <si>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</si>
  <si>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</si>
  <si>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</si>
  <si>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</si>
  <si>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</si>
  <si>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</si>
  <si>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</si>
  <si>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</si>
  <si>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</si>
  <si>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</si>
  <si>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</si>
  <si>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</si>
  <si>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</si>
  <si>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</si>
  <si>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</si>
  <si>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</si>
  <si>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</si>
  <si>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</si>
  <si>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</si>
  <si>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</si>
  <si>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</si>
  <si>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</si>
  <si>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</si>
  <si>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</si>
  <si>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</si>
  <si>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</si>
  <si>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</si>
  <si>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</si>
  <si>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</si>
  <si>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</si>
  <si>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</si>
  <si>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</si>
  <si>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</si>
  <si>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</si>
  <si>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</si>
  <si>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</si>
  <si>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</si>
  <si>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</si>
  <si>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</si>
  <si>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</si>
  <si>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</si>
  <si>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</si>
  <si>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</si>
  <si>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</si>
  <si>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</si>
  <si>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</si>
  <si>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</si>
  <si>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</si>
  <si>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</si>
  <si>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</si>
  <si>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</si>
  <si>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</si>
  <si>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</si>
  <si>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</si>
  <si>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</si>
  <si>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</si>
  <si>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</si>
  <si>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</si>
  <si>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</si>
  <si>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</si>
  <si>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</si>
  <si>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</si>
  <si>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</si>
  <si>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</si>
  <si>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</si>
  <si>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</si>
  <si>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</si>
  <si>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</si>
  <si>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</si>
  <si>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</si>
  <si>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</si>
  <si>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</si>
  <si>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</si>
  <si>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</si>
  <si>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</si>
  <si>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</si>
  <si>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</si>
  <si>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</si>
  <si>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</si>
  <si>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</si>
  <si>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</si>
  <si>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</si>
  <si>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</si>
  <si>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</si>
  <si>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</si>
  <si>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</si>
  <si>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</si>
  <si>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</si>
  <si>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</si>
  <si>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</si>
  <si>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</si>
  <si>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</si>
  <si>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</si>
  <si>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</si>
  <si>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</si>
  <si>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</si>
  <si>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</si>
  <si>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</si>
  <si>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</si>
  <si>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</si>
  <si>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</si>
  <si>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</si>
  <si>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</si>
  <si>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</si>
  <si>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</si>
  <si>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</si>
  <si>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</si>
  <si>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</si>
  <si>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</si>
  <si>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</si>
  <si>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</si>
  <si>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</si>
  <si>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</si>
  <si>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</si>
  <si>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</si>
  <si>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</si>
  <si>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</si>
  <si>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</si>
  <si>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</si>
  <si>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</si>
  <si>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</si>
  <si>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</si>
  <si>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</si>
  <si>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</si>
  <si>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</si>
  <si>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</si>
  <si>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</si>
  <si>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</si>
  <si>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</si>
  <si>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</si>
  <si>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</si>
  <si>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</si>
  <si>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</si>
  <si>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</si>
  <si>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</si>
  <si>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</si>
  <si>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</si>
  <si>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</si>
  <si>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</si>
  <si>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</si>
  <si>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</si>
  <si>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</si>
  <si>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</si>
  <si>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</si>
  <si>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</si>
  <si>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</si>
  <si>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</si>
  <si>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</si>
  <si>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</si>
  <si>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</si>
  <si>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</si>
  <si>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</si>
  <si>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</si>
  <si>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</si>
  <si>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41063</t>
  </si>
  <si>
    <t>SINT-LIEVENS-HOUTEM</t>
  </si>
  <si>
    <t>Paarden&amp;pony's 200 - 600 kg</t>
  </si>
  <si>
    <t>Paarden&amp;pony's &lt; 200 kg</t>
  </si>
  <si>
    <t>referentietaak LNE (2017); Jaarverslag De Lijn (2014)</t>
  </si>
  <si>
    <t>op basis van VEA (maart 2018) en Inventaris Hernieuwbare Energiebronnen (juni 2018)</t>
  </si>
  <si>
    <t>VEA (maart 2016)</t>
  </si>
  <si>
    <t>VEA (juni 2018)</t>
  </si>
  <si>
    <t>COFELY Services</t>
  </si>
  <si>
    <t>Koning Albert II-laan 30 28, 1000 Brussel</t>
  </si>
  <si>
    <t>BGS-0018 Ilva Vlierzele (NAI)</t>
  </si>
  <si>
    <t>biogas - stortgas</t>
  </si>
  <si>
    <t>niet WKK interne verbrandingsmotor (gas)</t>
  </si>
  <si>
    <t>Bussegem 2 , 9520 Sint-Lievens-Houtem</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</si>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</sst>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84814.702928656072</c:v>
                </c:pt>
                <c:pt idx="1">
                  <c:v>18403.65941395154</c:v>
                </c:pt>
                <c:pt idx="2">
                  <c:v>629.40700000000004</c:v>
                </c:pt>
                <c:pt idx="3">
                  <c:v>4175.626692951284</c:v>
                </c:pt>
                <c:pt idx="4">
                  <c:v>141719.57824590485</c:v>
                </c:pt>
                <c:pt idx="5">
                  <c:v>106375.66927831045</c:v>
                </c:pt>
                <c:pt idx="6">
                  <c:v>755.59139208020349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49088"/>
        <c:axId val="143050624"/>
      </c:barChart>
      <c:catAx>
        <c:axId val="143049088"/>
        <c:scaling>
          <c:orientation val="minMax"/>
        </c:scaling>
        <c:axPos val="b"/>
        <c:numFmt formatCode="General" sourceLinked="0"/>
        <c:tickLblPos val="nextTo"/>
        <c:crossAx val="143050624"/>
        <c:crosses val="autoZero"/>
        <c:auto val="1"/>
        <c:lblAlgn val="ctr"/>
        <c:lblOffset val="100"/>
      </c:catAx>
      <c:valAx>
        <c:axId val="143050624"/>
        <c:scaling>
          <c:orientation val="minMax"/>
        </c:scaling>
        <c:axPos val="l"/>
        <c:majorGridlines/>
        <c:numFmt formatCode="#,##0" sourceLinked="1"/>
        <c:tickLblPos val="nextTo"/>
        <c:crossAx val="143049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84814.702928656072</c:v>
                </c:pt>
                <c:pt idx="1">
                  <c:v>18403.65941395154</c:v>
                </c:pt>
                <c:pt idx="2">
                  <c:v>629.40700000000004</c:v>
                </c:pt>
                <c:pt idx="3">
                  <c:v>4175.626692951284</c:v>
                </c:pt>
                <c:pt idx="4">
                  <c:v>141719.57824590485</c:v>
                </c:pt>
                <c:pt idx="5">
                  <c:v>106375.66927831045</c:v>
                </c:pt>
                <c:pt idx="6">
                  <c:v>755.59139208020349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17742.401099590694</c:v>
                </c:pt>
                <c:pt idx="2">
                  <c:v>3617.0747010305508</c:v>
                </c:pt>
                <c:pt idx="3">
                  <c:v>118.33962290087536</c:v>
                </c:pt>
                <c:pt idx="4">
                  <c:v>1036.7173962955958</c:v>
                </c:pt>
                <c:pt idx="5">
                  <c:v>28561.178980349599</c:v>
                </c:pt>
                <c:pt idx="6">
                  <c:v>26661.712045670618</c:v>
                </c:pt>
                <c:pt idx="7">
                  <c:v>190.85878174585284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173184"/>
        <c:axId val="174179072"/>
      </c:barChart>
      <c:catAx>
        <c:axId val="174173184"/>
        <c:scaling>
          <c:orientation val="minMax"/>
        </c:scaling>
        <c:axPos val="b"/>
        <c:numFmt formatCode="General" sourceLinked="0"/>
        <c:tickLblPos val="nextTo"/>
        <c:crossAx val="174179072"/>
        <c:crosses val="autoZero"/>
        <c:auto val="1"/>
        <c:lblAlgn val="ctr"/>
        <c:lblOffset val="100"/>
      </c:catAx>
      <c:valAx>
        <c:axId val="174179072"/>
        <c:scaling>
          <c:orientation val="minMax"/>
        </c:scaling>
        <c:axPos val="l"/>
        <c:majorGridlines/>
        <c:numFmt formatCode="#,##0" sourceLinked="1"/>
        <c:tickLblPos val="nextTo"/>
        <c:crossAx val="174173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17742.401099590694</c:v>
                </c:pt>
                <c:pt idx="2">
                  <c:v>3617.0747010305508</c:v>
                </c:pt>
                <c:pt idx="3">
                  <c:v>118.33962290087536</c:v>
                </c:pt>
                <c:pt idx="4">
                  <c:v>1036.7173962955958</c:v>
                </c:pt>
                <c:pt idx="5">
                  <c:v>28561.178980349599</c:v>
                </c:pt>
                <c:pt idx="6">
                  <c:v>26661.712045670618</c:v>
                </c:pt>
                <c:pt idx="7">
                  <c:v>190.85878174585284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41063</v>
      </c>
      <c r="B6" s="416"/>
      <c r="C6" s="417"/>
    </row>
    <row r="7" spans="1:7" s="414" customFormat="1" ht="15.75" customHeight="1">
      <c r="A7" s="418" t="str">
        <f>txtMunicipality</f>
        <v>SINT-LIEVENS-HOUTEM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0.18801764661161274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0.18801764661161274</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41063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4168</v>
      </c>
      <c r="C9" s="342">
        <v>4327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1417</v>
      </c>
    </row>
    <row r="15" spans="1:6">
      <c r="A15" s="348" t="s">
        <v>184</v>
      </c>
      <c r="B15" s="334">
        <v>5</v>
      </c>
    </row>
    <row r="16" spans="1:6">
      <c r="A16" s="348" t="s">
        <v>6</v>
      </c>
      <c r="B16" s="334">
        <v>268</v>
      </c>
    </row>
    <row r="17" spans="1:6">
      <c r="A17" s="348" t="s">
        <v>7</v>
      </c>
      <c r="B17" s="334">
        <v>336</v>
      </c>
    </row>
    <row r="18" spans="1:6">
      <c r="A18" s="348" t="s">
        <v>8</v>
      </c>
      <c r="B18" s="334">
        <v>460</v>
      </c>
    </row>
    <row r="19" spans="1:6">
      <c r="A19" s="348" t="s">
        <v>9</v>
      </c>
      <c r="B19" s="334">
        <v>517</v>
      </c>
    </row>
    <row r="20" spans="1:6">
      <c r="A20" s="348" t="s">
        <v>10</v>
      </c>
      <c r="B20" s="334">
        <v>425</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78</v>
      </c>
    </row>
    <row r="27" spans="1:6">
      <c r="A27" s="348" t="s">
        <v>17</v>
      </c>
      <c r="B27" s="334">
        <v>358</v>
      </c>
    </row>
    <row r="28" spans="1:6" s="356" customFormat="1">
      <c r="A28" s="355" t="s">
        <v>18</v>
      </c>
      <c r="B28" s="355">
        <v>24250</v>
      </c>
    </row>
    <row r="29" spans="1:6">
      <c r="A29" s="355" t="s">
        <v>901</v>
      </c>
      <c r="B29" s="355">
        <v>116</v>
      </c>
      <c r="C29" s="356"/>
      <c r="D29" s="356"/>
      <c r="E29" s="356"/>
      <c r="F29" s="356"/>
    </row>
    <row r="30" spans="1:6">
      <c r="A30" s="341" t="s">
        <v>902</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11783.83</v>
      </c>
    </row>
    <row r="39" spans="1:6">
      <c r="A39" s="348" t="s">
        <v>30</v>
      </c>
      <c r="B39" s="348" t="s">
        <v>31</v>
      </c>
      <c r="C39" s="334">
        <v>1923</v>
      </c>
      <c r="D39" s="334">
        <v>29739682.253443401</v>
      </c>
      <c r="E39" s="334">
        <v>4047</v>
      </c>
      <c r="F39" s="334">
        <v>19631247</v>
      </c>
    </row>
    <row r="40" spans="1:6">
      <c r="A40" s="348" t="s">
        <v>30</v>
      </c>
      <c r="B40" s="348" t="s">
        <v>29</v>
      </c>
      <c r="C40" s="334">
        <v>0</v>
      </c>
      <c r="D40" s="334">
        <v>0</v>
      </c>
      <c r="E40" s="334">
        <v>0</v>
      </c>
      <c r="F40" s="334">
        <v>0</v>
      </c>
    </row>
    <row r="41" spans="1:6">
      <c r="A41" s="348" t="s">
        <v>32</v>
      </c>
      <c r="B41" s="348" t="s">
        <v>33</v>
      </c>
      <c r="C41" s="334">
        <v>19</v>
      </c>
      <c r="D41" s="334">
        <v>368780.65765178599</v>
      </c>
      <c r="E41" s="334">
        <v>79</v>
      </c>
      <c r="F41" s="334">
        <v>594729.19999999995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37663.57</v>
      </c>
    </row>
    <row r="45" spans="1:6">
      <c r="A45" s="348" t="s">
        <v>32</v>
      </c>
      <c r="B45" s="348" t="s">
        <v>37</v>
      </c>
      <c r="C45" s="334">
        <v>0</v>
      </c>
      <c r="D45" s="334">
        <v>0</v>
      </c>
      <c r="E45" s="334">
        <v>5</v>
      </c>
      <c r="F45" s="334">
        <v>36913.06</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29</v>
      </c>
      <c r="D48" s="334">
        <v>81463532.729517505</v>
      </c>
      <c r="E48" s="334">
        <v>32</v>
      </c>
      <c r="F48" s="334">
        <v>4564822</v>
      </c>
    </row>
    <row r="49" spans="1:6">
      <c r="A49" s="348" t="s">
        <v>32</v>
      </c>
      <c r="B49" s="348" t="s">
        <v>40</v>
      </c>
      <c r="C49" s="334">
        <v>0</v>
      </c>
      <c r="D49" s="334">
        <v>0</v>
      </c>
      <c r="E49" s="334">
        <v>0</v>
      </c>
      <c r="F49" s="334">
        <v>0</v>
      </c>
    </row>
    <row r="50" spans="1:6">
      <c r="A50" s="348" t="s">
        <v>32</v>
      </c>
      <c r="B50" s="348" t="s">
        <v>41</v>
      </c>
      <c r="C50" s="334">
        <v>0</v>
      </c>
      <c r="D50" s="334">
        <v>0</v>
      </c>
      <c r="E50" s="334">
        <v>18</v>
      </c>
      <c r="F50" s="334">
        <v>17298337</v>
      </c>
    </row>
    <row r="51" spans="1:6">
      <c r="A51" s="348" t="s">
        <v>42</v>
      </c>
      <c r="B51" s="348" t="s">
        <v>43</v>
      </c>
      <c r="C51" s="334">
        <v>4</v>
      </c>
      <c r="D51" s="334">
        <v>55432.192631119702</v>
      </c>
      <c r="E51" s="334">
        <v>61</v>
      </c>
      <c r="F51" s="334">
        <v>940960.4</v>
      </c>
    </row>
    <row r="52" spans="1:6">
      <c r="A52" s="348" t="s">
        <v>42</v>
      </c>
      <c r="B52" s="348" t="s">
        <v>29</v>
      </c>
      <c r="C52" s="334">
        <v>1</v>
      </c>
      <c r="D52" s="334">
        <v>30833.0919031757</v>
      </c>
      <c r="E52" s="334">
        <v>12</v>
      </c>
      <c r="F52" s="334">
        <v>166627.9</v>
      </c>
    </row>
    <row r="53" spans="1:6">
      <c r="A53" s="348" t="s">
        <v>44</v>
      </c>
      <c r="B53" s="348" t="s">
        <v>45</v>
      </c>
      <c r="C53" s="334">
        <v>45</v>
      </c>
      <c r="D53" s="334">
        <v>549976.95679651701</v>
      </c>
      <c r="E53" s="334">
        <v>139</v>
      </c>
      <c r="F53" s="334">
        <v>745241.59999999998</v>
      </c>
    </row>
    <row r="54" spans="1:6">
      <c r="A54" s="348" t="s">
        <v>46</v>
      </c>
      <c r="B54" s="348" t="s">
        <v>47</v>
      </c>
      <c r="C54" s="334">
        <v>0</v>
      </c>
      <c r="D54" s="334">
        <v>0</v>
      </c>
      <c r="E54" s="334">
        <v>5</v>
      </c>
      <c r="F54" s="334">
        <v>629407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v>
      </c>
      <c r="D57" s="334">
        <v>1613779.91744278</v>
      </c>
      <c r="E57" s="334">
        <v>81</v>
      </c>
      <c r="F57" s="334">
        <v>1609441</v>
      </c>
    </row>
    <row r="58" spans="1:6">
      <c r="A58" s="348" t="s">
        <v>49</v>
      </c>
      <c r="B58" s="348" t="s">
        <v>51</v>
      </c>
      <c r="C58" s="334">
        <v>12</v>
      </c>
      <c r="D58" s="334">
        <v>103409.036041917</v>
      </c>
      <c r="E58" s="334">
        <v>22</v>
      </c>
      <c r="F58" s="334">
        <v>169774.4</v>
      </c>
    </row>
    <row r="59" spans="1:6">
      <c r="A59" s="348" t="s">
        <v>49</v>
      </c>
      <c r="B59" s="348" t="s">
        <v>52</v>
      </c>
      <c r="C59" s="334">
        <v>13</v>
      </c>
      <c r="D59" s="334">
        <v>224096.22712482701</v>
      </c>
      <c r="E59" s="334">
        <v>75</v>
      </c>
      <c r="F59" s="334">
        <v>1860535</v>
      </c>
    </row>
    <row r="60" spans="1:6">
      <c r="A60" s="348" t="s">
        <v>49</v>
      </c>
      <c r="B60" s="348" t="s">
        <v>53</v>
      </c>
      <c r="C60" s="334">
        <v>27</v>
      </c>
      <c r="D60" s="334">
        <v>676326.13384089503</v>
      </c>
      <c r="E60" s="334">
        <v>37</v>
      </c>
      <c r="F60" s="334">
        <v>656828.30000000005</v>
      </c>
    </row>
    <row r="61" spans="1:6">
      <c r="A61" s="348" t="s">
        <v>49</v>
      </c>
      <c r="B61" s="348" t="s">
        <v>54</v>
      </c>
      <c r="C61" s="334">
        <v>27</v>
      </c>
      <c r="D61" s="334">
        <v>716545.40547113901</v>
      </c>
      <c r="E61" s="334">
        <v>89</v>
      </c>
      <c r="F61" s="334">
        <v>927719.2</v>
      </c>
    </row>
    <row r="62" spans="1:6">
      <c r="A62" s="348" t="s">
        <v>49</v>
      </c>
      <c r="B62" s="348" t="s">
        <v>55</v>
      </c>
      <c r="C62" s="334">
        <v>0</v>
      </c>
      <c r="D62" s="334">
        <v>0</v>
      </c>
      <c r="E62" s="334">
        <v>4</v>
      </c>
      <c r="F62" s="334">
        <v>45455.29</v>
      </c>
    </row>
    <row r="63" spans="1:6">
      <c r="A63" s="348" t="s">
        <v>49</v>
      </c>
      <c r="B63" s="348" t="s">
        <v>29</v>
      </c>
      <c r="C63" s="334">
        <v>68</v>
      </c>
      <c r="D63" s="334">
        <v>2256219.7906526201</v>
      </c>
      <c r="E63" s="334">
        <v>107</v>
      </c>
      <c r="F63" s="334">
        <v>1577462</v>
      </c>
    </row>
    <row r="64" spans="1:6">
      <c r="A64" s="348" t="s">
        <v>56</v>
      </c>
      <c r="B64" s="348" t="s">
        <v>57</v>
      </c>
      <c r="C64" s="334">
        <v>0</v>
      </c>
      <c r="D64" s="334">
        <v>0</v>
      </c>
      <c r="E64" s="334">
        <v>0</v>
      </c>
      <c r="F64" s="334">
        <v>0</v>
      </c>
    </row>
    <row r="65" spans="1:6">
      <c r="A65" s="348" t="s">
        <v>56</v>
      </c>
      <c r="B65" s="348" t="s">
        <v>29</v>
      </c>
      <c r="C65" s="334">
        <v>0</v>
      </c>
      <c r="D65" s="334">
        <v>0</v>
      </c>
      <c r="E65" s="334">
        <v>4</v>
      </c>
      <c r="F65" s="334">
        <v>113321.9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22153.67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10478746</v>
      </c>
      <c r="E73" s="476">
        <v>11378176.174970282</v>
      </c>
    </row>
    <row r="74" spans="1:6">
      <c r="A74" s="348" t="s">
        <v>64</v>
      </c>
      <c r="B74" s="348" t="s">
        <v>714</v>
      </c>
      <c r="C74" s="1311" t="s">
        <v>716</v>
      </c>
      <c r="D74" s="476">
        <v>663765.97031678457</v>
      </c>
      <c r="E74" s="476">
        <v>731054.98611974146</v>
      </c>
    </row>
    <row r="75" spans="1:6">
      <c r="A75" s="348" t="s">
        <v>65</v>
      </c>
      <c r="B75" s="348" t="s">
        <v>713</v>
      </c>
      <c r="C75" s="1311" t="s">
        <v>717</v>
      </c>
      <c r="D75" s="476">
        <v>24380389</v>
      </c>
      <c r="E75" s="476">
        <v>26706909.220792782</v>
      </c>
    </row>
    <row r="76" spans="1:6">
      <c r="A76" s="348" t="s">
        <v>65</v>
      </c>
      <c r="B76" s="348" t="s">
        <v>714</v>
      </c>
      <c r="C76" s="1311" t="s">
        <v>718</v>
      </c>
      <c r="D76" s="476">
        <v>952135.97031678457</v>
      </c>
      <c r="E76" s="476">
        <v>1056445.8714268995</v>
      </c>
    </row>
    <row r="77" spans="1:6">
      <c r="A77" s="348" t="s">
        <v>66</v>
      </c>
      <c r="B77" s="348" t="s">
        <v>713</v>
      </c>
      <c r="C77" s="1311" t="s">
        <v>719</v>
      </c>
      <c r="D77" s="476">
        <v>72100673</v>
      </c>
      <c r="E77" s="476">
        <v>71167794.802546322</v>
      </c>
    </row>
    <row r="78" spans="1:6">
      <c r="A78" s="341" t="s">
        <v>66</v>
      </c>
      <c r="B78" s="341" t="s">
        <v>714</v>
      </c>
      <c r="C78" s="341" t="s">
        <v>720</v>
      </c>
      <c r="D78" s="1307">
        <v>9330300</v>
      </c>
      <c r="E78" s="1307">
        <v>9602357.7001528163</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201912.05936643077</v>
      </c>
      <c r="C83" s="476">
        <v>204863.15924084117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1877.2077755301384</v>
      </c>
    </row>
    <row r="92" spans="1:6">
      <c r="A92" s="341" t="s">
        <v>69</v>
      </c>
      <c r="B92" s="342">
        <v>1572.5218703627611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484</v>
      </c>
    </row>
    <row r="98" spans="1:6">
      <c r="A98" s="348" t="s">
        <v>72</v>
      </c>
      <c r="B98" s="334">
        <v>1</v>
      </c>
    </row>
    <row r="99" spans="1:6">
      <c r="A99" s="348" t="s">
        <v>73</v>
      </c>
      <c r="B99" s="334">
        <v>64</v>
      </c>
    </row>
    <row r="100" spans="1:6">
      <c r="A100" s="348" t="s">
        <v>74</v>
      </c>
      <c r="B100" s="334">
        <v>466</v>
      </c>
    </row>
    <row r="101" spans="1:6">
      <c r="A101" s="348" t="s">
        <v>75</v>
      </c>
      <c r="B101" s="334">
        <v>58</v>
      </c>
    </row>
    <row r="102" spans="1:6">
      <c r="A102" s="348" t="s">
        <v>76</v>
      </c>
      <c r="B102" s="334">
        <v>82</v>
      </c>
    </row>
    <row r="103" spans="1:6">
      <c r="A103" s="348" t="s">
        <v>77</v>
      </c>
      <c r="B103" s="334">
        <v>363</v>
      </c>
    </row>
    <row r="104" spans="1:6">
      <c r="A104" s="348" t="s">
        <v>78</v>
      </c>
      <c r="B104" s="334">
        <v>2072</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84</v>
      </c>
    </row>
    <row r="130" spans="1:6">
      <c r="A130" s="348" t="s">
        <v>295</v>
      </c>
      <c r="B130" s="334">
        <v>2</v>
      </c>
    </row>
    <row r="131" spans="1:6">
      <c r="A131" s="348" t="s">
        <v>296</v>
      </c>
      <c r="B131" s="334">
        <v>1</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58695.030913832226</v>
      </c>
      <c r="C3" s="43" t="s">
        <v>170</v>
      </c>
      <c r="D3" s="43"/>
      <c r="E3" s="154"/>
      <c r="F3" s="43"/>
      <c r="G3" s="43"/>
      <c r="H3" s="43"/>
      <c r="I3" s="43"/>
      <c r="J3" s="43"/>
      <c r="K3" s="96"/>
    </row>
    <row r="4" spans="1:11">
      <c r="A4" s="384" t="s">
        <v>171</v>
      </c>
      <c r="B4" s="49">
        <f>IF(ISERROR('SEAP template'!B78+'SEAP template'!C78),0,'SEAP template'!B78+'SEAP template'!C78)</f>
        <v>8759.7296458928995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0.18801764661161274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629.40700000000004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629.40700000000004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0.18801764661161274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118.33962290087536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19631.246999999999</v>
      </c>
      <c r="C5" s="17">
        <f>IF(ISERROR('Eigen informatie GS &amp; warmtenet'!B57),0,'Eigen informatie GS &amp; warmtenet'!B57)</f>
        <v>0</v>
      </c>
      <c r="D5" s="30">
        <f>(SUM(HH_hh_gas_kWh,HH_rest_gas_kWh)/1000)*0.902</f>
        <v>26825.193392605946</v>
      </c>
      <c r="E5" s="17">
        <f>B46*B57</f>
        <v>1961.7914027524878</v>
      </c>
      <c r="F5" s="17">
        <f>B51*B62</f>
        <v>19124.547934713468</v>
      </c>
      <c r="G5" s="18"/>
      <c r="H5" s="17"/>
      <c r="I5" s="17"/>
      <c r="J5" s="17">
        <f>B50*B61+C50*C61</f>
        <v>7706.6724241341808</v>
      </c>
      <c r="K5" s="17"/>
      <c r="L5" s="17"/>
      <c r="M5" s="17"/>
      <c r="N5" s="17">
        <f>B48*B59+C48*C59</f>
        <v>6742.1596655865069</v>
      </c>
      <c r="O5" s="17">
        <f>B69*B70*B71</f>
        <v>164.15</v>
      </c>
      <c r="P5" s="17">
        <f>B77*B78*B79/1000-B77*B78*B79/1000/B80</f>
        <v>781.73333333333335</v>
      </c>
    </row>
    <row r="6" spans="1:16">
      <c r="A6" s="16" t="s">
        <v>631</v>
      </c>
      <c r="B6" s="789">
        <f>kWh_PV_kleiner_dan_10kW</f>
        <v>1877.2077755301384</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21508.454775530139</v>
      </c>
      <c r="C8" s="21">
        <f>C5</f>
        <v>0</v>
      </c>
      <c r="D8" s="21">
        <f>D5</f>
        <v>26825.193392605946</v>
      </c>
      <c r="E8" s="21">
        <f>E5</f>
        <v>1961.7914027524878</v>
      </c>
      <c r="F8" s="21">
        <f>F5</f>
        <v>19124.547934713468</v>
      </c>
      <c r="G8" s="21"/>
      <c r="H8" s="21"/>
      <c r="I8" s="21"/>
      <c r="J8" s="21">
        <f>J5</f>
        <v>7706.6724241341808</v>
      </c>
      <c r="K8" s="21"/>
      <c r="L8" s="21">
        <f>L5</f>
        <v>0</v>
      </c>
      <c r="M8" s="21">
        <f>M5</f>
        <v>0</v>
      </c>
      <c r="N8" s="21">
        <f>N5</f>
        <v>6742.1596655865069</v>
      </c>
      <c r="O8" s="21">
        <f>O5</f>
        <v>164.15</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0.18801764661161274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4043.9690491474803</v>
      </c>
      <c r="C12" s="23">
        <f ca="1">C10*C8</f>
        <v>0</v>
      </c>
      <c r="D12" s="23">
        <f>D8*D10</f>
        <v>5418.689065306402</v>
      </c>
      <c r="E12" s="23">
        <f>E10*E8</f>
        <v>445.32664842481472</v>
      </c>
      <c r="F12" s="23">
        <f>F10*F8</f>
        <v>5106.2542985684959</v>
      </c>
      <c r="G12" s="23"/>
      <c r="H12" s="23"/>
      <c r="I12" s="23"/>
      <c r="J12" s="23">
        <f>J10*J8</f>
        <v>2728.1620381435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484</v>
      </c>
      <c r="C18" s="166" t="s">
        <v>111</v>
      </c>
      <c r="D18" s="228"/>
      <c r="E18" s="15"/>
    </row>
    <row r="19" spans="1:7">
      <c r="A19" s="171" t="s">
        <v>72</v>
      </c>
      <c r="B19" s="37">
        <f>aantalw2001_ander</f>
        <v>1</v>
      </c>
      <c r="C19" s="166" t="s">
        <v>111</v>
      </c>
      <c r="D19" s="229"/>
      <c r="E19" s="15"/>
    </row>
    <row r="20" spans="1:7">
      <c r="A20" s="171" t="s">
        <v>73</v>
      </c>
      <c r="B20" s="37">
        <f>aantalw2001_propaan</f>
        <v>64</v>
      </c>
      <c r="C20" s="167">
        <f>IF(ISERROR(B20/SUM($B$20,$B$21,$B$22)*100),0,B20/SUM($B$20,$B$21,$B$22)*100)</f>
        <v>10.884353741496598</v>
      </c>
      <c r="D20" s="229"/>
      <c r="E20" s="15"/>
    </row>
    <row r="21" spans="1:7">
      <c r="A21" s="171" t="s">
        <v>74</v>
      </c>
      <c r="B21" s="37">
        <f>aantalw2001_elektriciteit</f>
        <v>466</v>
      </c>
      <c r="C21" s="167">
        <f>IF(ISERROR(B21/SUM($B$20,$B$21,$B$22)*100),0,B21/SUM($B$20,$B$21,$B$22)*100)</f>
        <v>79.251700680272108</v>
      </c>
      <c r="D21" s="229"/>
      <c r="E21" s="15"/>
    </row>
    <row r="22" spans="1:7">
      <c r="A22" s="171" t="s">
        <v>75</v>
      </c>
      <c r="B22" s="37">
        <f>aantalw2001_hout</f>
        <v>58</v>
      </c>
      <c r="C22" s="167">
        <f>IF(ISERROR(B22/SUM($B$20,$B$21,$B$22)*100),0,B22/SUM($B$20,$B$21,$B$22)*100)</f>
        <v>9.8639455782312915</v>
      </c>
      <c r="D22" s="229"/>
      <c r="E22" s="15"/>
    </row>
    <row r="23" spans="1:7">
      <c r="A23" s="171" t="s">
        <v>76</v>
      </c>
      <c r="B23" s="37">
        <f>aantalw2001_niet_gespec</f>
        <v>82</v>
      </c>
      <c r="C23" s="166" t="s">
        <v>111</v>
      </c>
      <c r="D23" s="228"/>
      <c r="E23" s="15"/>
    </row>
    <row r="24" spans="1:7">
      <c r="A24" s="171" t="s">
        <v>77</v>
      </c>
      <c r="B24" s="37">
        <f>aantalw2001_steenkool</f>
        <v>363</v>
      </c>
      <c r="C24" s="166" t="s">
        <v>111</v>
      </c>
      <c r="D24" s="229"/>
      <c r="E24" s="15"/>
    </row>
    <row r="25" spans="1:7">
      <c r="A25" s="171" t="s">
        <v>78</v>
      </c>
      <c r="B25" s="37">
        <f>aantalw2001_stookolie</f>
        <v>2072</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4168</v>
      </c>
      <c r="C28" s="36"/>
      <c r="D28" s="228"/>
    </row>
    <row r="29" spans="1:7" s="15" customFormat="1">
      <c r="A29" s="230" t="s">
        <v>741</v>
      </c>
      <c r="B29" s="37">
        <f>SUM(HH_hh_gas_aantal,HH_rest_gas_aantal)</f>
        <v>1923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1923</v>
      </c>
      <c r="C32" s="167">
        <f>IF(ISERROR(B32/SUM($B$32,$B$34,$B$35,$B$36,$B$38,$B$39)*100),0,B32/SUM($B$32,$B$34,$B$35,$B$36,$B$38,$B$39)*100)</f>
        <v>46.595590016961474</v>
      </c>
      <c r="D32" s="233"/>
      <c r="G32" s="15"/>
    </row>
    <row r="33" spans="1:7">
      <c r="A33" s="171" t="s">
        <v>72</v>
      </c>
      <c r="B33" s="34" t="s">
        <v>111</v>
      </c>
      <c r="C33" s="167"/>
      <c r="D33" s="233"/>
      <c r="G33" s="15"/>
    </row>
    <row r="34" spans="1:7">
      <c r="A34" s="171" t="s">
        <v>73</v>
      </c>
      <c r="B34" s="33">
        <f>IF((($B$28-$B$32-$B$39-$B$77-$B$38)*C20/100)&lt;0,0,($B$28-$B$32-$B$39-$B$77-$B$38)*C20/100)</f>
        <v>131.48299319727894</v>
      </c>
      <c r="C34" s="167">
        <f>IF(ISERROR(B34/SUM($B$32,$B$34,$B$35,$B$36,$B$38,$B$39)*100),0,B34/SUM($B$32,$B$34,$B$35,$B$36,$B$38,$B$39)*100)</f>
        <v>3.1859218123886346</v>
      </c>
      <c r="D34" s="233"/>
      <c r="G34" s="15"/>
    </row>
    <row r="35" spans="1:7">
      <c r="A35" s="171" t="s">
        <v>74</v>
      </c>
      <c r="B35" s="33">
        <f>IF((($B$28-$B$32-$B$39-$B$77-$B$38)*C21/100)&lt;0,0,($B$28-$B$32-$B$39-$B$77-$B$38)*C21/100)</f>
        <v>957.36054421768722</v>
      </c>
      <c r="C35" s="167">
        <f>IF(ISERROR(B35/SUM($B$32,$B$34,$B$35,$B$36,$B$38,$B$39)*100),0,B35/SUM($B$32,$B$34,$B$35,$B$36,$B$38,$B$39)*100)</f>
        <v>23.197493196454744</v>
      </c>
      <c r="D35" s="233"/>
      <c r="G35" s="15"/>
    </row>
    <row r="36" spans="1:7">
      <c r="A36" s="171" t="s">
        <v>75</v>
      </c>
      <c r="B36" s="33">
        <f>IF((($B$28-$B$32-$B$39-$B$77-$B$38)*C22/100)&lt;0,0,($B$28-$B$32-$B$39-$B$77-$B$38)*C22/100)</f>
        <v>119.15646258503402</v>
      </c>
      <c r="C36" s="167">
        <f>IF(ISERROR(B36/SUM($B$32,$B$34,$B$35,$B$36,$B$38,$B$39)*100),0,B36/SUM($B$32,$B$34,$B$35,$B$36,$B$38,$B$39)*100)</f>
        <v>2.8872416424771994</v>
      </c>
      <c r="D36" s="233"/>
      <c r="G36" s="15"/>
    </row>
    <row r="37" spans="1:7">
      <c r="A37" s="171" t="s">
        <v>76</v>
      </c>
      <c r="B37" s="34" t="s">
        <v>111</v>
      </c>
      <c r="C37" s="167"/>
      <c r="D37" s="173"/>
      <c r="G37" s="15"/>
    </row>
    <row r="38" spans="1:7">
      <c r="A38" s="171" t="s">
        <v>77</v>
      </c>
      <c r="B38" s="33">
        <f>IF((B24-(B29-B18)*0.1)&lt;0,0,B24-(B29-B18)*0.1)</f>
        <v>219.1</v>
      </c>
      <c r="C38" s="167">
        <f>IF(ISERROR(B38/SUM($B$32,$B$34,$B$35,$B$36,$B$38,$B$39)*100),0,B38/SUM($B$32,$B$34,$B$35,$B$36,$B$38,$B$39)*100)</f>
        <v>5.3089411194572325</v>
      </c>
      <c r="D38" s="234"/>
      <c r="G38" s="15"/>
    </row>
    <row r="39" spans="1:7">
      <c r="A39" s="171" t="s">
        <v>78</v>
      </c>
      <c r="B39" s="33">
        <f>IF((B25-(B29-B18))&lt;0,0,B25-(B29-B18)*0.9)</f>
        <v>776.89999999999986</v>
      </c>
      <c r="C39" s="167">
        <f>IF(ISERROR(B39/SUM($B$32,$B$34,$B$35,$B$36,$B$38,$B$39)*100),0,B39/SUM($B$32,$B$34,$B$35,$B$36,$B$38,$B$39)*100)</f>
        <v>18.824812212260721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1923</v>
      </c>
      <c r="C44" s="34" t="s">
        <v>111</v>
      </c>
      <c r="D44" s="174"/>
    </row>
    <row r="45" spans="1:7">
      <c r="A45" s="171" t="s">
        <v>72</v>
      </c>
      <c r="B45" s="33" t="str">
        <f t="shared" si="0"/>
        <v>-</v>
      </c>
      <c r="C45" s="34" t="s">
        <v>111</v>
      </c>
      <c r="D45" s="174"/>
    </row>
    <row r="46" spans="1:7">
      <c r="A46" s="171" t="s">
        <v>73</v>
      </c>
      <c r="B46" s="33">
        <f t="shared" si="0"/>
        <v>131.48299319727894</v>
      </c>
      <c r="C46" s="34" t="s">
        <v>111</v>
      </c>
      <c r="D46" s="174"/>
    </row>
    <row r="47" spans="1:7">
      <c r="A47" s="171" t="s">
        <v>74</v>
      </c>
      <c r="B47" s="33">
        <f t="shared" si="0"/>
        <v>957.36054421768722</v>
      </c>
      <c r="C47" s="34" t="s">
        <v>111</v>
      </c>
      <c r="D47" s="174"/>
    </row>
    <row r="48" spans="1:7">
      <c r="A48" s="171" t="s">
        <v>75</v>
      </c>
      <c r="B48" s="33">
        <f t="shared" si="0"/>
        <v>119.15646258503402</v>
      </c>
      <c r="C48" s="33">
        <f>B48*10</f>
        <v>1191.5646258503402</v>
      </c>
      <c r="D48" s="234"/>
    </row>
    <row r="49" spans="1:6">
      <c r="A49" s="171" t="s">
        <v>76</v>
      </c>
      <c r="B49" s="33" t="str">
        <f t="shared" si="0"/>
        <v>-</v>
      </c>
      <c r="C49" s="34" t="s">
        <v>111</v>
      </c>
      <c r="D49" s="234"/>
    </row>
    <row r="50" spans="1:6">
      <c r="A50" s="171" t="s">
        <v>77</v>
      </c>
      <c r="B50" s="33">
        <f t="shared" si="0"/>
        <v>219.1</v>
      </c>
      <c r="C50" s="33">
        <f>B50*2</f>
        <v>438.2</v>
      </c>
      <c r="D50" s="234"/>
    </row>
    <row r="51" spans="1:6">
      <c r="A51" s="171" t="s">
        <v>78</v>
      </c>
      <c r="B51" s="33">
        <f t="shared" si="0"/>
        <v>776.89999999999986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6847.2151900000008</v>
      </c>
      <c r="C5" s="17">
        <f>IF(ISERROR('Eigen informatie GS &amp; warmtenet'!B58),0,'Eigen informatie GS &amp; warmtenet'!B58)</f>
        <v>0</v>
      </c>
      <c r="D5" s="30">
        <f>SUM(D6:D12)</f>
        <v>5042.5196125379098</v>
      </c>
      <c r="E5" s="17">
        <f>SUM(E6:E12)</f>
        <v>70.187533107429999</v>
      </c>
      <c r="F5" s="17">
        <f>SUM(F6:F12)</f>
        <v>1111.543744972867</v>
      </c>
      <c r="G5" s="18"/>
      <c r="H5" s="17"/>
      <c r="I5" s="17"/>
      <c r="J5" s="17">
        <f>SUM(J6:J12)</f>
        <v>0</v>
      </c>
      <c r="K5" s="17"/>
      <c r="L5" s="17"/>
      <c r="M5" s="17"/>
      <c r="N5" s="17">
        <f>SUM(N6:N12)</f>
        <v>1294.1998856454134</v>
      </c>
      <c r="O5" s="17">
        <f>B38*B39*B40</f>
        <v>3.1266666666666669</v>
      </c>
      <c r="P5" s="17">
        <f>B46*B47*B48/1000-B46*B47*B48/1000/B49</f>
        <v>19.066666666666666</v>
      </c>
      <c r="R5" s="32"/>
    </row>
    <row r="6" spans="1:18">
      <c r="A6" s="32" t="s">
        <v>54</v>
      </c>
      <c r="B6" s="37">
        <f>B26</f>
        <v>927.7192</v>
      </c>
      <c r="C6" s="33"/>
      <c r="D6" s="37">
        <f>IF(ISERROR(TER_kantoor_gas_kWh/1000),0,TER_kantoor_gas_kWh/1000)*0.902</f>
        <v>646.3239557349674</v>
      </c>
      <c r="E6" s="33">
        <f>$C$26*'E Balans VL '!I12/100/3.6*1000000</f>
        <v>2.6877386381068393</v>
      </c>
      <c r="F6" s="33">
        <f>$C$26*('E Balans VL '!L12+'E Balans VL '!N12)/100/3.6*1000000</f>
        <v>104.99737420132189</v>
      </c>
      <c r="G6" s="34"/>
      <c r="H6" s="33"/>
      <c r="I6" s="33"/>
      <c r="J6" s="33">
        <f>$C$26*('E Balans VL '!D12+'E Balans VL '!E12)/100/3.6*1000000</f>
        <v>0</v>
      </c>
      <c r="K6" s="33"/>
      <c r="L6" s="33"/>
      <c r="M6" s="33"/>
      <c r="N6" s="33">
        <f>$C$26*'E Balans VL '!Y12/100/3.6*1000000</f>
        <v>9.285785617972703</v>
      </c>
      <c r="O6" s="33"/>
      <c r="P6" s="33"/>
      <c r="R6" s="32"/>
    </row>
    <row r="7" spans="1:18">
      <c r="A7" s="32" t="s">
        <v>53</v>
      </c>
      <c r="B7" s="37">
        <f t="shared" ref="B7:B12" si="0">B27</f>
        <v>656.82830000000001</v>
      </c>
      <c r="C7" s="33"/>
      <c r="D7" s="37">
        <f>IF(ISERROR(TER_horeca_gas_kWh/1000),0,TER_horeca_gas_kWh/1000)*0.902</f>
        <v>610.04617272448741</v>
      </c>
      <c r="E7" s="33">
        <f>$C$27*'E Balans VL '!I9/100/3.6*1000000</f>
        <v>27.571816891999244</v>
      </c>
      <c r="F7" s="33">
        <f>$C$27*('E Balans VL '!L9+'E Balans VL '!N9)/100/3.6*1000000</f>
        <v>141.13302978789179</v>
      </c>
      <c r="G7" s="34"/>
      <c r="H7" s="33"/>
      <c r="I7" s="33"/>
      <c r="J7" s="33">
        <f>$C$27*('E Balans VL '!D9+'E Balans VL '!E9)/100/3.6*1000000</f>
        <v>0</v>
      </c>
      <c r="K7" s="33"/>
      <c r="L7" s="33"/>
      <c r="M7" s="33"/>
      <c r="N7" s="33">
        <f>$C$27*'E Balans VL '!Y9/100/3.6*1000000</f>
        <v>0.16925890873813337</v>
      </c>
      <c r="O7" s="33"/>
      <c r="P7" s="33"/>
      <c r="R7" s="32"/>
    </row>
    <row r="8" spans="1:18">
      <c r="A8" s="6" t="s">
        <v>52</v>
      </c>
      <c r="B8" s="37">
        <f t="shared" si="0"/>
        <v>1860.5350000000001</v>
      </c>
      <c r="C8" s="33"/>
      <c r="D8" s="37">
        <f>IF(ISERROR(TER_handel_gas_kWh/1000),0,TER_handel_gas_kWh/1000)*0.902</f>
        <v>202.13479686659397</v>
      </c>
      <c r="E8" s="33">
        <f>$C$28*'E Balans VL '!I13/100/3.6*1000000</f>
        <v>19.98369437926252</v>
      </c>
      <c r="F8" s="33">
        <f>$C$28*('E Balans VL '!L13+'E Balans VL '!N13)/100/3.6*1000000</f>
        <v>240.86161973130476</v>
      </c>
      <c r="G8" s="34"/>
      <c r="H8" s="33"/>
      <c r="I8" s="33"/>
      <c r="J8" s="33">
        <f>$C$28*('E Balans VL '!D13+'E Balans VL '!E13)/100/3.6*1000000</f>
        <v>0</v>
      </c>
      <c r="K8" s="33"/>
      <c r="L8" s="33"/>
      <c r="M8" s="33"/>
      <c r="N8" s="33">
        <f>$C$28*'E Balans VL '!Y13/100/3.6*1000000</f>
        <v>15.092761509628069</v>
      </c>
      <c r="O8" s="33"/>
      <c r="P8" s="33"/>
      <c r="R8" s="32"/>
    </row>
    <row r="9" spans="1:18">
      <c r="A9" s="32" t="s">
        <v>51</v>
      </c>
      <c r="B9" s="37">
        <f t="shared" si="0"/>
        <v>169.77439999999999</v>
      </c>
      <c r="C9" s="33"/>
      <c r="D9" s="37">
        <f>IF(ISERROR(TER_gezond_gas_kWh/1000),0,TER_gezond_gas_kWh/1000)*0.902</f>
        <v>93.274950509809145</v>
      </c>
      <c r="E9" s="33">
        <f>$C$29*'E Balans VL '!I10/100/3.6*1000000</f>
        <v>0.13515140311400997</v>
      </c>
      <c r="F9" s="33">
        <f>$C$29*('E Balans VL '!L10+'E Balans VL '!N10)/100/3.6*1000000</f>
        <v>20.638531781064227</v>
      </c>
      <c r="G9" s="34"/>
      <c r="H9" s="33"/>
      <c r="I9" s="33"/>
      <c r="J9" s="33">
        <f>$C$29*('E Balans VL '!D10+'E Balans VL '!E10)/100/3.6*1000000</f>
        <v>0</v>
      </c>
      <c r="K9" s="33"/>
      <c r="L9" s="33"/>
      <c r="M9" s="33"/>
      <c r="N9" s="33">
        <f>$C$29*'E Balans VL '!Y10/100/3.6*1000000</f>
        <v>1.3713926244279919</v>
      </c>
      <c r="O9" s="33"/>
      <c r="P9" s="33"/>
      <c r="R9" s="32"/>
    </row>
    <row r="10" spans="1:18">
      <c r="A10" s="32" t="s">
        <v>50</v>
      </c>
      <c r="B10" s="37">
        <f t="shared" si="0"/>
        <v>1609.441</v>
      </c>
      <c r="C10" s="33"/>
      <c r="D10" s="37">
        <f>IF(ISERROR(TER_ander_gas_kWh/1000),0,TER_ander_gas_kWh/1000)*0.902</f>
        <v>1455.6294855333877</v>
      </c>
      <c r="E10" s="33">
        <f>$C$30*'E Balans VL '!I14/100/3.6*1000000</f>
        <v>5.5156388561921208</v>
      </c>
      <c r="F10" s="33">
        <f>$C$30*('E Balans VL '!L14+'E Balans VL '!N14)/100/3.6*1000000</f>
        <v>359.4837194216488</v>
      </c>
      <c r="G10" s="34"/>
      <c r="H10" s="33"/>
      <c r="I10" s="33"/>
      <c r="J10" s="33">
        <f>$C$30*('E Balans VL '!D14+'E Balans VL '!E14)/100/3.6*1000000</f>
        <v>0</v>
      </c>
      <c r="K10" s="33"/>
      <c r="L10" s="33"/>
      <c r="M10" s="33"/>
      <c r="N10" s="33">
        <f>$C$30*'E Balans VL '!Y14/100/3.6*1000000</f>
        <v>1133.6990326043194</v>
      </c>
      <c r="O10" s="33"/>
      <c r="P10" s="33"/>
      <c r="R10" s="32"/>
    </row>
    <row r="11" spans="1:18">
      <c r="A11" s="32" t="s">
        <v>55</v>
      </c>
      <c r="B11" s="37">
        <f t="shared" si="0"/>
        <v>45.455289999999998</v>
      </c>
      <c r="C11" s="33"/>
      <c r="D11" s="37">
        <f>IF(ISERROR(TER_onderwijs_gas_kWh/1000),0,TER_onderwijs_gas_kWh/1000)*0.902</f>
        <v>0</v>
      </c>
      <c r="E11" s="33">
        <f>$C$31*'E Balans VL '!I11/100/3.6*1000000</f>
        <v>3.1421842064242873E-2</v>
      </c>
      <c r="F11" s="33">
        <f>$C$31*('E Balans VL '!L11+'E Balans VL '!N11)/100/3.6*1000000</f>
        <v>11.89887453541588</v>
      </c>
      <c r="G11" s="34"/>
      <c r="H11" s="33"/>
      <c r="I11" s="33"/>
      <c r="J11" s="33">
        <f>$C$31*('E Balans VL '!D11+'E Balans VL '!E11)/100/3.6*1000000</f>
        <v>0</v>
      </c>
      <c r="K11" s="33"/>
      <c r="L11" s="33"/>
      <c r="M11" s="33"/>
      <c r="N11" s="33">
        <f>$C$31*'E Balans VL '!Y11/100/3.6*1000000</f>
        <v>4.524686961541298E-2</v>
      </c>
      <c r="O11" s="33"/>
      <c r="P11" s="33"/>
      <c r="R11" s="32"/>
    </row>
    <row r="12" spans="1:18">
      <c r="A12" s="32" t="s">
        <v>260</v>
      </c>
      <c r="B12" s="37">
        <f t="shared" si="0"/>
        <v>1577.462</v>
      </c>
      <c r="C12" s="33"/>
      <c r="D12" s="37">
        <f>IF(ISERROR(TER_rest_gas_kWh/1000),0,TER_rest_gas_kWh/1000)*0.902</f>
        <v>2035.1102511686636</v>
      </c>
      <c r="E12" s="33">
        <f>$C$32*'E Balans VL '!I8/100/3.6*1000000</f>
        <v>14.262071096691029</v>
      </c>
      <c r="F12" s="33">
        <f>$C$32*('E Balans VL '!L8+'E Balans VL '!N8)/100/3.6*1000000</f>
        <v>232.5305955142197</v>
      </c>
      <c r="G12" s="34"/>
      <c r="H12" s="33"/>
      <c r="I12" s="33"/>
      <c r="J12" s="33">
        <f>$C$32*('E Balans VL '!D8+'E Balans VL '!E8)/100/3.6*1000000</f>
        <v>0</v>
      </c>
      <c r="K12" s="33"/>
      <c r="L12" s="33"/>
      <c r="M12" s="33"/>
      <c r="N12" s="33">
        <f>$C$32*'E Balans VL '!Y8/100/3.6*1000000</f>
        <v>134.53640751071168</v>
      </c>
      <c r="O12" s="33"/>
      <c r="P12" s="33"/>
      <c r="R12" s="32"/>
    </row>
    <row r="13" spans="1:18">
      <c r="A13" s="16" t="s">
        <v>494</v>
      </c>
      <c r="B13" s="247">
        <f ca="1">'lokale energieproductie'!N91+'lokale energieproductie'!N60</f>
        <v>5310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-15171.428571428572</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12157.215190000001</v>
      </c>
      <c r="C16" s="21">
        <f t="shared" ca="1" si="1"/>
        <v>0</v>
      </c>
      <c r="D16" s="21">
        <f t="shared" ca="1" si="1"/>
        <v>5042.5196125379098</v>
      </c>
      <c r="E16" s="21">
        <f t="shared" si="1"/>
        <v>70.187533107429999</v>
      </c>
      <c r="F16" s="21">
        <f t="shared" ca="1" si="1"/>
        <v>1111.543744972867</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0.18801764661161274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2285.7709893747506</v>
      </c>
      <c r="C20" s="23">
        <f t="shared" ref="C20:P20" ca="1" si="2">C16*C18</f>
        <v>0</v>
      </c>
      <c r="D20" s="23">
        <f t="shared" ca="1" si="2"/>
        <v>1018.5889617326578</v>
      </c>
      <c r="E20" s="23">
        <f t="shared" si="2"/>
        <v>15.932570015386611</v>
      </c>
      <c r="F20" s="23">
        <f t="shared" ca="1" si="2"/>
        <v>296.78217990775551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927.7192</v>
      </c>
      <c r="C26" s="39">
        <f>IF(ISERROR(B26*3.6/1000000/'E Balans VL '!Z12*100),0,B26*3.6/1000000/'E Balans VL '!Z12*100)</f>
        <v>2.0378424778797481E-2</v>
      </c>
      <c r="D26" s="237" t="s">
        <v>692</v>
      </c>
      <c r="F26" s="6"/>
    </row>
    <row r="27" spans="1:18">
      <c r="A27" s="231" t="s">
        <v>53</v>
      </c>
      <c r="B27" s="33">
        <f>IF(ISERROR(TER_horeca_ele_kWh/1000),0,TER_horeca_ele_kWh/1000)</f>
        <v>656.82830000000001</v>
      </c>
      <c r="C27" s="39">
        <f>IF(ISERROR(B27*3.6/1000000/'E Balans VL '!Z9*100),0,B27*3.6/1000000/'E Balans VL '!Z9*100)</f>
        <v>5.2782701246825575E-2</v>
      </c>
      <c r="D27" s="237" t="s">
        <v>692</v>
      </c>
      <c r="F27" s="6"/>
    </row>
    <row r="28" spans="1:18">
      <c r="A28" s="171" t="s">
        <v>52</v>
      </c>
      <c r="B28" s="33">
        <f>IF(ISERROR(TER_handel_ele_kWh/1000),0,TER_handel_ele_kWh/1000)</f>
        <v>1860.5350000000001</v>
      </c>
      <c r="C28" s="39">
        <f>IF(ISERROR(B28*3.6/1000000/'E Balans VL '!Z13*100),0,B28*3.6/1000000/'E Balans VL '!Z13*100)</f>
        <v>5.5014720152957726E-2</v>
      </c>
      <c r="D28" s="237" t="s">
        <v>692</v>
      </c>
      <c r="F28" s="6"/>
    </row>
    <row r="29" spans="1:18">
      <c r="A29" s="231" t="s">
        <v>51</v>
      </c>
      <c r="B29" s="33">
        <f>IF(ISERROR(TER_gezond_ele_kWh/1000),0,TER_gezond_ele_kWh/1000)</f>
        <v>169.77439999999999</v>
      </c>
      <c r="C29" s="39">
        <f>IF(ISERROR(B29*3.6/1000000/'E Balans VL '!Z10*100),0,B29*3.6/1000000/'E Balans VL '!Z10*100)</f>
        <v>1.9129191691371051E-2</v>
      </c>
      <c r="D29" s="237" t="s">
        <v>692</v>
      </c>
      <c r="F29" s="6"/>
    </row>
    <row r="30" spans="1:18">
      <c r="A30" s="231" t="s">
        <v>50</v>
      </c>
      <c r="B30" s="33">
        <f>IF(ISERROR(TER_ander_ele_kWh/1000),0,TER_ander_ele_kWh/1000)</f>
        <v>1609.441</v>
      </c>
      <c r="C30" s="39">
        <f>IF(ISERROR(B30*3.6/1000000/'E Balans VL '!Z14*100),0,B30*3.6/1000000/'E Balans VL '!Z14*100)</f>
        <v>0.12171927161488308</v>
      </c>
      <c r="D30" s="237" t="s">
        <v>692</v>
      </c>
      <c r="F30" s="6"/>
    </row>
    <row r="31" spans="1:18">
      <c r="A31" s="231" t="s">
        <v>55</v>
      </c>
      <c r="B31" s="33">
        <f>IF(ISERROR(TER_onderwijs_ele_kWh/1000),0,TER_onderwijs_ele_kWh/1000)</f>
        <v>45.455289999999998</v>
      </c>
      <c r="C31" s="39">
        <f>IF(ISERROR(B31*3.6/1000000/'E Balans VL '!Z11*100),0,B31*3.6/1000000/'E Balans VL '!Z11*100)</f>
        <v>9.4354630047428015E-3</v>
      </c>
      <c r="D31" s="237" t="s">
        <v>692</v>
      </c>
    </row>
    <row r="32" spans="1:18">
      <c r="A32" s="231" t="s">
        <v>260</v>
      </c>
      <c r="B32" s="33">
        <f>IF(ISERROR(TER_rest_ele_kWh/1000),0,TER_rest_ele_kWh/1000)</f>
        <v>1577.462</v>
      </c>
      <c r="C32" s="39">
        <f>IF(ISERROR(B32*3.6/1000000/'E Balans VL '!Z8*100),0,B32*3.6/1000000/'E Balans VL '!Z8*100)</f>
        <v>1.3289189360531434E-2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22532.464829999997</v>
      </c>
      <c r="C5" s="17">
        <f>IF(ISERROR('Eigen informatie GS &amp; warmtenet'!B59),0,'Eigen informatie GS &amp; warmtenet'!B59)</f>
        <v>0</v>
      </c>
      <c r="D5" s="30">
        <f>SUM(D6:D15)</f>
        <v>73812.746675226706</v>
      </c>
      <c r="E5" s="17">
        <f>SUM(E6:E15)</f>
        <v>573.15422678160712</v>
      </c>
      <c r="F5" s="17">
        <f>SUM(F6:F15)</f>
        <v>34198.65269894847</v>
      </c>
      <c r="G5" s="18"/>
      <c r="H5" s="17"/>
      <c r="I5" s="17"/>
      <c r="J5" s="17">
        <f>SUM(J6:J15)</f>
        <v>433.21147502713859</v>
      </c>
      <c r="K5" s="17"/>
      <c r="L5" s="17"/>
      <c r="M5" s="17"/>
      <c r="N5" s="17">
        <f>SUM(N6:N15)</f>
        <v>10169.348339920909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37.66357</v>
      </c>
      <c r="C8" s="33"/>
      <c r="D8" s="37">
        <f>IF( ISERROR(IND_metaal_Gas_kWH/1000),0,IND_metaal_Gas_kWH/1000)*0.902</f>
        <v>0</v>
      </c>
      <c r="E8" s="33">
        <f>C30*'E Balans VL '!I18/100/3.6*1000000</f>
        <v>0.94258733742905221</v>
      </c>
      <c r="F8" s="33">
        <f>C30*'E Balans VL '!L18/100/3.6*1000000+C30*'E Balans VL '!N18/100/3.6*1000000</f>
        <v>11.803950186232115</v>
      </c>
      <c r="G8" s="34"/>
      <c r="H8" s="33"/>
      <c r="I8" s="33"/>
      <c r="J8" s="40">
        <f>C30*'E Balans VL '!D18/100/3.6*1000000+C30*'E Balans VL '!E18/100/3.6*1000000</f>
        <v>0</v>
      </c>
      <c r="K8" s="33"/>
      <c r="L8" s="33"/>
      <c r="M8" s="33"/>
      <c r="N8" s="33">
        <f>C30*'E Balans VL '!Y18/100/3.6*1000000</f>
        <v>0.94620662388762211</v>
      </c>
      <c r="O8" s="33"/>
      <c r="P8" s="33"/>
      <c r="R8" s="32"/>
    </row>
    <row r="9" spans="1:18">
      <c r="A9" s="6" t="s">
        <v>33</v>
      </c>
      <c r="B9" s="37">
        <f t="shared" si="0"/>
        <v>594.72919999999999</v>
      </c>
      <c r="C9" s="33"/>
      <c r="D9" s="37">
        <f>IF( ISERROR(IND_andere_gas_kWh/1000),0,IND_andere_gas_kWh/1000)*0.902</f>
        <v>332.64015320191095</v>
      </c>
      <c r="E9" s="33">
        <f>C31*'E Balans VL '!I19/100/3.6*1000000</f>
        <v>163.52613714879854</v>
      </c>
      <c r="F9" s="33">
        <f>C31*'E Balans VL '!L19/100/3.6*1000000+C31*'E Balans VL '!N19/100/3.6*1000000</f>
        <v>468.75009991119327</v>
      </c>
      <c r="G9" s="34"/>
      <c r="H9" s="33"/>
      <c r="I9" s="33"/>
      <c r="J9" s="40">
        <f>C31*'E Balans VL '!D19/100/3.6*1000000+C31*'E Balans VL '!E19/100/3.6*1000000</f>
        <v>0</v>
      </c>
      <c r="K9" s="33"/>
      <c r="L9" s="33"/>
      <c r="M9" s="33"/>
      <c r="N9" s="33">
        <f>C31*'E Balans VL '!Y19/100/3.6*1000000</f>
        <v>192.52954026395261</v>
      </c>
      <c r="O9" s="33"/>
      <c r="P9" s="33"/>
      <c r="R9" s="32"/>
    </row>
    <row r="10" spans="1:18">
      <c r="A10" s="6" t="s">
        <v>41</v>
      </c>
      <c r="B10" s="37">
        <f t="shared" si="0"/>
        <v>17298.337</v>
      </c>
      <c r="C10" s="33"/>
      <c r="D10" s="37">
        <f>IF( ISERROR(IND_voed_gas_kWh/1000),0,IND_voed_gas_kWh/1000)*0.902</f>
        <v>0</v>
      </c>
      <c r="E10" s="33">
        <f>C32*'E Balans VL '!I20/100/3.6*1000000</f>
        <v>176.34701600676993</v>
      </c>
      <c r="F10" s="33">
        <f>C32*'E Balans VL '!L20/100/3.6*1000000+C32*'E Balans VL '!N20/100/3.6*1000000</f>
        <v>32676.450402345807</v>
      </c>
      <c r="G10" s="34"/>
      <c r="H10" s="33"/>
      <c r="I10" s="33"/>
      <c r="J10" s="40">
        <f>C32*'E Balans VL '!D20/100/3.6*1000000+C32*'E Balans VL '!E20/100/3.6*1000000</f>
        <v>414.00580482491659</v>
      </c>
      <c r="K10" s="33"/>
      <c r="L10" s="33"/>
      <c r="M10" s="33"/>
      <c r="N10" s="33">
        <f>C32*'E Balans VL '!Y20/100/3.6*1000000</f>
        <v>9118.2161230919901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36.913059999999994</v>
      </c>
      <c r="C12" s="33"/>
      <c r="D12" s="37">
        <f>IF( ISERROR(IND_min_gas_kWh/1000),0,IND_min_gas_kWh/1000)*0.902</f>
        <v>0</v>
      </c>
      <c r="E12" s="33">
        <f>C34*'E Balans VL '!I22/100/3.6*1000000</f>
        <v>0.11179296100904776</v>
      </c>
      <c r="F12" s="33">
        <f>C34*'E Balans VL '!L22/100/3.6*1000000+C34*'E Balans VL '!N22/100/3.6*1000000</f>
        <v>1.1535648604904278</v>
      </c>
      <c r="G12" s="34"/>
      <c r="H12" s="33"/>
      <c r="I12" s="33"/>
      <c r="J12" s="40">
        <f>C34*'E Balans VL '!D22/100/3.6*1000000+C34*'E Balans VL '!E22/100/3.6*1000000</f>
        <v>5.4733873702923173E-2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4564.8220000000001</v>
      </c>
      <c r="C15" s="33"/>
      <c r="D15" s="37">
        <f>IF( ISERROR(IND_rest_gas_kWh/1000),0,IND_rest_gas_kWh/1000)*0.902</f>
        <v>73480.106522024798</v>
      </c>
      <c r="E15" s="33">
        <f>C37*'E Balans VL '!I15/100/3.6*1000000</f>
        <v>232.2266933276006</v>
      </c>
      <c r="F15" s="33">
        <f>C37*'E Balans VL '!L15/100/3.6*1000000+C37*'E Balans VL '!N15/100/3.6*1000000</f>
        <v>1040.4946816447462</v>
      </c>
      <c r="G15" s="34"/>
      <c r="H15" s="33"/>
      <c r="I15" s="33"/>
      <c r="J15" s="40">
        <f>C37*'E Balans VL '!D15/100/3.6*1000000+C37*'E Balans VL '!E15/100/3.6*1000000</f>
        <v>19.150936328519077</v>
      </c>
      <c r="K15" s="33"/>
      <c r="L15" s="33"/>
      <c r="M15" s="33"/>
      <c r="N15" s="33">
        <f>C37*'E Balans VL '!Y15/100/3.6*1000000</f>
        <v>857.65646994107942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22532.464829999997</v>
      </c>
      <c r="C18" s="21">
        <f>C5+C16</f>
        <v>0</v>
      </c>
      <c r="D18" s="21">
        <f>MAX((D5+D16),0)</f>
        <v>73812.746675226706</v>
      </c>
      <c r="E18" s="21">
        <f>MAX((E5+E16),0)</f>
        <v>573.15422678160712</v>
      </c>
      <c r="F18" s="21">
        <f>MAX((F5+F16),0)</f>
        <v>34198.65269894847</v>
      </c>
      <c r="G18" s="21"/>
      <c r="H18" s="21"/>
      <c r="I18" s="21"/>
      <c r="J18" s="21">
        <f>MAX((J5+J16),0)</f>
        <v>433.21147502713859</v>
      </c>
      <c r="K18" s="21"/>
      <c r="L18" s="21">
        <f>MAX((L5+L16),0)</f>
        <v>0</v>
      </c>
      <c r="M18" s="21"/>
      <c r="N18" s="21">
        <f>MAX((N5+N16),0)</f>
        <v>10169.348339920909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0.18801764661161274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4236.501009695532</v>
      </c>
      <c r="C22" s="23">
        <f ca="1">C18*C20</f>
        <v>0</v>
      </c>
      <c r="D22" s="23">
        <f>D18*D20</f>
        <v>14910.174828395795</v>
      </c>
      <c r="E22" s="23">
        <f>E18*E20</f>
        <v>130.10600947942481</v>
      </c>
      <c r="F22" s="23">
        <f>F18*F20</f>
        <v>9131.0402706192417</v>
      </c>
      <c r="G22" s="23"/>
      <c r="H22" s="23"/>
      <c r="I22" s="23"/>
      <c r="J22" s="23">
        <f>J18*J20</f>
        <v>153.35686215960706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37.66357</v>
      </c>
      <c r="C30" s="39">
        <f>IF(ISERROR(B30*3.6/1000000/'E Balans VL '!Z18*100),0,B30*3.6/1000000/'E Balans VL '!Z18*100)</f>
        <v>5.2716446476636985E-3</v>
      </c>
      <c r="D30" s="237" t="s">
        <v>692</v>
      </c>
    </row>
    <row r="31" spans="1:18">
      <c r="A31" s="6" t="s">
        <v>33</v>
      </c>
      <c r="B31" s="37">
        <f>IF( ISERROR(IND_ander_ele_kWh/1000),0,IND_ander_ele_kWh/1000)</f>
        <v>594.72919999999999</v>
      </c>
      <c r="C31" s="39">
        <f>IF(ISERROR(B31*3.6/1000000/'E Balans VL '!Z19*100),0,B31*3.6/1000000/'E Balans VL '!Z19*100)</f>
        <v>2.6031200605216603E-2</v>
      </c>
      <c r="D31" s="237" t="s">
        <v>692</v>
      </c>
    </row>
    <row r="32" spans="1:18">
      <c r="A32" s="171" t="s">
        <v>41</v>
      </c>
      <c r="B32" s="37">
        <f>IF( ISERROR(IND_voed_ele_kWh/1000),0,IND_voed_ele_kWh/1000)</f>
        <v>17298.337</v>
      </c>
      <c r="C32" s="39">
        <f>IF(ISERROR(B32*3.6/1000000/'E Balans VL '!Z20*100),0,B32*3.6/1000000/'E Balans VL '!Z20*100)</f>
        <v>4.2824937917632244</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36.913059999999994</v>
      </c>
      <c r="C34" s="39">
        <f>IF(ISERROR(B34*3.6/1000000/'E Balans VL '!Z22*100),0,B34*3.6/1000000/'E Balans VL '!Z22*100)</f>
        <v>1.0474420456089639E-3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4564.8220000000001</v>
      </c>
      <c r="C37" s="39">
        <f>IF(ISERROR(B37*3.6/1000000/'E Balans VL '!Z15*100),0,B37*3.6/1000000/'E Balans VL '!Z15*100)</f>
        <v>3.3847373599402014E-2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1107.5883000000001</v>
      </c>
      <c r="C5" s="17">
        <f>'Eigen informatie GS &amp; warmtenet'!B60</f>
        <v>0</v>
      </c>
      <c r="D5" s="30">
        <f>IF(ISERROR(SUM(LB_lb_gas_kWh,LB_rest_gas_kWh)/1000),0,SUM(LB_lb_gas_kWh,LB_rest_gas_kWh)/1000)*0.902</f>
        <v>77.811286649934459</v>
      </c>
      <c r="E5" s="17">
        <f>B17*'E Balans VL '!I25/3.6*1000000/100</f>
        <v>10.258946735222681</v>
      </c>
      <c r="F5" s="17">
        <f>B17*('E Balans VL '!L25/3.6*1000000+'E Balans VL '!N25/3.6*1000000)/100</f>
        <v>2810.1625124546226</v>
      </c>
      <c r="G5" s="18"/>
      <c r="H5" s="17"/>
      <c r="I5" s="17"/>
      <c r="J5" s="17">
        <f>('E Balans VL '!D25+'E Balans VL '!E25)/3.6*1000000*landbouw!B17/100</f>
        <v>169.80564711150396</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1107.5883000000001</v>
      </c>
      <c r="C8" s="21">
        <f>C5+C6</f>
        <v>0</v>
      </c>
      <c r="D8" s="21">
        <f>MAX((D5+D6),0)</f>
        <v>77.811286649934459</v>
      </c>
      <c r="E8" s="21">
        <f>MAX((E5+E6),0)</f>
        <v>10.258946735222681</v>
      </c>
      <c r="F8" s="21">
        <f>MAX((F5+F6),0)</f>
        <v>2810.1625124546226</v>
      </c>
      <c r="G8" s="21"/>
      <c r="H8" s="21"/>
      <c r="I8" s="21"/>
      <c r="J8" s="21">
        <f>MAX((J5+J6),0)</f>
        <v>169.80564711150396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0.18801764661161274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208.24614558055694</v>
      </c>
      <c r="C12" s="23">
        <f ca="1">C8*C10</f>
        <v>0</v>
      </c>
      <c r="D12" s="23">
        <f>D8*D10</f>
        <v>15.717879903286761</v>
      </c>
      <c r="E12" s="23">
        <f>E8*E10</f>
        <v>2.3287809088955487</v>
      </c>
      <c r="F12" s="23">
        <f>F8*F10</f>
        <v>750.31339082538432</v>
      </c>
      <c r="G12" s="23"/>
      <c r="H12" s="23"/>
      <c r="I12" s="23"/>
      <c r="J12" s="23">
        <f>J8*J10</f>
        <v>60.111199077472399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0.1574755713286915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133.43285412168228</v>
      </c>
      <c r="C26" s="247">
        <f>B26*'GWP N2O_CH4'!B5</f>
        <v>2802.0899365553278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18.663804135727663</v>
      </c>
      <c r="C27" s="247">
        <f>B27*'GWP N2O_CH4'!B5</f>
        <v>391.93988685028091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1.8931489773450347</v>
      </c>
      <c r="C28" s="247">
        <f>B28*'GWP N2O_CH4'!B4</f>
        <v>586.87618297696076</v>
      </c>
      <c r="D28" s="50"/>
    </row>
    <row r="29" spans="1:4">
      <c r="A29" s="41" t="s">
        <v>277</v>
      </c>
      <c r="B29" s="247">
        <f>B34*'ha_N2O bodem landbouw'!B4</f>
        <v>9.3802383881341491</v>
      </c>
      <c r="C29" s="247">
        <f>B29*'GWP N2O_CH4'!B4</f>
        <v>2907.873900321586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2.1038222158874954E-3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5.2773185887515698E-5</v>
      </c>
      <c r="C5" s="464" t="s">
        <v>211</v>
      </c>
      <c r="D5" s="449">
        <f>SUM(D6:D11)</f>
        <v>1.4745038676573408E-4</v>
      </c>
      <c r="E5" s="449">
        <f>SUM(E6:E11)</f>
        <v>1.074018062268918E-3</v>
      </c>
      <c r="F5" s="462" t="s">
        <v>211</v>
      </c>
      <c r="G5" s="449">
        <f>SUM(G6:G11)</f>
        <v>0.30524973075547351</v>
      </c>
      <c r="H5" s="449">
        <f>SUM(H6:H11)</f>
        <v>5.70159674065314E-2</v>
      </c>
      <c r="I5" s="464" t="s">
        <v>211</v>
      </c>
      <c r="J5" s="464" t="s">
        <v>211</v>
      </c>
      <c r="K5" s="464" t="s">
        <v>211</v>
      </c>
      <c r="L5" s="464" t="s">
        <v>211</v>
      </c>
      <c r="M5" s="449">
        <f>SUM(M6:M11)</f>
        <v>1.9412469604990552E-2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5.1701365294715345E-6</v>
      </c>
      <c r="C6" s="450"/>
      <c r="D6" s="893">
        <f>vkm_2011_GW_PW*SUMIFS(TableVerdeelsleutelVkm[CNG],TableVerdeelsleutelVkm[Voertuigtype],"Lichte voertuigen")*SUMIFS(TableECFTransport[EnergieConsumptieFactor (PJ per km)],TableECFTransport[Index],CONCATENATE($A6,"_CNG_CNG"))</f>
        <v>1.1959095001120269E-5</v>
      </c>
      <c r="E6" s="893">
        <f>vkm_2011_GW_PW*SUMIFS(TableVerdeelsleutelVkm[LPG],TableVerdeelsleutelVkm[Voertuigtype],"Lichte voertuigen")*SUMIFS(TableECFTransport[EnergieConsumptieFactor (PJ per km)],TableECFTransport[Index],CONCATENATE($A6,"_LPG_LPG"))</f>
        <v>7.7870404752114283E-5</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1.6177000480979253E-2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4.5599621278848979E-3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1.076140860400076E-3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6.1921695014181292E-3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2.1176095144484411E-6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3.5825210446660381E-4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1.2029105369251814E-5</v>
      </c>
      <c r="C8" s="450"/>
      <c r="D8" s="452">
        <f>vkm_2011_NGW_PW*SUMIFS(TableVerdeelsleutelVkm[CNG],TableVerdeelsleutelVkm[Voertuigtype],"Lichte voertuigen")*SUMIFS(TableECFTransport[EnergieConsumptieFactor (PJ per km)],TableECFTransport[Index],CONCATENATE($A8,"_CNG_CNG"))</f>
        <v>4.9213665542511427E-5</v>
      </c>
      <c r="E8" s="452">
        <f>vkm_2011_NGW_PW*SUMIFS(TableVerdeelsleutelVkm[LPG],TableVerdeelsleutelVkm[Voertuigtype],"Lichte voertuigen")*SUMIFS(TableECFTransport[EnergieConsumptieFactor (PJ per km)],TableECFTransport[Index],CONCATENATE($A8,"_LPG_LPG"))</f>
        <v>2.9574170714495454E-4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5.7432605063899932E-2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1.8144433369254555E-2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3.8807797021094899E-3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1.1331515956785151E-2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3.6667465663588431E-6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6.5558601157825517E-4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3.5573943988792354E-5</v>
      </c>
      <c r="C10" s="450"/>
      <c r="D10" s="452">
        <f>vkm_2011_SW_PW*SUMIFS(TableVerdeelsleutelVkm[CNG],TableVerdeelsleutelVkm[Voertuigtype],"Lichte voertuigen")*SUMIFS(TableECFTransport[EnergieConsumptieFactor (PJ per km)],TableECFTransport[Index],CONCATENATE($A10,"_CNG_CNG"))</f>
        <v>8.6277626222102386E-5</v>
      </c>
      <c r="E10" s="452">
        <f>vkm_2011_SW_PW*SUMIFS(TableVerdeelsleutelVkm[LPG],TableVerdeelsleutelVkm[Voertuigtype],"Lichte voertuigen")*SUMIFS(TableECFTransport[EnergieConsumptieFactor (PJ per km)],TableECFTransport[Index],CONCATENATE($A10,"_LPG_LPG"))</f>
        <v>7.0040595037184922E-4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0.13099602311481554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3.4275152504481009E-2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8.6326556596549187E-3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8.3120416637575523E-2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3.0635048830130403E-5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4.8090552667812087E-3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14.659218302087694</v>
      </c>
      <c r="C14" s="21"/>
      <c r="D14" s="21">
        <f t="shared" ref="D14:M14" si="0">((D5)*10^9/3600)+D12</f>
        <v>40.958440768259472</v>
      </c>
      <c r="E14" s="21">
        <f t="shared" si="0"/>
        <v>298.33835063025504</v>
      </c>
      <c r="F14" s="21"/>
      <c r="G14" s="21">
        <f t="shared" si="0"/>
        <v>84791.591876520411</v>
      </c>
      <c r="H14" s="21">
        <f t="shared" si="0"/>
        <v>15837.768724036499</v>
      </c>
      <c r="I14" s="21"/>
      <c r="J14" s="21"/>
      <c r="K14" s="21"/>
      <c r="L14" s="21"/>
      <c r="M14" s="21">
        <f t="shared" si="0"/>
        <v>5392.3526680529312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0.18801764661161274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2.7561917263244098</v>
      </c>
      <c r="C18" s="23"/>
      <c r="D18" s="23">
        <f t="shared" ref="D18:M18" si="1">D14*D16</f>
        <v>8.2736050351884138</v>
      </c>
      <c r="E18" s="23">
        <f t="shared" si="1"/>
        <v>67.722805593067889</v>
      </c>
      <c r="F18" s="23"/>
      <c r="G18" s="23">
        <f t="shared" si="1"/>
        <v>22639.355031030951</v>
      </c>
      <c r="H18" s="23">
        <f t="shared" si="1"/>
        <v>3943.6044122850885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2.5733768325283527E-3</v>
      </c>
      <c r="H50" s="321">
        <f t="shared" si="2"/>
        <v>0</v>
      </c>
      <c r="I50" s="321">
        <f t="shared" si="2"/>
        <v>0</v>
      </c>
      <c r="J50" s="321">
        <f t="shared" si="2"/>
        <v>0</v>
      </c>
      <c r="K50" s="321">
        <f t="shared" si="2"/>
        <v>0</v>
      </c>
      <c r="L50" s="321">
        <f t="shared" si="2"/>
        <v>0</v>
      </c>
      <c r="M50" s="321">
        <f t="shared" si="2"/>
        <v>1.4675217896037985E-4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2.5733768325283527E-3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1.4675217896037985E-4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714.82689792454244</v>
      </c>
      <c r="H54" s="21">
        <f t="shared" si="3"/>
        <v>0</v>
      </c>
      <c r="I54" s="21">
        <f t="shared" si="3"/>
        <v>0</v>
      </c>
      <c r="J54" s="21">
        <f t="shared" si="3"/>
        <v>0</v>
      </c>
      <c r="K54" s="21">
        <f t="shared" si="3"/>
        <v>0</v>
      </c>
      <c r="L54" s="21">
        <f t="shared" si="3"/>
        <v>0</v>
      </c>
      <c r="M54" s="21">
        <f t="shared" si="3"/>
        <v>40.764494155661069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0.18801764661161274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190.85878174585284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12786.62219</v>
      </c>
      <c r="D10" s="1025">
        <f ca="1">tertiair!C16</f>
        <v>0</v>
      </c>
      <c r="E10" s="1025">
        <f ca="1">tertiair!D16</f>
        <v>5042.5196125379098</v>
      </c>
      <c r="F10" s="1025">
        <f>tertiair!E16</f>
        <v>70.187533107429999</v>
      </c>
      <c r="G10" s="1025">
        <f ca="1">tertiair!F16</f>
        <v>1111.543744972867</v>
      </c>
      <c r="H10" s="1025">
        <f>tertiair!G16</f>
        <v>0</v>
      </c>
      <c r="I10" s="1025">
        <f>tertiair!H16</f>
        <v>0</v>
      </c>
      <c r="J10" s="1025">
        <f>tertiair!I16</f>
        <v>0</v>
      </c>
      <c r="K10" s="1025">
        <f>tertiair!J16</f>
        <v>0</v>
      </c>
      <c r="L10" s="1025">
        <f>tertiair!K16</f>
        <v>0</v>
      </c>
      <c r="M10" s="1025">
        <f ca="1">tertiair!L16</f>
        <v>0</v>
      </c>
      <c r="N10" s="1025">
        <f>tertiair!M16</f>
        <v>0</v>
      </c>
      <c r="O10" s="1025">
        <f ca="1">tertiair!N16</f>
        <v>0</v>
      </c>
      <c r="P10" s="1025">
        <f>tertiair!O16</f>
        <v>3.1266666666666669</v>
      </c>
      <c r="Q10" s="1026">
        <f>tertiair!P16</f>
        <v>19.066666666666666</v>
      </c>
      <c r="R10" s="701">
        <f ca="1">SUM(C10:Q10)</f>
        <v>19033.066413951539</v>
      </c>
      <c r="S10" s="67"/>
    </row>
    <row r="11" spans="1:19" s="474" customFormat="1">
      <c r="A11" s="810" t="s">
        <v>225</v>
      </c>
      <c r="B11" s="815"/>
      <c r="C11" s="1025">
        <f>huishoudens!B8</f>
        <v>21508.454775530139</v>
      </c>
      <c r="D11" s="1025">
        <f>huishoudens!C8</f>
        <v>0</v>
      </c>
      <c r="E11" s="1025">
        <f>huishoudens!D8</f>
        <v>26825.193392605946</v>
      </c>
      <c r="F11" s="1025">
        <f>huishoudens!E8</f>
        <v>1961.7914027524878</v>
      </c>
      <c r="G11" s="1025">
        <f>huishoudens!F8</f>
        <v>19124.547934713468</v>
      </c>
      <c r="H11" s="1025">
        <f>huishoudens!G8</f>
        <v>0</v>
      </c>
      <c r="I11" s="1025">
        <f>huishoudens!H8</f>
        <v>0</v>
      </c>
      <c r="J11" s="1025">
        <f>huishoudens!I8</f>
        <v>0</v>
      </c>
      <c r="K11" s="1025">
        <f>huishoudens!J8</f>
        <v>7706.6724241341808</v>
      </c>
      <c r="L11" s="1025">
        <f>huishoudens!K8</f>
        <v>0</v>
      </c>
      <c r="M11" s="1025">
        <f>huishoudens!L8</f>
        <v>0</v>
      </c>
      <c r="N11" s="1025">
        <f>huishoudens!M8</f>
        <v>0</v>
      </c>
      <c r="O11" s="1025">
        <f>huishoudens!N8</f>
        <v>6742.1596655865069</v>
      </c>
      <c r="P11" s="1025">
        <f>huishoudens!O8</f>
        <v>164.15</v>
      </c>
      <c r="Q11" s="1026">
        <f>huishoudens!P8</f>
        <v>781.73333333333335</v>
      </c>
      <c r="R11" s="701">
        <f>SUM(C11:Q11)</f>
        <v>84814.702928656072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22532.464829999997</v>
      </c>
      <c r="D13" s="1025">
        <f>industrie!C18</f>
        <v>0</v>
      </c>
      <c r="E13" s="1025">
        <f>industrie!D18</f>
        <v>73812.746675226706</v>
      </c>
      <c r="F13" s="1025">
        <f>industrie!E18</f>
        <v>573.15422678160712</v>
      </c>
      <c r="G13" s="1025">
        <f>industrie!F18</f>
        <v>34198.65269894847</v>
      </c>
      <c r="H13" s="1025">
        <f>industrie!G18</f>
        <v>0</v>
      </c>
      <c r="I13" s="1025">
        <f>industrie!H18</f>
        <v>0</v>
      </c>
      <c r="J13" s="1025">
        <f>industrie!I18</f>
        <v>0</v>
      </c>
      <c r="K13" s="1025">
        <f>industrie!J18</f>
        <v>433.21147502713859</v>
      </c>
      <c r="L13" s="1025">
        <f>industrie!K18</f>
        <v>0</v>
      </c>
      <c r="M13" s="1025">
        <f>industrie!L18</f>
        <v>0</v>
      </c>
      <c r="N13" s="1025">
        <f>industrie!M18</f>
        <v>0</v>
      </c>
      <c r="O13" s="1025">
        <f>industrie!N18</f>
        <v>10169.348339920909</v>
      </c>
      <c r="P13" s="1025">
        <f>industrie!O18</f>
        <v>0</v>
      </c>
      <c r="Q13" s="1026">
        <f>industrie!P18</f>
        <v>0</v>
      </c>
      <c r="R13" s="701">
        <f>SUM(C13:Q13)</f>
        <v>141719.57824590485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56827.541795530138</v>
      </c>
      <c r="D16" s="733">
        <f t="shared" ref="D16:R16" ca="1" si="0">SUM(D9:D15)</f>
        <v>0</v>
      </c>
      <c r="E16" s="733">
        <f t="shared" ca="1" si="0"/>
        <v>105680.45968037056</v>
      </c>
      <c r="F16" s="733">
        <f t="shared" si="0"/>
        <v>2605.1331626415249</v>
      </c>
      <c r="G16" s="733">
        <f t="shared" ca="1" si="0"/>
        <v>54434.744378634801</v>
      </c>
      <c r="H16" s="733">
        <f t="shared" si="0"/>
        <v>0</v>
      </c>
      <c r="I16" s="733">
        <f t="shared" si="0"/>
        <v>0</v>
      </c>
      <c r="J16" s="733">
        <f t="shared" si="0"/>
        <v>0</v>
      </c>
      <c r="K16" s="733">
        <f t="shared" si="0"/>
        <v>8139.8838991613193</v>
      </c>
      <c r="L16" s="733">
        <f t="shared" si="0"/>
        <v>0</v>
      </c>
      <c r="M16" s="733">
        <f t="shared" ca="1" si="0"/>
        <v>0</v>
      </c>
      <c r="N16" s="733">
        <f t="shared" si="0"/>
        <v>0</v>
      </c>
      <c r="O16" s="733">
        <f t="shared" ca="1" si="0"/>
        <v>16911.508005507414</v>
      </c>
      <c r="P16" s="733">
        <f t="shared" si="0"/>
        <v>167.27666666666667</v>
      </c>
      <c r="Q16" s="733">
        <f t="shared" si="0"/>
        <v>800.80000000000007</v>
      </c>
      <c r="R16" s="733">
        <f t="shared" ca="1" si="0"/>
        <v>245567.34758851246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714.82689792454244</v>
      </c>
      <c r="I19" s="1025">
        <f>transport!H54</f>
        <v>0</v>
      </c>
      <c r="J19" s="1025">
        <f>transport!I54</f>
        <v>0</v>
      </c>
      <c r="K19" s="1025">
        <f>transport!J54</f>
        <v>0</v>
      </c>
      <c r="L19" s="1025">
        <f>transport!K54</f>
        <v>0</v>
      </c>
      <c r="M19" s="1025">
        <f>transport!L54</f>
        <v>0</v>
      </c>
      <c r="N19" s="1025">
        <f>transport!M54</f>
        <v>40.764494155661069</v>
      </c>
      <c r="O19" s="1025">
        <f>transport!N54</f>
        <v>0</v>
      </c>
      <c r="P19" s="1025">
        <f>transport!O54</f>
        <v>0</v>
      </c>
      <c r="Q19" s="1026">
        <f>transport!P54</f>
        <v>0</v>
      </c>
      <c r="R19" s="701">
        <f>SUM(C19:Q19)</f>
        <v>755.59139208020349</v>
      </c>
      <c r="S19" s="67"/>
    </row>
    <row r="20" spans="1:19" s="474" customFormat="1">
      <c r="A20" s="810" t="s">
        <v>307</v>
      </c>
      <c r="B20" s="815"/>
      <c r="C20" s="1025">
        <f>transport!B14</f>
        <v>14.659218302087694</v>
      </c>
      <c r="D20" s="1025">
        <f>transport!C14</f>
        <v>0</v>
      </c>
      <c r="E20" s="1025">
        <f>transport!D14</f>
        <v>40.958440768259472</v>
      </c>
      <c r="F20" s="1025">
        <f>transport!E14</f>
        <v>298.33835063025504</v>
      </c>
      <c r="G20" s="1025">
        <f>transport!F14</f>
        <v>0</v>
      </c>
      <c r="H20" s="1025">
        <f>transport!G14</f>
        <v>84791.591876520411</v>
      </c>
      <c r="I20" s="1025">
        <f>transport!H14</f>
        <v>15837.768724036499</v>
      </c>
      <c r="J20" s="1025">
        <f>transport!I14</f>
        <v>0</v>
      </c>
      <c r="K20" s="1025">
        <f>transport!J14</f>
        <v>0</v>
      </c>
      <c r="L20" s="1025">
        <f>transport!K14</f>
        <v>0</v>
      </c>
      <c r="M20" s="1025">
        <f>transport!L14</f>
        <v>0</v>
      </c>
      <c r="N20" s="1025">
        <f>transport!M14</f>
        <v>5392.3526680529312</v>
      </c>
      <c r="O20" s="1025">
        <f>transport!N14</f>
        <v>0</v>
      </c>
      <c r="P20" s="1025">
        <f>transport!O14</f>
        <v>0</v>
      </c>
      <c r="Q20" s="1026">
        <f>transport!P14</f>
        <v>0</v>
      </c>
      <c r="R20" s="701">
        <f>SUM(C20:Q20)</f>
        <v>106375.66927831045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14.659218302087694</v>
      </c>
      <c r="D22" s="813">
        <f t="shared" ref="D22:R22" si="1">SUM(D18:D21)</f>
        <v>0</v>
      </c>
      <c r="E22" s="813">
        <f t="shared" si="1"/>
        <v>40.958440768259472</v>
      </c>
      <c r="F22" s="813">
        <f t="shared" si="1"/>
        <v>298.33835063025504</v>
      </c>
      <c r="G22" s="813">
        <f t="shared" si="1"/>
        <v>0</v>
      </c>
      <c r="H22" s="813">
        <f t="shared" si="1"/>
        <v>85506.418774444959</v>
      </c>
      <c r="I22" s="813">
        <f t="shared" si="1"/>
        <v>15837.768724036499</v>
      </c>
      <c r="J22" s="813">
        <f t="shared" si="1"/>
        <v>0</v>
      </c>
      <c r="K22" s="813">
        <f t="shared" si="1"/>
        <v>0</v>
      </c>
      <c r="L22" s="813">
        <f t="shared" si="1"/>
        <v>0</v>
      </c>
      <c r="M22" s="813">
        <f t="shared" si="1"/>
        <v>0</v>
      </c>
      <c r="N22" s="813">
        <f t="shared" si="1"/>
        <v>5433.1171622085922</v>
      </c>
      <c r="O22" s="813">
        <f t="shared" si="1"/>
        <v>0</v>
      </c>
      <c r="P22" s="813">
        <f t="shared" si="1"/>
        <v>0</v>
      </c>
      <c r="Q22" s="813">
        <f t="shared" si="1"/>
        <v>0</v>
      </c>
      <c r="R22" s="813">
        <f t="shared" si="1"/>
        <v>107131.26067039065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1107.5883000000001</v>
      </c>
      <c r="D24" s="1025">
        <f>+landbouw!C8</f>
        <v>0</v>
      </c>
      <c r="E24" s="1025">
        <f>+landbouw!D8</f>
        <v>77.811286649934459</v>
      </c>
      <c r="F24" s="1025">
        <f>+landbouw!E8</f>
        <v>10.258946735222681</v>
      </c>
      <c r="G24" s="1025">
        <f>+landbouw!F8</f>
        <v>2810.1625124546226</v>
      </c>
      <c r="H24" s="1025">
        <f>+landbouw!G8</f>
        <v>0</v>
      </c>
      <c r="I24" s="1025">
        <f>+landbouw!H8</f>
        <v>0</v>
      </c>
      <c r="J24" s="1025">
        <f>+landbouw!I8</f>
        <v>0</v>
      </c>
      <c r="K24" s="1025">
        <f>+landbouw!J8</f>
        <v>169.80564711150396</v>
      </c>
      <c r="L24" s="1025">
        <f>+landbouw!K8</f>
        <v>0</v>
      </c>
      <c r="M24" s="1025">
        <f>+landbouw!L8</f>
        <v>0</v>
      </c>
      <c r="N24" s="1025">
        <f>+landbouw!M8</f>
        <v>0</v>
      </c>
      <c r="O24" s="1025">
        <f>+landbouw!N8</f>
        <v>0</v>
      </c>
      <c r="P24" s="1025">
        <f>+landbouw!O8</f>
        <v>0</v>
      </c>
      <c r="Q24" s="1026">
        <f>+landbouw!P8</f>
        <v>0</v>
      </c>
      <c r="R24" s="701">
        <f>SUM(C24:Q24)</f>
        <v>4175.626692951284</v>
      </c>
      <c r="S24" s="67"/>
    </row>
    <row r="25" spans="1:19" s="474" customFormat="1" ht="15" thickBot="1">
      <c r="A25" s="832" t="s">
        <v>864</v>
      </c>
      <c r="B25" s="1028"/>
      <c r="C25" s="1029">
        <f>IF(Onbekend_ele_kWh="---",0,Onbekend_ele_kWh)/1000+IF(REST_rest_ele_kWh="---",0,REST_rest_ele_kWh)/1000</f>
        <v>745.24159999999995</v>
      </c>
      <c r="D25" s="1029"/>
      <c r="E25" s="1029">
        <f>IF(onbekend_gas_kWh="---",0,onbekend_gas_kWh)/1000+IF(REST_rest_gas_kWh="---",0,REST_rest_gas_kWh)/1000</f>
        <v>549.97695679651702</v>
      </c>
      <c r="F25" s="1029"/>
      <c r="G25" s="1029"/>
      <c r="H25" s="1029"/>
      <c r="I25" s="1029"/>
      <c r="J25" s="1029"/>
      <c r="K25" s="1029"/>
      <c r="L25" s="1029"/>
      <c r="M25" s="1029"/>
      <c r="N25" s="1029"/>
      <c r="O25" s="1029"/>
      <c r="P25" s="1029"/>
      <c r="Q25" s="1030"/>
      <c r="R25" s="701">
        <f>SUM(C25:Q25)</f>
        <v>1295.2185567965171</v>
      </c>
      <c r="S25" s="67"/>
    </row>
    <row r="26" spans="1:19" s="474" customFormat="1" ht="15.75" thickBot="1">
      <c r="A26" s="706" t="s">
        <v>865</v>
      </c>
      <c r="B26" s="818"/>
      <c r="C26" s="813">
        <f>SUM(C24:C25)</f>
        <v>1852.8299000000002</v>
      </c>
      <c r="D26" s="813">
        <f t="shared" ref="D26:R26" si="2">SUM(D24:D25)</f>
        <v>0</v>
      </c>
      <c r="E26" s="813">
        <f t="shared" si="2"/>
        <v>627.78824344645147</v>
      </c>
      <c r="F26" s="813">
        <f t="shared" si="2"/>
        <v>10.258946735222681</v>
      </c>
      <c r="G26" s="813">
        <f t="shared" si="2"/>
        <v>2810.1625124546226</v>
      </c>
      <c r="H26" s="813">
        <f t="shared" si="2"/>
        <v>0</v>
      </c>
      <c r="I26" s="813">
        <f t="shared" si="2"/>
        <v>0</v>
      </c>
      <c r="J26" s="813">
        <f t="shared" si="2"/>
        <v>0</v>
      </c>
      <c r="K26" s="813">
        <f t="shared" si="2"/>
        <v>169.80564711150396</v>
      </c>
      <c r="L26" s="813">
        <f t="shared" si="2"/>
        <v>0</v>
      </c>
      <c r="M26" s="813">
        <f t="shared" si="2"/>
        <v>0</v>
      </c>
      <c r="N26" s="813">
        <f t="shared" si="2"/>
        <v>0</v>
      </c>
      <c r="O26" s="813">
        <f t="shared" si="2"/>
        <v>0</v>
      </c>
      <c r="P26" s="813">
        <f t="shared" si="2"/>
        <v>0</v>
      </c>
      <c r="Q26" s="813">
        <f t="shared" si="2"/>
        <v>0</v>
      </c>
      <c r="R26" s="813">
        <f t="shared" si="2"/>
        <v>5470.8452497478011</v>
      </c>
      <c r="S26" s="67"/>
    </row>
    <row r="27" spans="1:19" s="474" customFormat="1" ht="17.25" thickTop="1" thickBot="1">
      <c r="A27" s="707" t="s">
        <v>116</v>
      </c>
      <c r="B27" s="806"/>
      <c r="C27" s="708">
        <f ca="1">C22+C16+C26</f>
        <v>58695.030913832226</v>
      </c>
      <c r="D27" s="708">
        <f t="shared" ref="D27:R27" ca="1" si="3">D22+D16+D26</f>
        <v>0</v>
      </c>
      <c r="E27" s="708">
        <f t="shared" ca="1" si="3"/>
        <v>106349.20636458528</v>
      </c>
      <c r="F27" s="708">
        <f t="shared" si="3"/>
        <v>2913.7304600070029</v>
      </c>
      <c r="G27" s="708">
        <f t="shared" ca="1" si="3"/>
        <v>57244.906891089428</v>
      </c>
      <c r="H27" s="708">
        <f t="shared" si="3"/>
        <v>85506.418774444959</v>
      </c>
      <c r="I27" s="708">
        <f t="shared" si="3"/>
        <v>15837.768724036499</v>
      </c>
      <c r="J27" s="708">
        <f t="shared" si="3"/>
        <v>0</v>
      </c>
      <c r="K27" s="708">
        <f t="shared" si="3"/>
        <v>8309.6895462728226</v>
      </c>
      <c r="L27" s="708">
        <f t="shared" si="3"/>
        <v>0</v>
      </c>
      <c r="M27" s="708">
        <f t="shared" ca="1" si="3"/>
        <v>0</v>
      </c>
      <c r="N27" s="708">
        <f t="shared" si="3"/>
        <v>5433.1171622085922</v>
      </c>
      <c r="O27" s="708">
        <f t="shared" ca="1" si="3"/>
        <v>16911.508005507414</v>
      </c>
      <c r="P27" s="708">
        <f t="shared" si="3"/>
        <v>167.27666666666667</v>
      </c>
      <c r="Q27" s="708">
        <f t="shared" si="3"/>
        <v>800.80000000000007</v>
      </c>
      <c r="R27" s="708">
        <f t="shared" ca="1" si="3"/>
        <v>358169.45350865094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2404.110612275626</v>
      </c>
      <c r="D40" s="1025">
        <f ca="1">tertiair!C20</f>
        <v>0</v>
      </c>
      <c r="E40" s="1025">
        <f ca="1">tertiair!D20</f>
        <v>1018.5889617326578</v>
      </c>
      <c r="F40" s="1025">
        <f>tertiair!E20</f>
        <v>15.932570015386611</v>
      </c>
      <c r="G40" s="1025">
        <f ca="1">tertiair!F20</f>
        <v>296.78217990775551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3735.4143239314262</v>
      </c>
    </row>
    <row r="41" spans="1:18">
      <c r="A41" s="823" t="s">
        <v>225</v>
      </c>
      <c r="B41" s="830"/>
      <c r="C41" s="1025">
        <f ca="1">huishoudens!B12</f>
        <v>4043.9690491474803</v>
      </c>
      <c r="D41" s="1025">
        <f ca="1">huishoudens!C12</f>
        <v>0</v>
      </c>
      <c r="E41" s="1025">
        <f>huishoudens!D12</f>
        <v>5418.689065306402</v>
      </c>
      <c r="F41" s="1025">
        <f>huishoudens!E12</f>
        <v>445.32664842481472</v>
      </c>
      <c r="G41" s="1025">
        <f>huishoudens!F12</f>
        <v>5106.2542985684959</v>
      </c>
      <c r="H41" s="1025">
        <f>huishoudens!G12</f>
        <v>0</v>
      </c>
      <c r="I41" s="1025">
        <f>huishoudens!H12</f>
        <v>0</v>
      </c>
      <c r="J41" s="1025">
        <f>huishoudens!I12</f>
        <v>0</v>
      </c>
      <c r="K41" s="1025">
        <f>huishoudens!J12</f>
        <v>2728.1620381435</v>
      </c>
      <c r="L41" s="1025">
        <f>huishoudens!K12</f>
        <v>0</v>
      </c>
      <c r="M41" s="1025">
        <f>huishoudens!L12</f>
        <v>0</v>
      </c>
      <c r="N41" s="1025">
        <f>huishoudens!M12</f>
        <v>0</v>
      </c>
      <c r="O41" s="1025">
        <f>huishoudens!N12</f>
        <v>0</v>
      </c>
      <c r="P41" s="1025">
        <f>huishoudens!O12</f>
        <v>0</v>
      </c>
      <c r="Q41" s="775">
        <f>huishoudens!P12</f>
        <v>0</v>
      </c>
      <c r="R41" s="851">
        <f t="shared" ca="1" si="4"/>
        <v>17742.401099590694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4236.501009695532</v>
      </c>
      <c r="D43" s="1025">
        <f ca="1">industrie!C22</f>
        <v>0</v>
      </c>
      <c r="E43" s="1025">
        <f>industrie!D22</f>
        <v>14910.174828395795</v>
      </c>
      <c r="F43" s="1025">
        <f>industrie!E22</f>
        <v>130.10600947942481</v>
      </c>
      <c r="G43" s="1025">
        <f>industrie!F22</f>
        <v>9131.0402706192417</v>
      </c>
      <c r="H43" s="1025">
        <f>industrie!G22</f>
        <v>0</v>
      </c>
      <c r="I43" s="1025">
        <f>industrie!H22</f>
        <v>0</v>
      </c>
      <c r="J43" s="1025">
        <f>industrie!I22</f>
        <v>0</v>
      </c>
      <c r="K43" s="1025">
        <f>industrie!J22</f>
        <v>153.35686215960706</v>
      </c>
      <c r="L43" s="1025">
        <f>industrie!K22</f>
        <v>0</v>
      </c>
      <c r="M43" s="1025">
        <f>industrie!L22</f>
        <v>0</v>
      </c>
      <c r="N43" s="1025">
        <f>industrie!M22</f>
        <v>0</v>
      </c>
      <c r="O43" s="1025">
        <f>industrie!N22</f>
        <v>0</v>
      </c>
      <c r="P43" s="1025">
        <f>industrie!O22</f>
        <v>0</v>
      </c>
      <c r="Q43" s="775">
        <f>industrie!P22</f>
        <v>0</v>
      </c>
      <c r="R43" s="850">
        <f t="shared" ca="1" si="4"/>
        <v>28561.178980349599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10684.580671118638</v>
      </c>
      <c r="D46" s="733">
        <f t="shared" ref="D46:Q46" ca="1" si="5">SUM(D39:D45)</f>
        <v>0</v>
      </c>
      <c r="E46" s="733">
        <f t="shared" ca="1" si="5"/>
        <v>21347.452855434854</v>
      </c>
      <c r="F46" s="733">
        <f t="shared" si="5"/>
        <v>591.36522791962614</v>
      </c>
      <c r="G46" s="733">
        <f t="shared" ca="1" si="5"/>
        <v>14534.076749095493</v>
      </c>
      <c r="H46" s="733">
        <f t="shared" si="5"/>
        <v>0</v>
      </c>
      <c r="I46" s="733">
        <f t="shared" si="5"/>
        <v>0</v>
      </c>
      <c r="J46" s="733">
        <f t="shared" si="5"/>
        <v>0</v>
      </c>
      <c r="K46" s="733">
        <f t="shared" si="5"/>
        <v>2881.5189003031069</v>
      </c>
      <c r="L46" s="733">
        <f t="shared" si="5"/>
        <v>0</v>
      </c>
      <c r="M46" s="733">
        <f t="shared" ca="1" si="5"/>
        <v>0</v>
      </c>
      <c r="N46" s="733">
        <f t="shared" si="5"/>
        <v>0</v>
      </c>
      <c r="O46" s="733">
        <f t="shared" ca="1" si="5"/>
        <v>0</v>
      </c>
      <c r="P46" s="733">
        <f t="shared" si="5"/>
        <v>0</v>
      </c>
      <c r="Q46" s="733">
        <f t="shared" si="5"/>
        <v>0</v>
      </c>
      <c r="R46" s="733">
        <f ca="1">SUM(R39:R45)</f>
        <v>50038.994403871722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190.85878174585284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190.85878174585284</v>
      </c>
    </row>
    <row r="50" spans="1:18">
      <c r="A50" s="826" t="s">
        <v>307</v>
      </c>
      <c r="B50" s="836"/>
      <c r="C50" s="704">
        <f ca="1">transport!B18</f>
        <v>2.7561917263244098</v>
      </c>
      <c r="D50" s="704">
        <f>transport!C18</f>
        <v>0</v>
      </c>
      <c r="E50" s="704">
        <f>transport!D18</f>
        <v>8.2736050351884138</v>
      </c>
      <c r="F50" s="704">
        <f>transport!E18</f>
        <v>67.722805593067889</v>
      </c>
      <c r="G50" s="704">
        <f>transport!F18</f>
        <v>0</v>
      </c>
      <c r="H50" s="704">
        <f>transport!G18</f>
        <v>22639.355031030951</v>
      </c>
      <c r="I50" s="704">
        <f>transport!H18</f>
        <v>3943.6044122850885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26661.712045670618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2.7561917263244098</v>
      </c>
      <c r="D52" s="733">
        <f t="shared" ref="D52:Q52" ca="1" si="6">SUM(D48:D51)</f>
        <v>0</v>
      </c>
      <c r="E52" s="733">
        <f t="shared" si="6"/>
        <v>8.2736050351884138</v>
      </c>
      <c r="F52" s="733">
        <f t="shared" si="6"/>
        <v>67.722805593067889</v>
      </c>
      <c r="G52" s="733">
        <f t="shared" si="6"/>
        <v>0</v>
      </c>
      <c r="H52" s="733">
        <f t="shared" si="6"/>
        <v>22830.213812776805</v>
      </c>
      <c r="I52" s="733">
        <f t="shared" si="6"/>
        <v>3943.6044122850885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26852.570827416472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208.24614558055694</v>
      </c>
      <c r="D54" s="704">
        <f ca="1">+landbouw!C12</f>
        <v>0</v>
      </c>
      <c r="E54" s="704">
        <f>+landbouw!D12</f>
        <v>15.717879903286761</v>
      </c>
      <c r="F54" s="704">
        <f>+landbouw!E12</f>
        <v>2.3287809088955487</v>
      </c>
      <c r="G54" s="704">
        <f>+landbouw!F12</f>
        <v>750.31339082538432</v>
      </c>
      <c r="H54" s="704">
        <f>+landbouw!G12</f>
        <v>0</v>
      </c>
      <c r="I54" s="704">
        <f>+landbouw!H12</f>
        <v>0</v>
      </c>
      <c r="J54" s="704">
        <f>+landbouw!I12</f>
        <v>0</v>
      </c>
      <c r="K54" s="704">
        <f>+landbouw!J12</f>
        <v>60.111199077472399</v>
      </c>
      <c r="L54" s="704">
        <f>+landbouw!K12</f>
        <v>0</v>
      </c>
      <c r="M54" s="704">
        <f>+landbouw!L12</f>
        <v>0</v>
      </c>
      <c r="N54" s="704">
        <f>+landbouw!M12</f>
        <v>0</v>
      </c>
      <c r="O54" s="704">
        <f>+landbouw!N12</f>
        <v>0</v>
      </c>
      <c r="P54" s="704">
        <f>+landbouw!O12</f>
        <v>0</v>
      </c>
      <c r="Q54" s="705">
        <f>+landbouw!P12</f>
        <v>0</v>
      </c>
      <c r="R54" s="732">
        <f ca="1">SUM(C54:Q54)</f>
        <v>1036.7173962955958</v>
      </c>
    </row>
    <row r="55" spans="1:18" ht="15" thickBot="1">
      <c r="A55" s="826" t="s">
        <v>864</v>
      </c>
      <c r="B55" s="836"/>
      <c r="C55" s="704">
        <f ca="1">C25*'EF ele_warmte'!B12</f>
        <v>140.11857178907286</v>
      </c>
      <c r="D55" s="704"/>
      <c r="E55" s="704">
        <f>E25*EF_CO2_aardgas</f>
        <v>111.09534527289644</v>
      </c>
      <c r="F55" s="704"/>
      <c r="G55" s="704"/>
      <c r="H55" s="704"/>
      <c r="I55" s="704"/>
      <c r="J55" s="704"/>
      <c r="K55" s="704"/>
      <c r="L55" s="704"/>
      <c r="M55" s="704"/>
      <c r="N55" s="704"/>
      <c r="O55" s="704"/>
      <c r="P55" s="704"/>
      <c r="Q55" s="705"/>
      <c r="R55" s="732">
        <f ca="1">SUM(C55:Q55)</f>
        <v>251.21391706196931</v>
      </c>
    </row>
    <row r="56" spans="1:18" ht="15.75" thickBot="1">
      <c r="A56" s="824" t="s">
        <v>865</v>
      </c>
      <c r="B56" s="837"/>
      <c r="C56" s="733">
        <f ca="1">SUM(C54:C55)</f>
        <v>348.36471736962983</v>
      </c>
      <c r="D56" s="733">
        <f t="shared" ref="D56:Q56" ca="1" si="7">SUM(D54:D55)</f>
        <v>0</v>
      </c>
      <c r="E56" s="733">
        <f t="shared" si="7"/>
        <v>126.8132251761832</v>
      </c>
      <c r="F56" s="733">
        <f t="shared" si="7"/>
        <v>2.3287809088955487</v>
      </c>
      <c r="G56" s="733">
        <f t="shared" si="7"/>
        <v>750.31339082538432</v>
      </c>
      <c r="H56" s="733">
        <f t="shared" si="7"/>
        <v>0</v>
      </c>
      <c r="I56" s="733">
        <f t="shared" si="7"/>
        <v>0</v>
      </c>
      <c r="J56" s="733">
        <f t="shared" si="7"/>
        <v>0</v>
      </c>
      <c r="K56" s="733">
        <f t="shared" si="7"/>
        <v>60.111199077472399</v>
      </c>
      <c r="L56" s="733">
        <f t="shared" si="7"/>
        <v>0</v>
      </c>
      <c r="M56" s="733">
        <f t="shared" si="7"/>
        <v>0</v>
      </c>
      <c r="N56" s="733">
        <f t="shared" si="7"/>
        <v>0</v>
      </c>
      <c r="O56" s="733">
        <f t="shared" si="7"/>
        <v>0</v>
      </c>
      <c r="P56" s="733">
        <f t="shared" si="7"/>
        <v>0</v>
      </c>
      <c r="Q56" s="734">
        <f t="shared" si="7"/>
        <v>0</v>
      </c>
      <c r="R56" s="735">
        <f ca="1">SUM(R54:R55)</f>
        <v>1287.9313133575652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11035.701580214592</v>
      </c>
      <c r="D61" s="741">
        <f t="shared" ref="D61:Q61" ca="1" si="8">D46+D52+D56</f>
        <v>0</v>
      </c>
      <c r="E61" s="741">
        <f t="shared" ca="1" si="8"/>
        <v>21482.539685646225</v>
      </c>
      <c r="F61" s="741">
        <f t="shared" si="8"/>
        <v>661.41681442158949</v>
      </c>
      <c r="G61" s="741">
        <f t="shared" ca="1" si="8"/>
        <v>15284.390139920877</v>
      </c>
      <c r="H61" s="741">
        <f t="shared" si="8"/>
        <v>22830.213812776805</v>
      </c>
      <c r="I61" s="741">
        <f t="shared" si="8"/>
        <v>3943.6044122850885</v>
      </c>
      <c r="J61" s="741">
        <f t="shared" si="8"/>
        <v>0</v>
      </c>
      <c r="K61" s="741">
        <f t="shared" si="8"/>
        <v>2941.6300993805794</v>
      </c>
      <c r="L61" s="741">
        <f t="shared" si="8"/>
        <v>0</v>
      </c>
      <c r="M61" s="741">
        <f t="shared" ca="1" si="8"/>
        <v>0</v>
      </c>
      <c r="N61" s="741">
        <f t="shared" si="8"/>
        <v>0</v>
      </c>
      <c r="O61" s="741">
        <f t="shared" ca="1" si="8"/>
        <v>0</v>
      </c>
      <c r="P61" s="741">
        <f t="shared" si="8"/>
        <v>0</v>
      </c>
      <c r="Q61" s="741">
        <f t="shared" si="8"/>
        <v>0</v>
      </c>
      <c r="R61" s="741">
        <f ca="1">R46+R52+R56</f>
        <v>78179.496544645765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0.18801764661161274</v>
      </c>
      <c r="D63" s="782">
        <f t="shared" ca="1" si="9"/>
        <v>0</v>
      </c>
      <c r="E63" s="1036">
        <f t="shared" ca="1" si="9"/>
        <v>0.20199999999999999</v>
      </c>
      <c r="F63" s="782">
        <f t="shared" si="9"/>
        <v>0.22699999999999995</v>
      </c>
      <c r="G63" s="782">
        <f t="shared" ca="1" si="9"/>
        <v>0.26700000000000002</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3449.7296458928995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5310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15171.428571428572</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8759.7296458928995</v>
      </c>
      <c r="C78" s="756">
        <f>SUM(C72:C77)</f>
        <v>0</v>
      </c>
      <c r="D78" s="757">
        <f t="shared" ref="D78:H78" si="10">SUM(D76:D77)</f>
        <v>0</v>
      </c>
      <c r="E78" s="757">
        <f t="shared" si="10"/>
        <v>0</v>
      </c>
      <c r="F78" s="757">
        <f t="shared" si="10"/>
        <v>0</v>
      </c>
      <c r="G78" s="757">
        <f t="shared" si="10"/>
        <v>0</v>
      </c>
      <c r="H78" s="757">
        <f t="shared" si="10"/>
        <v>0</v>
      </c>
      <c r="I78" s="757">
        <f>SUM(I76:I77)</f>
        <v>0</v>
      </c>
      <c r="J78" s="757">
        <f>SUM(J76:J77)</f>
        <v>15171.428571428572</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3449.7296458928995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5310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15171.428571428572</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8759.7296458928995</v>
      </c>
      <c r="C10" s="584">
        <f t="shared" ref="C10:L10" si="0">SUM(C8:C9)</f>
        <v>0</v>
      </c>
      <c r="D10" s="584">
        <f t="shared" si="0"/>
        <v>0</v>
      </c>
      <c r="E10" s="584">
        <f t="shared" si="0"/>
        <v>0</v>
      </c>
      <c r="F10" s="584">
        <f t="shared" si="0"/>
        <v>0</v>
      </c>
      <c r="G10" s="584">
        <f t="shared" si="0"/>
        <v>0</v>
      </c>
      <c r="H10" s="584">
        <f t="shared" si="0"/>
        <v>0</v>
      </c>
      <c r="I10" s="584">
        <f t="shared" si="0"/>
        <v>0</v>
      </c>
      <c r="J10" s="584">
        <f t="shared" si="0"/>
        <v>15171.428571428572</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41063</v>
      </c>
      <c r="C64" s="797">
        <v>9520</v>
      </c>
      <c r="D64" s="656" t="s">
        <v>907</v>
      </c>
      <c r="E64" s="656" t="s">
        <v>908</v>
      </c>
      <c r="F64" s="656" t="s">
        <v>909</v>
      </c>
      <c r="G64" s="656" t="s">
        <v>910</v>
      </c>
      <c r="H64" s="656" t="s">
        <v>911</v>
      </c>
      <c r="I64" s="656" t="s">
        <v>912</v>
      </c>
      <c r="J64" s="796">
        <v>39234</v>
      </c>
      <c r="K64" s="796">
        <v>37408</v>
      </c>
      <c r="L64" s="656" t="s">
        <v>913</v>
      </c>
      <c r="M64" s="656">
        <v>1180</v>
      </c>
      <c r="N64" s="656">
        <v>5310</v>
      </c>
      <c r="O64" s="656">
        <v>0</v>
      </c>
      <c r="P64" s="656">
        <v>0</v>
      </c>
      <c r="Q64" s="656">
        <v>0</v>
      </c>
      <c r="R64" s="656">
        <v>15171.428571428572</v>
      </c>
      <c r="S64" s="656">
        <v>0</v>
      </c>
      <c r="T64" s="656">
        <v>0</v>
      </c>
      <c r="U64" s="656">
        <v>0</v>
      </c>
      <c r="V64" s="656">
        <v>0</v>
      </c>
      <c r="W64" s="656">
        <v>0</v>
      </c>
      <c r="X64" s="656">
        <v>1600</v>
      </c>
      <c r="Y64" s="656" t="s">
        <v>50</v>
      </c>
      <c r="Z64" s="657" t="s">
        <v>156</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1180</v>
      </c>
      <c r="N89" s="611">
        <f t="shared" ref="N89:W89" si="5">SUM(N64:N88)</f>
        <v>5310</v>
      </c>
      <c r="O89" s="611">
        <f t="shared" si="5"/>
        <v>0</v>
      </c>
      <c r="P89" s="611">
        <f t="shared" si="5"/>
        <v>0</v>
      </c>
      <c r="Q89" s="611">
        <f t="shared" si="5"/>
        <v>0</v>
      </c>
      <c r="R89" s="611">
        <f t="shared" si="5"/>
        <v>15171.428571428572</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1180</v>
      </c>
      <c r="N91" s="611">
        <f t="shared" si="7"/>
        <v>5310</v>
      </c>
      <c r="O91" s="611">
        <f t="shared" si="7"/>
        <v>0</v>
      </c>
      <c r="P91" s="611">
        <f t="shared" si="7"/>
        <v>0</v>
      </c>
      <c r="Q91" s="611">
        <f t="shared" si="7"/>
        <v>0</v>
      </c>
      <c r="R91" s="611">
        <f t="shared" si="7"/>
        <v>15171.428571428572</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21508.454775530139</v>
      </c>
      <c r="C4" s="478">
        <f>huishoudens!C8</f>
        <v>0</v>
      </c>
      <c r="D4" s="478">
        <f>huishoudens!D8</f>
        <v>26825.193392605946</v>
      </c>
      <c r="E4" s="478">
        <f>huishoudens!E8</f>
        <v>1961.7914027524878</v>
      </c>
      <c r="F4" s="478">
        <f>huishoudens!F8</f>
        <v>19124.547934713468</v>
      </c>
      <c r="G4" s="478">
        <f>huishoudens!G8</f>
        <v>0</v>
      </c>
      <c r="H4" s="478">
        <f>huishoudens!H8</f>
        <v>0</v>
      </c>
      <c r="I4" s="478">
        <f>huishoudens!I8</f>
        <v>0</v>
      </c>
      <c r="J4" s="478">
        <f>huishoudens!J8</f>
        <v>7706.6724241341808</v>
      </c>
      <c r="K4" s="478">
        <f>huishoudens!K8</f>
        <v>0</v>
      </c>
      <c r="L4" s="478">
        <f>huishoudens!L8</f>
        <v>0</v>
      </c>
      <c r="M4" s="478">
        <f>huishoudens!M8</f>
        <v>0</v>
      </c>
      <c r="N4" s="478">
        <f>huishoudens!N8</f>
        <v>6742.1596655865069</v>
      </c>
      <c r="O4" s="478">
        <f>huishoudens!O8</f>
        <v>164.15</v>
      </c>
      <c r="P4" s="479">
        <f>huishoudens!P8</f>
        <v>781.73333333333335</v>
      </c>
      <c r="Q4" s="480">
        <f>SUM(B4:P4)</f>
        <v>84814.702928656072</v>
      </c>
    </row>
    <row r="5" spans="1:17">
      <c r="A5" s="477" t="s">
        <v>156</v>
      </c>
      <c r="B5" s="478">
        <f ca="1">tertiair!B16</f>
        <v>12157.215190000001</v>
      </c>
      <c r="C5" s="478">
        <f ca="1">tertiair!C16</f>
        <v>0</v>
      </c>
      <c r="D5" s="478">
        <f ca="1">tertiair!D16</f>
        <v>5042.5196125379098</v>
      </c>
      <c r="E5" s="478">
        <f>tertiair!E16</f>
        <v>70.187533107429999</v>
      </c>
      <c r="F5" s="478">
        <f ca="1">tertiair!F16</f>
        <v>1111.543744972867</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3.1266666666666669</v>
      </c>
      <c r="P5" s="479">
        <f>tertiair!P16</f>
        <v>19.066666666666666</v>
      </c>
      <c r="Q5" s="477">
        <f t="shared" ref="Q5:Q14" ca="1" si="0">SUM(B5:P5)</f>
        <v>18403.65941395154</v>
      </c>
    </row>
    <row r="6" spans="1:17">
      <c r="A6" s="477" t="s">
        <v>194</v>
      </c>
      <c r="B6" s="478">
        <f>'openbare verlichting'!B8</f>
        <v>629.40700000000004</v>
      </c>
      <c r="C6" s="478"/>
      <c r="D6" s="478"/>
      <c r="E6" s="478"/>
      <c r="F6" s="478"/>
      <c r="G6" s="478"/>
      <c r="H6" s="478"/>
      <c r="I6" s="478"/>
      <c r="J6" s="478"/>
      <c r="K6" s="478"/>
      <c r="L6" s="478"/>
      <c r="M6" s="478"/>
      <c r="N6" s="478"/>
      <c r="O6" s="478"/>
      <c r="P6" s="479"/>
      <c r="Q6" s="477">
        <f t="shared" si="0"/>
        <v>629.40700000000004</v>
      </c>
    </row>
    <row r="7" spans="1:17">
      <c r="A7" s="477" t="s">
        <v>112</v>
      </c>
      <c r="B7" s="478">
        <f>landbouw!B8</f>
        <v>1107.5883000000001</v>
      </c>
      <c r="C7" s="478">
        <f>landbouw!C8</f>
        <v>0</v>
      </c>
      <c r="D7" s="478">
        <f>landbouw!D8</f>
        <v>77.811286649934459</v>
      </c>
      <c r="E7" s="478">
        <f>landbouw!E8</f>
        <v>10.258946735222681</v>
      </c>
      <c r="F7" s="478">
        <f>landbouw!F8</f>
        <v>2810.1625124546226</v>
      </c>
      <c r="G7" s="478">
        <f>landbouw!G8</f>
        <v>0</v>
      </c>
      <c r="H7" s="478">
        <f>landbouw!H8</f>
        <v>0</v>
      </c>
      <c r="I7" s="478">
        <f>landbouw!I8</f>
        <v>0</v>
      </c>
      <c r="J7" s="478">
        <f>landbouw!J8</f>
        <v>169.80564711150396</v>
      </c>
      <c r="K7" s="478">
        <f>landbouw!K8</f>
        <v>0</v>
      </c>
      <c r="L7" s="478">
        <f>landbouw!L8</f>
        <v>0</v>
      </c>
      <c r="M7" s="478">
        <f>landbouw!M8</f>
        <v>0</v>
      </c>
      <c r="N7" s="478">
        <f>landbouw!N8</f>
        <v>0</v>
      </c>
      <c r="O7" s="478">
        <f>landbouw!O8</f>
        <v>0</v>
      </c>
      <c r="P7" s="479">
        <f>landbouw!P8</f>
        <v>0</v>
      </c>
      <c r="Q7" s="477">
        <f t="shared" si="0"/>
        <v>4175.626692951284</v>
      </c>
    </row>
    <row r="8" spans="1:17">
      <c r="A8" s="477" t="s">
        <v>650</v>
      </c>
      <c r="B8" s="478">
        <f>industrie!B18</f>
        <v>22532.464829999997</v>
      </c>
      <c r="C8" s="478">
        <f>industrie!C18</f>
        <v>0</v>
      </c>
      <c r="D8" s="478">
        <f>industrie!D18</f>
        <v>73812.746675226706</v>
      </c>
      <c r="E8" s="478">
        <f>industrie!E18</f>
        <v>573.15422678160712</v>
      </c>
      <c r="F8" s="478">
        <f>industrie!F18</f>
        <v>34198.65269894847</v>
      </c>
      <c r="G8" s="478">
        <f>industrie!G18</f>
        <v>0</v>
      </c>
      <c r="H8" s="478">
        <f>industrie!H18</f>
        <v>0</v>
      </c>
      <c r="I8" s="478">
        <f>industrie!I18</f>
        <v>0</v>
      </c>
      <c r="J8" s="478">
        <f>industrie!J18</f>
        <v>433.21147502713859</v>
      </c>
      <c r="K8" s="478">
        <f>industrie!K18</f>
        <v>0</v>
      </c>
      <c r="L8" s="478">
        <f>industrie!L18</f>
        <v>0</v>
      </c>
      <c r="M8" s="478">
        <f>industrie!M18</f>
        <v>0</v>
      </c>
      <c r="N8" s="478">
        <f>industrie!N18</f>
        <v>10169.348339920909</v>
      </c>
      <c r="O8" s="478">
        <f>industrie!O18</f>
        <v>0</v>
      </c>
      <c r="P8" s="479">
        <f>industrie!P18</f>
        <v>0</v>
      </c>
      <c r="Q8" s="477">
        <f t="shared" si="0"/>
        <v>141719.57824590485</v>
      </c>
    </row>
    <row r="9" spans="1:17" s="483" customFormat="1">
      <c r="A9" s="481" t="s">
        <v>571</v>
      </c>
      <c r="B9" s="482">
        <f>transport!B14</f>
        <v>14.659218302087694</v>
      </c>
      <c r="C9" s="482">
        <f>transport!C14</f>
        <v>0</v>
      </c>
      <c r="D9" s="482">
        <f>transport!D14</f>
        <v>40.958440768259472</v>
      </c>
      <c r="E9" s="482">
        <f>transport!E14</f>
        <v>298.33835063025504</v>
      </c>
      <c r="F9" s="482">
        <f>transport!F14</f>
        <v>0</v>
      </c>
      <c r="G9" s="482">
        <f>transport!G14</f>
        <v>84791.591876520411</v>
      </c>
      <c r="H9" s="482">
        <f>transport!H14</f>
        <v>15837.768724036499</v>
      </c>
      <c r="I9" s="482">
        <f>transport!I14</f>
        <v>0</v>
      </c>
      <c r="J9" s="482">
        <f>transport!J14</f>
        <v>0</v>
      </c>
      <c r="K9" s="482">
        <f>transport!K14</f>
        <v>0</v>
      </c>
      <c r="L9" s="482">
        <f>transport!L14</f>
        <v>0</v>
      </c>
      <c r="M9" s="482">
        <f>transport!M14</f>
        <v>5392.3526680529312</v>
      </c>
      <c r="N9" s="482">
        <f>transport!N14</f>
        <v>0</v>
      </c>
      <c r="O9" s="482">
        <f>transport!O14</f>
        <v>0</v>
      </c>
      <c r="P9" s="482">
        <f>transport!P14</f>
        <v>0</v>
      </c>
      <c r="Q9" s="481">
        <f>SUM(B9:P9)</f>
        <v>106375.66927831045</v>
      </c>
    </row>
    <row r="10" spans="1:17">
      <c r="A10" s="477" t="s">
        <v>561</v>
      </c>
      <c r="B10" s="478">
        <f>transport!B54</f>
        <v>0</v>
      </c>
      <c r="C10" s="478">
        <f>transport!C54</f>
        <v>0</v>
      </c>
      <c r="D10" s="478">
        <f>transport!D54</f>
        <v>0</v>
      </c>
      <c r="E10" s="478">
        <f>transport!E54</f>
        <v>0</v>
      </c>
      <c r="F10" s="478">
        <f>transport!F54</f>
        <v>0</v>
      </c>
      <c r="G10" s="478">
        <f>transport!G54</f>
        <v>714.82689792454244</v>
      </c>
      <c r="H10" s="478">
        <f>transport!H54</f>
        <v>0</v>
      </c>
      <c r="I10" s="478">
        <f>transport!I54</f>
        <v>0</v>
      </c>
      <c r="J10" s="478">
        <f>transport!J54</f>
        <v>0</v>
      </c>
      <c r="K10" s="478">
        <f>transport!K54</f>
        <v>0</v>
      </c>
      <c r="L10" s="478">
        <f>transport!L54</f>
        <v>0</v>
      </c>
      <c r="M10" s="478">
        <f>transport!M54</f>
        <v>40.764494155661069</v>
      </c>
      <c r="N10" s="478">
        <f>transport!N54</f>
        <v>0</v>
      </c>
      <c r="O10" s="478">
        <f>transport!O54</f>
        <v>0</v>
      </c>
      <c r="P10" s="479">
        <f>transport!P54</f>
        <v>0</v>
      </c>
      <c r="Q10" s="477">
        <f t="shared" si="0"/>
        <v>755.59139208020349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745.24159999999995</v>
      </c>
      <c r="C14" s="485"/>
      <c r="D14" s="485">
        <f>'SEAP template'!E25</f>
        <v>549.97695679651702</v>
      </c>
      <c r="E14" s="485"/>
      <c r="F14" s="485"/>
      <c r="G14" s="485"/>
      <c r="H14" s="485"/>
      <c r="I14" s="485"/>
      <c r="J14" s="485"/>
      <c r="K14" s="485"/>
      <c r="L14" s="485"/>
      <c r="M14" s="485"/>
      <c r="N14" s="485"/>
      <c r="O14" s="485"/>
      <c r="P14" s="486"/>
      <c r="Q14" s="477">
        <f t="shared" si="0"/>
        <v>1295.2185567965171</v>
      </c>
    </row>
    <row r="15" spans="1:17" s="487" customFormat="1">
      <c r="A15" s="1051" t="s">
        <v>565</v>
      </c>
      <c r="B15" s="991">
        <f ca="1">SUM(B4:B14)</f>
        <v>58695.030913832234</v>
      </c>
      <c r="C15" s="991">
        <f t="shared" ref="C15:Q15" ca="1" si="1">SUM(C4:C14)</f>
        <v>0</v>
      </c>
      <c r="D15" s="991">
        <f t="shared" ca="1" si="1"/>
        <v>106349.20636458528</v>
      </c>
      <c r="E15" s="991">
        <f t="shared" si="1"/>
        <v>2913.7304600070029</v>
      </c>
      <c r="F15" s="991">
        <f t="shared" ca="1" si="1"/>
        <v>57244.906891089428</v>
      </c>
      <c r="G15" s="991">
        <f t="shared" si="1"/>
        <v>85506.418774444959</v>
      </c>
      <c r="H15" s="991">
        <f t="shared" si="1"/>
        <v>15837.768724036499</v>
      </c>
      <c r="I15" s="991">
        <f t="shared" si="1"/>
        <v>0</v>
      </c>
      <c r="J15" s="991">
        <f t="shared" si="1"/>
        <v>8309.6895462728244</v>
      </c>
      <c r="K15" s="991">
        <f t="shared" si="1"/>
        <v>0</v>
      </c>
      <c r="L15" s="991">
        <f t="shared" ca="1" si="1"/>
        <v>0</v>
      </c>
      <c r="M15" s="991">
        <f t="shared" si="1"/>
        <v>5433.1171622085922</v>
      </c>
      <c r="N15" s="991">
        <f t="shared" ca="1" si="1"/>
        <v>16911.508005507414</v>
      </c>
      <c r="O15" s="991">
        <f t="shared" si="1"/>
        <v>167.27666666666667</v>
      </c>
      <c r="P15" s="991">
        <f t="shared" si="1"/>
        <v>800.80000000000007</v>
      </c>
      <c r="Q15" s="991">
        <f t="shared" ca="1" si="1"/>
        <v>358169.45350865088</v>
      </c>
    </row>
    <row r="17" spans="1:17">
      <c r="A17" s="488" t="s">
        <v>566</v>
      </c>
      <c r="B17" s="787">
        <f ca="1">huishoudens!B10</f>
        <v>0.18801764661161274</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4043.9690491474803</v>
      </c>
      <c r="C22" s="478">
        <f t="shared" ref="C22:C32" ca="1" si="3">C4*$C$17</f>
        <v>0</v>
      </c>
      <c r="D22" s="478">
        <f t="shared" ref="D22:D32" si="4">D4*$D$17</f>
        <v>5418.689065306402</v>
      </c>
      <c r="E22" s="478">
        <f t="shared" ref="E22:E32" si="5">E4*$E$17</f>
        <v>445.32664842481472</v>
      </c>
      <c r="F22" s="478">
        <f t="shared" ref="F22:F32" si="6">F4*$F$17</f>
        <v>5106.2542985684959</v>
      </c>
      <c r="G22" s="478">
        <f t="shared" ref="G22:G32" si="7">G4*$G$17</f>
        <v>0</v>
      </c>
      <c r="H22" s="478">
        <f t="shared" ref="H22:H32" si="8">H4*$H$17</f>
        <v>0</v>
      </c>
      <c r="I22" s="478">
        <f t="shared" ref="I22:I32" si="9">I4*$I$17</f>
        <v>0</v>
      </c>
      <c r="J22" s="478">
        <f t="shared" ref="J22:J32" si="10">J4*$J$17</f>
        <v>2728.1620381435</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17742.401099590694</v>
      </c>
    </row>
    <row r="23" spans="1:17">
      <c r="A23" s="477" t="s">
        <v>156</v>
      </c>
      <c r="B23" s="478">
        <f t="shared" ca="1" si="2"/>
        <v>2285.7709893747506</v>
      </c>
      <c r="C23" s="478">
        <f t="shared" ca="1" si="3"/>
        <v>0</v>
      </c>
      <c r="D23" s="478">
        <f t="shared" ca="1" si="4"/>
        <v>1018.5889617326578</v>
      </c>
      <c r="E23" s="478">
        <f t="shared" si="5"/>
        <v>15.932570015386611</v>
      </c>
      <c r="F23" s="478">
        <f t="shared" ca="1" si="6"/>
        <v>296.78217990775551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3617.0747010305508</v>
      </c>
    </row>
    <row r="24" spans="1:17">
      <c r="A24" s="477" t="s">
        <v>194</v>
      </c>
      <c r="B24" s="478">
        <f t="shared" ca="1" si="2"/>
        <v>118.33962290087536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118.33962290087536</v>
      </c>
    </row>
    <row r="25" spans="1:17">
      <c r="A25" s="477" t="s">
        <v>112</v>
      </c>
      <c r="B25" s="478">
        <f t="shared" ca="1" si="2"/>
        <v>208.24614558055694</v>
      </c>
      <c r="C25" s="478">
        <f t="shared" ca="1" si="3"/>
        <v>0</v>
      </c>
      <c r="D25" s="478">
        <f t="shared" si="4"/>
        <v>15.717879903286761</v>
      </c>
      <c r="E25" s="478">
        <f t="shared" si="5"/>
        <v>2.3287809088955487</v>
      </c>
      <c r="F25" s="478">
        <f t="shared" si="6"/>
        <v>750.31339082538432</v>
      </c>
      <c r="G25" s="478">
        <f t="shared" si="7"/>
        <v>0</v>
      </c>
      <c r="H25" s="478">
        <f t="shared" si="8"/>
        <v>0</v>
      </c>
      <c r="I25" s="478">
        <f t="shared" si="9"/>
        <v>0</v>
      </c>
      <c r="J25" s="478">
        <f t="shared" si="10"/>
        <v>60.111199077472399</v>
      </c>
      <c r="K25" s="478">
        <f t="shared" si="11"/>
        <v>0</v>
      </c>
      <c r="L25" s="478">
        <f t="shared" si="12"/>
        <v>0</v>
      </c>
      <c r="M25" s="478">
        <f t="shared" si="13"/>
        <v>0</v>
      </c>
      <c r="N25" s="478">
        <f t="shared" si="14"/>
        <v>0</v>
      </c>
      <c r="O25" s="478">
        <f t="shared" si="15"/>
        <v>0</v>
      </c>
      <c r="P25" s="479">
        <f t="shared" si="16"/>
        <v>0</v>
      </c>
      <c r="Q25" s="477">
        <f t="shared" ca="1" si="17"/>
        <v>1036.7173962955958</v>
      </c>
    </row>
    <row r="26" spans="1:17">
      <c r="A26" s="477" t="s">
        <v>650</v>
      </c>
      <c r="B26" s="478">
        <f t="shared" ca="1" si="2"/>
        <v>4236.501009695532</v>
      </c>
      <c r="C26" s="478">
        <f t="shared" ca="1" si="3"/>
        <v>0</v>
      </c>
      <c r="D26" s="478">
        <f t="shared" si="4"/>
        <v>14910.174828395795</v>
      </c>
      <c r="E26" s="478">
        <f t="shared" si="5"/>
        <v>130.10600947942481</v>
      </c>
      <c r="F26" s="478">
        <f t="shared" si="6"/>
        <v>9131.0402706192417</v>
      </c>
      <c r="G26" s="478">
        <f t="shared" si="7"/>
        <v>0</v>
      </c>
      <c r="H26" s="478">
        <f t="shared" si="8"/>
        <v>0</v>
      </c>
      <c r="I26" s="478">
        <f t="shared" si="9"/>
        <v>0</v>
      </c>
      <c r="J26" s="478">
        <f t="shared" si="10"/>
        <v>153.35686215960706</v>
      </c>
      <c r="K26" s="478">
        <f t="shared" si="11"/>
        <v>0</v>
      </c>
      <c r="L26" s="478">
        <f t="shared" si="12"/>
        <v>0</v>
      </c>
      <c r="M26" s="478">
        <f t="shared" si="13"/>
        <v>0</v>
      </c>
      <c r="N26" s="478">
        <f t="shared" si="14"/>
        <v>0</v>
      </c>
      <c r="O26" s="478">
        <f t="shared" si="15"/>
        <v>0</v>
      </c>
      <c r="P26" s="479">
        <f t="shared" si="16"/>
        <v>0</v>
      </c>
      <c r="Q26" s="477">
        <f t="shared" ca="1" si="17"/>
        <v>28561.178980349599</v>
      </c>
    </row>
    <row r="27" spans="1:17" s="483" customFormat="1">
      <c r="A27" s="481" t="s">
        <v>571</v>
      </c>
      <c r="B27" s="781">
        <f t="shared" ca="1" si="2"/>
        <v>2.7561917263244098</v>
      </c>
      <c r="C27" s="482">
        <f t="shared" ca="1" si="3"/>
        <v>0</v>
      </c>
      <c r="D27" s="482">
        <f t="shared" si="4"/>
        <v>8.2736050351884138</v>
      </c>
      <c r="E27" s="482">
        <f t="shared" si="5"/>
        <v>67.722805593067889</v>
      </c>
      <c r="F27" s="482">
        <f t="shared" si="6"/>
        <v>0</v>
      </c>
      <c r="G27" s="482">
        <f t="shared" si="7"/>
        <v>22639.355031030951</v>
      </c>
      <c r="H27" s="482">
        <f t="shared" si="8"/>
        <v>3943.6044122850885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26661.712045670618</v>
      </c>
    </row>
    <row r="28" spans="1:17">
      <c r="A28" s="477" t="s">
        <v>561</v>
      </c>
      <c r="B28" s="478">
        <f t="shared" ca="1" si="2"/>
        <v>0</v>
      </c>
      <c r="C28" s="478">
        <f t="shared" ca="1" si="3"/>
        <v>0</v>
      </c>
      <c r="D28" s="478">
        <f t="shared" si="4"/>
        <v>0</v>
      </c>
      <c r="E28" s="478">
        <f t="shared" si="5"/>
        <v>0</v>
      </c>
      <c r="F28" s="478">
        <f t="shared" si="6"/>
        <v>0</v>
      </c>
      <c r="G28" s="478">
        <f t="shared" si="7"/>
        <v>190.85878174585284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190.85878174585284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140.11857178907286</v>
      </c>
      <c r="C32" s="478">
        <f t="shared" ca="1" si="3"/>
        <v>0</v>
      </c>
      <c r="D32" s="478">
        <f t="shared" si="4"/>
        <v>111.09534527289644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251.21391706196931</v>
      </c>
    </row>
    <row r="33" spans="1:17" s="487" customFormat="1">
      <c r="A33" s="1051" t="s">
        <v>565</v>
      </c>
      <c r="B33" s="991">
        <f ca="1">SUM(B22:B32)</f>
        <v>11035.701580214592</v>
      </c>
      <c r="C33" s="991">
        <f t="shared" ref="C33:Q33" ca="1" si="18">SUM(C22:C32)</f>
        <v>0</v>
      </c>
      <c r="D33" s="991">
        <f t="shared" ca="1" si="18"/>
        <v>21482.539685646228</v>
      </c>
      <c r="E33" s="991">
        <f t="shared" si="18"/>
        <v>661.41681442158949</v>
      </c>
      <c r="F33" s="991">
        <f t="shared" ca="1" si="18"/>
        <v>15284.390139920877</v>
      </c>
      <c r="G33" s="991">
        <f t="shared" si="18"/>
        <v>22830.213812776805</v>
      </c>
      <c r="H33" s="991">
        <f t="shared" si="18"/>
        <v>3943.6044122850885</v>
      </c>
      <c r="I33" s="991">
        <f t="shared" si="18"/>
        <v>0</v>
      </c>
      <c r="J33" s="991">
        <f t="shared" si="18"/>
        <v>2941.6300993805794</v>
      </c>
      <c r="K33" s="991">
        <f t="shared" si="18"/>
        <v>0</v>
      </c>
      <c r="L33" s="991">
        <f t="shared" ca="1" si="18"/>
        <v>0</v>
      </c>
      <c r="M33" s="991">
        <f t="shared" si="18"/>
        <v>0</v>
      </c>
      <c r="N33" s="991">
        <f t="shared" ca="1" si="18"/>
        <v>0</v>
      </c>
      <c r="O33" s="991">
        <f t="shared" si="18"/>
        <v>0</v>
      </c>
      <c r="P33" s="991">
        <f t="shared" si="18"/>
        <v>0</v>
      </c>
      <c r="Q33" s="991">
        <f t="shared" ca="1" si="18"/>
        <v>78179.49654464575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3449.7296458928995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5310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15171.428571428572</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8759.7296458928995</v>
      </c>
      <c r="C10" s="1072">
        <f>SUM(C4:C9)</f>
        <v>0</v>
      </c>
      <c r="D10" s="1072">
        <f t="shared" ref="D10:H10" si="0">SUM(D8:D9)</f>
        <v>0</v>
      </c>
      <c r="E10" s="1072">
        <f t="shared" si="0"/>
        <v>0</v>
      </c>
      <c r="F10" s="1072">
        <f t="shared" si="0"/>
        <v>0</v>
      </c>
      <c r="G10" s="1072">
        <f t="shared" si="0"/>
        <v>0</v>
      </c>
      <c r="H10" s="1072">
        <f t="shared" si="0"/>
        <v>0</v>
      </c>
      <c r="I10" s="1072">
        <f>SUM(I8:I9)</f>
        <v>0</v>
      </c>
      <c r="J10" s="1072">
        <f>SUM(J8:J9)</f>
        <v>15171.428571428572</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0.18801764661161274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0.18801764661161274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2019-08-12T08:09:19Z</dcterms:modified>
</cp:coreProperties>
</file>