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N77" i="14" s="1"/>
  <c r="I9" i="18"/>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P28"/>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G77" i="14"/>
  <c r="G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L24"/>
  <c r="L26" s="1"/>
  <c r="J24"/>
  <c r="I24"/>
  <c r="H24"/>
  <c r="Q50"/>
  <c r="P50"/>
  <c r="P52" s="1"/>
  <c r="O50"/>
  <c r="M50"/>
  <c r="L50"/>
  <c r="K50"/>
  <c r="J50"/>
  <c r="G50"/>
  <c r="D50"/>
  <c r="Q49"/>
  <c r="P49"/>
  <c r="Q20"/>
  <c r="P20"/>
  <c r="O20"/>
  <c r="M20"/>
  <c r="L20"/>
  <c r="K20"/>
  <c r="J20"/>
  <c r="G20"/>
  <c r="D20"/>
  <c r="Q19"/>
  <c r="P19"/>
  <c r="O19"/>
  <c r="M19"/>
  <c r="L19"/>
  <c r="K19"/>
  <c r="J19"/>
  <c r="I19"/>
  <c r="G19"/>
  <c r="F19"/>
  <c r="E19"/>
  <c r="D19"/>
  <c r="Q48"/>
  <c r="P48"/>
  <c r="O48"/>
  <c r="M48"/>
  <c r="L48"/>
  <c r="K48"/>
  <c r="J48"/>
  <c r="G48"/>
  <c r="D48"/>
  <c r="Q18"/>
  <c r="P18"/>
  <c r="O18"/>
  <c r="O22" s="1"/>
  <c r="M18"/>
  <c r="M22" s="1"/>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N26" i="14"/>
  <c r="J26"/>
  <c r="I26"/>
  <c r="H26"/>
  <c r="J22"/>
  <c r="G22"/>
  <c r="R12"/>
  <c r="N78" l="1"/>
  <c r="N9" i="59"/>
  <c r="N10" s="1"/>
  <c r="L90" i="14"/>
  <c r="L18" i="59"/>
  <c r="L20" s="1"/>
  <c r="Q14" i="48"/>
  <c r="K20" i="59"/>
  <c r="P22" i="14"/>
  <c r="D14" i="48"/>
  <c r="K10" i="18"/>
  <c r="I77" i="14"/>
  <c r="I9" i="59" s="1"/>
  <c r="O10"/>
  <c r="H20"/>
  <c r="B98" i="18"/>
  <c r="B102" s="1"/>
  <c r="C17" s="1"/>
  <c r="H90" i="14"/>
  <c r="H18" i="59"/>
  <c r="G20"/>
  <c r="L78" i="14"/>
  <c r="K78"/>
  <c r="B20" i="18"/>
  <c r="M77" i="14"/>
  <c r="M9" i="59" s="1"/>
  <c r="H9" i="18"/>
  <c r="O9" s="1"/>
  <c r="Q22" i="14"/>
  <c r="G10" i="59"/>
  <c r="L10"/>
  <c r="D22" i="14"/>
  <c r="L22"/>
  <c r="E10" i="59"/>
  <c r="B8" i="18"/>
  <c r="B10" s="1"/>
  <c r="F13" i="15"/>
  <c r="B13"/>
  <c r="N13"/>
  <c r="L13"/>
  <c r="F77" i="14"/>
  <c r="F9" i="59" s="1"/>
  <c r="I101" i="18"/>
  <c r="H8" s="1"/>
  <c r="E101"/>
  <c r="E8" s="1"/>
  <c r="F101"/>
  <c r="H101"/>
  <c r="D101"/>
  <c r="G101"/>
  <c r="C101"/>
  <c r="B101"/>
  <c r="C8" s="1"/>
  <c r="I102"/>
  <c r="H17" s="1"/>
  <c r="E102"/>
  <c r="E17" s="1"/>
  <c r="C102"/>
  <c r="F102"/>
  <c r="H102"/>
  <c r="C89" i="14"/>
  <c r="C19" i="59" s="1"/>
  <c r="O19" i="18"/>
  <c r="O78" i="14"/>
  <c r="N88"/>
  <c r="D10" i="18"/>
  <c r="E78" i="14"/>
  <c r="D77"/>
  <c r="D9" i="59" s="1"/>
  <c r="H77" i="14"/>
  <c r="G90"/>
  <c r="O88"/>
  <c r="G89"/>
  <c r="G19" i="59" s="1"/>
  <c r="G20" i="18"/>
  <c r="O18"/>
  <c r="G78" i="14"/>
  <c r="O25" i="48"/>
  <c r="O27"/>
  <c r="Q11"/>
  <c r="O29"/>
  <c r="P31"/>
  <c r="O28"/>
  <c r="Q12"/>
  <c r="O24"/>
  <c r="O30"/>
  <c r="P24"/>
  <c r="P30"/>
  <c r="E90" i="14"/>
  <c r="R9"/>
  <c r="R25"/>
  <c r="K90"/>
  <c r="O90" l="1"/>
  <c r="O18" i="59"/>
  <c r="O20" s="1"/>
  <c r="N90" i="14"/>
  <c r="N18" i="59"/>
  <c r="N20" s="1"/>
  <c r="H78" i="14"/>
  <c r="H9" i="59"/>
  <c r="H10" s="1"/>
  <c r="Q77" i="14"/>
  <c r="P9" i="59" s="1"/>
  <c r="B89" i="14"/>
  <c r="B19" i="59" s="1"/>
  <c r="J17" i="18"/>
  <c r="J20" s="1"/>
  <c r="I8"/>
  <c r="I76" i="14" s="1"/>
  <c r="I8" i="59" s="1"/>
  <c r="I10" s="1"/>
  <c r="D102" i="18"/>
  <c r="D10" i="59"/>
  <c r="G102" i="18"/>
  <c r="Q89" i="14"/>
  <c r="P19" i="59" s="1"/>
  <c r="C77" i="14"/>
  <c r="C9" i="59" s="1"/>
  <c r="J87" i="14"/>
  <c r="H20" i="18"/>
  <c r="M87" i="14"/>
  <c r="F76"/>
  <c r="E10" i="18"/>
  <c r="C20"/>
  <c r="O17"/>
  <c r="O20" s="1"/>
  <c r="D87" i="14"/>
  <c r="D17" i="59" s="1"/>
  <c r="D20" s="1"/>
  <c r="H10" i="18"/>
  <c r="M76" i="14"/>
  <c r="B88"/>
  <c r="B18" i="59" s="1"/>
  <c r="I17" i="18"/>
  <c r="D76" i="14"/>
  <c r="D8" i="59" s="1"/>
  <c r="C10" i="18"/>
  <c r="J8"/>
  <c r="O8" s="1"/>
  <c r="O10" s="1"/>
  <c r="C88" i="14"/>
  <c r="C18" i="59" s="1"/>
  <c r="I10" i="18"/>
  <c r="B77" i="14"/>
  <c r="B9" i="59" s="1"/>
  <c r="E20" i="18"/>
  <c r="F87" i="14"/>
  <c r="Q88"/>
  <c r="P18" i="59" s="1"/>
  <c r="H14" i="15"/>
  <c r="H16" s="1"/>
  <c r="G14"/>
  <c r="G16" s="1"/>
  <c r="J90" i="14" l="1"/>
  <c r="J17" i="59"/>
  <c r="J20" s="1"/>
  <c r="M78" i="14"/>
  <c r="M8" i="59"/>
  <c r="M1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C90" i="14" l="1"/>
  <c r="C17" i="59"/>
  <c r="C20" s="1"/>
  <c r="B78" i="14"/>
  <c r="B8" i="59"/>
  <c r="B10" s="1"/>
  <c r="J78" i="14"/>
  <c r="J8" i="59"/>
  <c r="J1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31"/>
  <c r="J28"/>
  <c r="Q11" i="14"/>
  <c r="P4" i="48"/>
  <c r="P11" i="14"/>
  <c r="O4" i="48"/>
  <c r="I32"/>
  <c r="I22"/>
  <c r="I28"/>
  <c r="I31"/>
  <c r="I27"/>
  <c r="I26"/>
  <c r="I30"/>
  <c r="I29"/>
  <c r="I24"/>
  <c r="I25"/>
  <c r="E11" i="14"/>
  <c r="D4" i="48"/>
  <c r="D22" s="1"/>
  <c r="H32"/>
  <c r="H29"/>
  <c r="H28"/>
  <c r="H26"/>
  <c r="H30"/>
  <c r="H24"/>
  <c r="H25"/>
  <c r="H22"/>
  <c r="H23"/>
  <c r="C4"/>
  <c r="D11" i="14"/>
  <c r="G26" i="48"/>
  <c r="G25"/>
  <c r="G32"/>
  <c r="G22"/>
  <c r="G30"/>
  <c r="G24"/>
  <c r="G29"/>
  <c r="G23"/>
  <c r="B4"/>
  <c r="C11" i="14"/>
  <c r="F24" i="48"/>
  <c r="F32"/>
  <c r="F29"/>
  <c r="F30"/>
  <c r="F27"/>
  <c r="F31"/>
  <c r="F28"/>
  <c r="N30"/>
  <c r="N27"/>
  <c r="N24"/>
  <c r="N32"/>
  <c r="N29"/>
  <c r="N31"/>
  <c r="N28"/>
  <c r="C19" i="14"/>
  <c r="B10" i="48"/>
  <c r="E32"/>
  <c r="E31"/>
  <c r="E30"/>
  <c r="E28"/>
  <c r="E29"/>
  <c r="E24"/>
  <c r="M26"/>
  <c r="M25"/>
  <c r="M22"/>
  <c r="M32"/>
  <c r="M30"/>
  <c r="M29"/>
  <c r="M24"/>
  <c r="M23"/>
  <c r="K5"/>
  <c r="L10" i="14"/>
  <c r="L16" s="1"/>
  <c r="L27" s="1"/>
  <c r="D29" i="48"/>
  <c r="D30"/>
  <c r="D28"/>
  <c r="D24"/>
  <c r="D31"/>
  <c r="D32"/>
  <c r="L32"/>
  <c r="L29"/>
  <c r="L28"/>
  <c r="L27"/>
  <c r="L24"/>
  <c r="L31"/>
  <c r="L22"/>
  <c r="L30"/>
  <c r="Q10" i="14"/>
  <c r="P5" i="48"/>
  <c r="P23" s="1"/>
  <c r="K28"/>
  <c r="K32"/>
  <c r="K22"/>
  <c r="K26"/>
  <c r="K27"/>
  <c r="K30"/>
  <c r="K25"/>
  <c r="K31"/>
  <c r="K24"/>
  <c r="K29"/>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K15"/>
  <c r="K23"/>
  <c r="J10" i="14"/>
  <c r="J16" s="1"/>
  <c r="J27" s="1"/>
  <c r="I5" i="48"/>
  <c r="F20" i="14"/>
  <c r="F22" s="1"/>
  <c r="E9" i="48"/>
  <c r="E27" s="1"/>
  <c r="E20" i="14"/>
  <c r="E22" s="1"/>
  <c r="D9" i="48"/>
  <c r="D27" s="1"/>
  <c r="P10" i="14"/>
  <c r="O5" i="48"/>
  <c r="O23" s="1"/>
  <c r="K24" i="14"/>
  <c r="K26" s="1"/>
  <c r="J7" i="48"/>
  <c r="J25" s="1"/>
  <c r="C20" i="14"/>
  <c r="B9" i="48"/>
  <c r="G11" i="14"/>
  <c r="F4" i="48"/>
  <c r="F22" s="1"/>
  <c r="P22"/>
  <c r="Q16" i="14"/>
  <c r="Q27" s="1"/>
  <c r="J63"/>
  <c r="D10"/>
  <c r="J12" i="17"/>
  <c r="K54" i="14" s="1"/>
  <c r="K56" s="1"/>
  <c r="L46"/>
  <c r="L61" s="1"/>
  <c r="L63" s="1"/>
  <c r="K33" i="48"/>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H20" i="14"/>
  <c r="H22" s="1"/>
  <c r="H27" s="1"/>
  <c r="G9" i="48"/>
  <c r="I23"/>
  <c r="I33" s="1"/>
  <c r="I15"/>
  <c r="N19" i="14"/>
  <c r="M10" i="48"/>
  <c r="M28" s="1"/>
  <c r="O22" i="16"/>
  <c r="P43" i="14" s="1"/>
  <c r="P13"/>
  <c r="P16" s="1"/>
  <c r="P27" s="1"/>
  <c r="P63" s="1"/>
  <c r="O8" i="48"/>
  <c r="G10"/>
  <c r="H19" i="14"/>
  <c r="R19" s="1"/>
  <c r="Q13" i="48"/>
  <c r="G31"/>
  <c r="E12" i="13"/>
  <c r="F41" i="14" s="1"/>
  <c r="E4" i="48"/>
  <c r="F11" i="14"/>
  <c r="R11" s="1"/>
  <c r="K11"/>
  <c r="J4" i="48"/>
  <c r="E7"/>
  <c r="E25" s="1"/>
  <c r="F24" i="14"/>
  <c r="F26" s="1"/>
  <c r="N20"/>
  <c r="M9" i="48"/>
  <c r="N22" i="14"/>
  <c r="N27" s="1"/>
  <c r="P46"/>
  <c r="P61" s="1"/>
  <c r="R18"/>
  <c r="Q63"/>
  <c r="P15" i="48"/>
  <c r="P33"/>
  <c r="C22"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K10" l="1"/>
  <c r="J5" i="48"/>
  <c r="J23" s="1"/>
  <c r="F10" i="14"/>
  <c r="E5" i="48"/>
  <c r="E23" s="1"/>
  <c r="O26"/>
  <c r="O33" s="1"/>
  <c r="O15"/>
  <c r="H9"/>
  <c r="I20" i="14"/>
  <c r="I22" s="1"/>
  <c r="I27" s="1"/>
  <c r="J22" i="48"/>
  <c r="G28"/>
  <c r="Q10"/>
  <c r="G27"/>
  <c r="G15"/>
  <c r="M27"/>
  <c r="M33" s="1"/>
  <c r="M15"/>
  <c r="E22"/>
  <c r="Q4"/>
  <c r="H63" i="14"/>
  <c r="R22"/>
  <c r="R20"/>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K46" s="1"/>
  <c r="K61" s="1"/>
  <c r="K63" s="1"/>
  <c r="J8" i="48"/>
  <c r="J26" s="1"/>
  <c r="K13" i="14"/>
  <c r="F13"/>
  <c r="E8" i="48"/>
  <c r="E26" s="1"/>
  <c r="H27"/>
  <c r="H33" s="1"/>
  <c r="H15"/>
  <c r="Q9"/>
  <c r="E33"/>
  <c r="J33"/>
  <c r="F46" i="14"/>
  <c r="F61" s="1"/>
  <c r="F63" s="1"/>
  <c r="F16"/>
  <c r="F27" s="1"/>
  <c r="G33" i="48"/>
  <c r="I63" i="14"/>
  <c r="J15" i="48"/>
  <c r="K16" i="14"/>
  <c r="K27" s="1"/>
  <c r="O13"/>
  <c r="N8" i="48"/>
  <c r="N26" s="1"/>
  <c r="F8"/>
  <c r="G13" i="14"/>
  <c r="R13" l="1"/>
  <c r="E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<sst xmlns="http://schemas.openxmlformats.org/spreadsheetml/2006/main" count="2419" uniqueCount="907">
  <si>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</si>
  <si>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</si>
  <si>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</si>
  <si>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</si>
  <si>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</si>
  <si>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</si>
  <si>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</si>
  <si>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</si>
  <si>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</si>
  <si>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</si>
  <si>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</si>
  <si>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</si>
  <si>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</si>
  <si>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</si>
  <si>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</si>
  <si>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</si>
  <si>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</si>
  <si>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</si>
  <si>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</si>
  <si>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</si>
  <si>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</si>
  <si>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</si>
  <si>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</si>
  <si>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</si>
  <si>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</si>
  <si>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</si>
  <si>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</si>
  <si>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</si>
  <si>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</si>
  <si>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</si>
  <si>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</si>
  <si>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</si>
  <si>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</si>
  <si>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</si>
  <si>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</si>
  <si>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</si>
  <si>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</si>
  <si>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</si>
  <si>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</si>
  <si>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</si>
  <si>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</si>
  <si>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</si>
  <si>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</si>
  <si>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</si>
  <si>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</si>
  <si>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</si>
  <si>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</si>
  <si>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</si>
  <si>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</si>
  <si>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</si>
  <si>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</si>
  <si>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</si>
  <si>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</si>
  <si>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</si>
  <si>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</si>
  <si>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</si>
  <si>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</si>
  <si>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</si>
  <si>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</si>
  <si>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</si>
  <si>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</si>
  <si>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</si>
  <si>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</si>
  <si>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</si>
  <si>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</si>
  <si>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</si>
  <si>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</si>
  <si>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</si>
  <si>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</si>
  <si>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</si>
  <si>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</si>
  <si>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</si>
  <si>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</si>
  <si>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</si>
  <si>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</si>
  <si>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</si>
  <si>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</si>
  <si>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</si>
  <si>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</si>
  <si>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</si>
  <si>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</si>
  <si>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</si>
  <si>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</si>
  <si>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</si>
  <si>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</si>
  <si>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</si>
  <si>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</si>
  <si>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</si>
  <si>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</si>
  <si>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</si>
  <si>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</si>
  <si>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</si>
  <si>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</si>
  <si>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</si>
  <si>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</si>
  <si>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</si>
  <si>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</si>
  <si>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</si>
  <si>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</si>
  <si>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</si>
  <si>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</si>
  <si>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</si>
  <si>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</si>
  <si>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</si>
  <si>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</si>
  <si>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</si>
  <si>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</si>
  <si>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</si>
  <si>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</si>
  <si>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</si>
  <si>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</si>
  <si>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</si>
  <si>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</si>
  <si>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</si>
  <si>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</si>
  <si>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</si>
  <si>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</si>
  <si>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</si>
  <si>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</si>
  <si>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</si>
  <si>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</si>
  <si>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</si>
  <si>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</si>
  <si>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</si>
  <si>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</si>
  <si>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</si>
  <si>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</si>
  <si>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</si>
  <si>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</si>
  <si>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</si>
  <si>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</si>
  <si>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</si>
  <si>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</si>
  <si>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</si>
  <si>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</si>
  <si>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</si>
  <si>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</si>
  <si>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</si>
  <si>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</si>
  <si>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</si>
  <si>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</si>
  <si>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</si>
  <si>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</si>
  <si>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</si>
  <si>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</si>
  <si>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</si>
  <si>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</si>
  <si>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</si>
  <si>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</si>
  <si>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</si>
  <si>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</si>
  <si>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</si>
  <si>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</si>
  <si>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</si>
  <si>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</si>
  <si>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</si>
  <si>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</si>
  <si>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</si>
  <si>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</si>
  <si>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</si>
  <si>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</si>
  <si>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</si>
  <si>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</si>
  <si>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</si>
  <si>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</si>
  <si>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</si>
  <si>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</si>
  <si>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</si>
  <si>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</si>
  <si>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</si>
  <si>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</si>
  <si>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</si>
  <si>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</si>
  <si>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</si>
  <si>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</si>
  <si>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</si>
  <si>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</si>
  <si>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</si>
  <si>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</si>
  <si>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</si>
  <si>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</si>
  <si>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</si>
  <si>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</si>
  <si>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</si>
  <si>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</si>
  <si>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</si>
  <si>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</si>
  <si>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</si>
  <si>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</si>
  <si>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</si>
  <si>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</si>
  <si>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</si>
  <si>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</si>
  <si>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</si>
  <si>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</si>
  <si>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</si>
  <si>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</si>
  <si>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</si>
  <si>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</si>
  <si>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</si>
  <si>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</si>
  <si>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</si>
  <si>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</si>
  <si>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</si>
  <si>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</si>
  <si>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</si>
  <si>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</si>
  <si>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</si>
  <si>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</si>
  <si>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</si>
  <si>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</si>
  <si>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</si>
  <si>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</si>
  <si>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</si>
  <si>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</si>
  <si>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</si>
  <si>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</si>
  <si>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</si>
  <si>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</si>
  <si>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</si>
  <si>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</si>
  <si>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</si>
  <si>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</si>
  <si>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</si>
  <si>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</si>
  <si>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</si>
  <si>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</si>
  <si>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</si>
  <si>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</si>
  <si>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</si>
  <si>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</si>
  <si>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</si>
  <si>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</si>
  <si>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</si>
  <si>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</si>
  <si>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</si>
  <si>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</si>
  <si>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</si>
  <si>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</si>
  <si>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</si>
  <si>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</si>
  <si>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</si>
  <si>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</si>
  <si>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</si>
  <si>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</si>
  <si>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</si>
  <si>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</si>
  <si>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</si>
  <si>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</si>
  <si>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</si>
  <si>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</si>
  <si>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</si>
  <si>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</si>
  <si>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</si>
  <si>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</si>
  <si>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</si>
  <si>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</si>
  <si>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</si>
  <si>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</si>
  <si>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</si>
  <si>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</si>
  <si>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</si>
  <si>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</si>
  <si>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</si>
  <si>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</si>
  <si>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</si>
  <si>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</si>
  <si>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</si>
  <si>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</si>
  <si>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</si>
  <si>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</si>
  <si>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</si>
  <si>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</si>
  <si>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</si>
  <si>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</si>
  <si>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</si>
  <si>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</si>
  <si>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</si>
  <si>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</si>
  <si>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</si>
  <si>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</si>
  <si>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</si>
  <si>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</si>
  <si>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</si>
  <si>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</si>
  <si>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</si>
  <si>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</si>
  <si>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</si>
  <si>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</si>
  <si>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</si>
  <si>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</si>
  <si>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</si>
  <si>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</si>
  <si>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</si>
  <si>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</si>
  <si>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</si>
  <si>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</si>
  <si>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</si>
  <si>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</si>
  <si>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</si>
  <si>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</si>
  <si>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</si>
  <si>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</si>
  <si>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</si>
  <si>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</si>
  <si>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</si>
  <si>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</si>
  <si>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</si>
  <si>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</si>
  <si>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</si>
  <si>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</si>
  <si>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</si>
  <si>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</si>
  <si>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</si>
  <si>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</si>
  <si>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</si>
  <si>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</si>
  <si>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</si>
  <si>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</si>
  <si>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</si>
  <si>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</si>
  <si>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</si>
  <si>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</si>
  <si>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</si>
  <si>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</si>
  <si>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</si>
  <si>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</si>
  <si>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</si>
  <si>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</si>
  <si>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</si>
  <si>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</si>
  <si>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</si>
  <si>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</si>
  <si>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</si>
  <si>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</si>
  <si>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</si>
  <si>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</si>
  <si>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</si>
  <si>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</si>
  <si>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</si>
  <si>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</si>
  <si>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</si>
  <si>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</si>
  <si>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</si>
  <si>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</si>
  <si>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</si>
  <si>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</si>
  <si>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</si>
  <si>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</si>
  <si>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</si>
  <si>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</si>
  <si>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</si>
  <si>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</si>
  <si>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</si>
  <si>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</si>
  <si>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</si>
  <si>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</si>
  <si>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</si>
  <si>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</si>
  <si>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</si>
  <si>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</si>
  <si>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</si>
  <si>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</si>
  <si>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</si>
  <si>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</si>
  <si>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</si>
  <si>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</si>
  <si>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</si>
  <si>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</si>
  <si>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</si>
  <si>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</si>
  <si>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</si>
  <si>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</si>
  <si>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</si>
  <si>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</si>
  <si>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</si>
  <si>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</si>
  <si>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</si>
  <si>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</si>
  <si>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</si>
  <si>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</si>
  <si>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</si>
  <si>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</si>
  <si>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</si>
  <si>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</si>
  <si>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</si>
  <si>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</si>
  <si>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</si>
  <si>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</si>
  <si>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</si>
  <si>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</si>
  <si>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</si>
  <si>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</si>
  <si>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</si>
  <si>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</si>
  <si>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</si>
  <si>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</si>
  <si>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</si>
  <si>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</si>
  <si>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</si>
  <si>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</si>
  <si>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</si>
  <si>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</si>
  <si>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</si>
  <si>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</si>
  <si>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</si>
  <si>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</si>
  <si>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</si>
  <si>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</si>
  <si>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</si>
  <si>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</si>
  <si>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</si>
  <si>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</si>
  <si>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</si>
  <si>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</si>
  <si>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</si>
  <si>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</si>
  <si>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</si>
  <si>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</si>
  <si>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</si>
  <si>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</si>
  <si>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</si>
  <si>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</si>
  <si>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</si>
  <si>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</si>
  <si>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</si>
  <si>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</si>
  <si>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</si>
  <si>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</si>
  <si>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</si>
  <si>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</si>
  <si>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</si>
  <si>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</si>
  <si>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</si>
  <si>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</si>
  <si>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</si>
  <si>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</si>
  <si>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</si>
  <si>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</si>
  <si>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</si>
  <si>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</si>
  <si>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</si>
  <si>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</si>
  <si>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</si>
  <si>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</si>
  <si>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</si>
  <si>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</si>
  <si>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</si>
  <si>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</si>
  <si>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</si>
  <si>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</si>
  <si>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</si>
  <si>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</si>
  <si>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</si>
  <si>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</si>
  <si>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</si>
  <si>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</si>
  <si>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</si>
  <si>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</si>
  <si>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</si>
  <si>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</si>
  <si>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</si>
  <si>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</si>
  <si>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</si>
  <si>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</si>
  <si>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</si>
  <si>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</si>
  <si>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</si>
  <si>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</si>
  <si>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</si>
  <si>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</si>
  <si>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</si>
  <si>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</si>
  <si>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</si>
  <si>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</si>
  <si>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</si>
  <si>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</si>
  <si>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</si>
  <si>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</si>
  <si>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</si>
  <si>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</si>
  <si>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</si>
  <si>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</si>
  <si>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</si>
  <si>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</si>
  <si>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</si>
  <si>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</si>
  <si>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</si>
  <si>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</si>
  <si>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</si>
  <si>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</si>
  <si>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</si>
  <si>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</si>
  <si>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</si>
  <si>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</si>
  <si>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</si>
  <si>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</si>
  <si>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</si>
  <si>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</si>
  <si>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</si>
  <si>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</si>
  <si>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</si>
  <si>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</si>
  <si>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</si>
  <si>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</si>
  <si>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</si>
  <si>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</si>
  <si>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</si>
  <si>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</si>
  <si>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</si>
  <si>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</si>
  <si>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</si>
  <si>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</si>
  <si>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</si>
  <si>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</si>
  <si>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</si>
  <si>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</si>
  <si>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</si>
  <si>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</si>
  <si>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</si>
  <si>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</si>
  <si>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</si>
  <si>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</si>
  <si>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</si>
  <si>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</si>
  <si>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</si>
  <si>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</si>
  <si>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</si>
  <si>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</si>
  <si>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</si>
  <si>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</si>
  <si>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</si>
  <si>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</si>
  <si>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</si>
  <si>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</si>
  <si>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</si>
  <si>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</si>
  <si>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</si>
  <si>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</si>
  <si>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</si>
  <si>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</si>
  <si>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</si>
  <si>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</si>
  <si>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</si>
  <si>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</si>
  <si>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</si>
  <si>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</si>
  <si>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</si>
  <si>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</si>
  <si>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</si>
  <si>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</si>
  <si>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</si>
  <si>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</si>
  <si>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</si>
  <si>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</si>
  <si>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</si>
  <si>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</si>
  <si>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</si>
  <si>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</si>
  <si>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</si>
  <si>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</si>
  <si>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</si>
  <si>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</si>
  <si>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</si>
  <si>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</si>
  <si>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</si>
  <si>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</si>
  <si>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</si>
  <si>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</si>
  <si>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</si>
  <si>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</si>
  <si>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</si>
  <si>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</si>
  <si>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</si>
  <si>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</si>
  <si>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</si>
  <si>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</si>
  <si>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</si>
  <si>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</si>
  <si>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</si>
  <si>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</si>
  <si>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</si>
  <si>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</si>
  <si>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</si>
  <si>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</si>
  <si>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</si>
  <si>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</si>
  <si>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</si>
  <si>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</si>
  <si>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</si>
  <si>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</si>
  <si>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</si>
  <si>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</si>
  <si>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</si>
  <si>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</si>
  <si>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</si>
  <si>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</si>
  <si>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</si>
  <si>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</si>
  <si>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</si>
  <si>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</si>
  <si>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</si>
  <si>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</si>
  <si>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</si>
  <si>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</si>
  <si>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</si>
  <si>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</si>
  <si>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</si>
  <si>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</si>
  <si>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</si>
  <si>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</si>
  <si>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</si>
  <si>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</si>
  <si>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</si>
  <si>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</si>
  <si>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</si>
  <si>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</si>
  <si>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</si>
  <si>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</si>
  <si>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</si>
  <si>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</si>
  <si>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</si>
  <si>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</si>
  <si>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</si>
  <si>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</si>
  <si>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</si>
  <si>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</si>
  <si>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</si>
  <si>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</si>
  <si>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</si>
  <si>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</si>
  <si>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</si>
  <si>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</si>
  <si>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</si>
  <si>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</si>
  <si>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</si>
  <si>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</si>
  <si>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</si>
  <si>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</si>
  <si>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</si>
  <si>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</si>
  <si>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</si>
  <si>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</si>
  <si>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</si>
  <si>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</si>
  <si>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</si>
  <si>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</si>
  <si>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</si>
  <si>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</si>
  <si>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</si>
  <si>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</si>
  <si>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</si>
  <si>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</si>
  <si>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</si>
  <si>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</si>
  <si>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</si>
  <si>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</si>
  <si>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</si>
  <si>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</si>
  <si>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</si>
  <si>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</si>
  <si>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</si>
  <si>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</si>
  <si>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</si>
  <si>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</si>
  <si>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</si>
  <si>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</si>
  <si>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</si>
  <si>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</si>
  <si>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</si>
  <si>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</si>
  <si>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</si>
  <si>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</si>
  <si>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</si>
  <si>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</si>
  <si>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</si>
  <si>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</si>
  <si>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</si>
  <si>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</si>
  <si>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</si>
  <si>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</si>
  <si>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</si>
  <si>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</si>
  <si>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</si>
  <si>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</si>
  <si>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</si>
  <si>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</si>
  <si>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</si>
  <si>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</si>
  <si>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</si>
  <si>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</si>
  <si>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</si>
  <si>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</si>
  <si>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</si>
  <si>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</si>
  <si>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</si>
  <si>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</si>
  <si>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</si>
  <si>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</si>
  <si>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</si>
  <si>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</si>
  <si>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</si>
  <si>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</si>
  <si>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</si>
  <si>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</si>
  <si>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</si>
  <si>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</si>
  <si>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</si>
  <si>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</si>
  <si>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</si>
  <si>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</si>
  <si>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</si>
  <si>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</si>
  <si>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</si>
  <si>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</si>
  <si>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</si>
  <si>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</si>
  <si>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</si>
  <si>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</si>
  <si>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</si>
  <si>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</si>
  <si>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</si>
  <si>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</si>
  <si>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</si>
  <si>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</si>
  <si>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</si>
  <si>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</si>
  <si>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</si>
  <si>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</si>
  <si>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</si>
  <si>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</si>
  <si>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</si>
  <si>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</si>
  <si>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</si>
  <si>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</si>
  <si>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</si>
  <si>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</si>
  <si>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</si>
  <si>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</si>
  <si>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</si>
  <si>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</si>
  <si>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</si>
  <si>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</si>
  <si>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</si>
  <si>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</si>
  <si>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</si>
  <si>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</si>
  <si>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</si>
  <si>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</si>
  <si>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</si>
  <si>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</si>
  <si>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</si>
  <si>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</si>
  <si>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</si>
  <si>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</si>
  <si>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</si>
  <si>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</si>
  <si>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</si>
  <si>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</si>
  <si>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</si>
  <si>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</si>
  <si>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</si>
  <si>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</si>
  <si>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</si>
  <si>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</si>
  <si>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</si>
  <si>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</si>
  <si>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</si>
  <si>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</si>
  <si>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</si>
  <si>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</si>
  <si>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</si>
  <si>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</si>
  <si>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</si>
  <si>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</si>
  <si>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</si>
  <si>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</si>
  <si>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</si>
  <si>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</si>
  <si>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</si>
  <si>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</si>
  <si>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</si>
  <si>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</si>
  <si>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</si>
  <si>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</si>
  <si>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</si>
  <si>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</si>
  <si>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</si>
  <si>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</si>
  <si>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</si>
  <si>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</si>
  <si>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</si>
  <si>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</si>
  <si>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</si>
  <si>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</si>
  <si>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</si>
  <si>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</si>
  <si>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</si>
  <si>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</si>
  <si>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</si>
  <si>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</si>
  <si>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</si>
  <si>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</si>
  <si>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</si>
  <si>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</si>
  <si>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</si>
  <si>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</si>
  <si>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</si>
  <si>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</si>
  <si>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</si>
  <si>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</si>
  <si>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</si>
  <si>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</si>
  <si>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</si>
  <si>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</si>
  <si>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</si>
  <si>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</si>
  <si>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</si>
  <si>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</si>
  <si>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</si>
  <si>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</si>
  <si>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</si>
  <si>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</si>
  <si>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</si>
  <si>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</si>
  <si>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</si>
  <si>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</si>
  <si>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</si>
  <si>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</si>
  <si>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</si>
  <si>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</si>
  <si>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</si>
  <si>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</si>
  <si>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</si>
  <si>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</si>
  <si>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</si>
  <si>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</si>
  <si>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</si>
  <si>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</si>
  <si>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</si>
  <si>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</si>
  <si>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</si>
  <si>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</si>
  <si>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</si>
  <si>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</si>
  <si>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</si>
  <si>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</si>
  <si>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</si>
  <si>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</si>
  <si>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</si>
  <si>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</si>
  <si>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</si>
  <si>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</si>
  <si>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</si>
  <si>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</si>
  <si>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</si>
  <si>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</si>
  <si>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</si>
  <si>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</si>
  <si>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</si>
  <si>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</si>
  <si>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</si>
  <si>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</si>
  <si>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</si>
  <si>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</si>
  <si>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</si>
  <si>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</si>
  <si>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</si>
  <si>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</si>
  <si>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</si>
  <si>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</si>
  <si>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</si>
  <si>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</si>
  <si>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</si>
  <si>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</si>
  <si>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</si>
  <si>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</si>
  <si>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</si>
  <si>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</si>
  <si>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</si>
  <si>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</si>
  <si>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</si>
  <si>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</si>
  <si>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</si>
  <si>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</si>
  <si>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</si>
  <si>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</si>
  <si>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</si>
  <si>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</si>
  <si>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</si>
  <si>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</si>
  <si>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</si>
  <si>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</si>
  <si>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</si>
  <si>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</si>
  <si>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</si>
  <si>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</si>
  <si>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</si>
  <si>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</si>
  <si>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37015</t>
  </si>
  <si>
    <t>TIELT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</si>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</sst>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149348.71334260804</c:v>
                </c:pt>
                <c:pt idx="1">
                  <c:v>72134.353851876236</c:v>
                </c:pt>
                <c:pt idx="2">
                  <c:v>1777.6690000000001</c:v>
                </c:pt>
                <c:pt idx="3">
                  <c:v>47190.901069333646</c:v>
                </c:pt>
                <c:pt idx="4">
                  <c:v>453094.67874321109</c:v>
                </c:pt>
                <c:pt idx="5">
                  <c:v>98597.177088102762</c:v>
                </c:pt>
                <c:pt idx="6">
                  <c:v>1255.3314548822352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5649152"/>
        <c:axId val="175650688"/>
      </c:barChart>
      <c:catAx>
        <c:axId val="175649152"/>
        <c:scaling>
          <c:orientation val="minMax"/>
        </c:scaling>
        <c:axPos val="b"/>
        <c:numFmt formatCode="General" sourceLinked="0"/>
        <c:tickLblPos val="nextTo"/>
        <c:crossAx val="175650688"/>
        <c:crosses val="autoZero"/>
        <c:auto val="1"/>
        <c:lblAlgn val="ctr"/>
        <c:lblOffset val="100"/>
      </c:catAx>
      <c:valAx>
        <c:axId val="175650688"/>
        <c:scaling>
          <c:orientation val="minMax"/>
        </c:scaling>
        <c:axPos val="l"/>
        <c:majorGridlines/>
        <c:numFmt formatCode="#,##0" sourceLinked="1"/>
        <c:tickLblPos val="nextTo"/>
        <c:crossAx val="175649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149348.71334260804</c:v>
                </c:pt>
                <c:pt idx="1">
                  <c:v>72134.353851876236</c:v>
                </c:pt>
                <c:pt idx="2">
                  <c:v>1777.6690000000001</c:v>
                </c:pt>
                <c:pt idx="3">
                  <c:v>47190.901069333646</c:v>
                </c:pt>
                <c:pt idx="4">
                  <c:v>453094.67874321109</c:v>
                </c:pt>
                <c:pt idx="5">
                  <c:v>98597.177088102762</c:v>
                </c:pt>
                <c:pt idx="6">
                  <c:v>1255.3314548822352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28259.326573403119</c:v>
                </c:pt>
                <c:pt idx="2">
                  <c:v>14485.592023183272</c:v>
                </c:pt>
                <c:pt idx="3">
                  <c:v>368.70458733247608</c:v>
                </c:pt>
                <c:pt idx="4">
                  <c:v>11982.315993916876</c:v>
                </c:pt>
                <c:pt idx="5">
                  <c:v>90997.739619825297</c:v>
                </c:pt>
                <c:pt idx="6">
                  <c:v>24721.179172436023</c:v>
                </c:pt>
                <c:pt idx="7">
                  <c:v>317.09073803297196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1558272"/>
        <c:axId val="181629696"/>
      </c:barChart>
      <c:catAx>
        <c:axId val="181558272"/>
        <c:scaling>
          <c:orientation val="minMax"/>
        </c:scaling>
        <c:axPos val="b"/>
        <c:numFmt formatCode="General" sourceLinked="0"/>
        <c:tickLblPos val="nextTo"/>
        <c:crossAx val="181629696"/>
        <c:crosses val="autoZero"/>
        <c:auto val="1"/>
        <c:lblAlgn val="ctr"/>
        <c:lblOffset val="100"/>
      </c:catAx>
      <c:valAx>
        <c:axId val="181629696"/>
        <c:scaling>
          <c:orientation val="minMax"/>
        </c:scaling>
        <c:axPos val="l"/>
        <c:majorGridlines/>
        <c:numFmt formatCode="#,##0" sourceLinked="1"/>
        <c:tickLblPos val="nextTo"/>
        <c:crossAx val="1815582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28259.326573403119</c:v>
                </c:pt>
                <c:pt idx="2">
                  <c:v>14485.592023183272</c:v>
                </c:pt>
                <c:pt idx="3">
                  <c:v>368.70458733247608</c:v>
                </c:pt>
                <c:pt idx="4">
                  <c:v>11982.315993916876</c:v>
                </c:pt>
                <c:pt idx="5">
                  <c:v>90997.739619825297</c:v>
                </c:pt>
                <c:pt idx="6">
                  <c:v>24721.179172436023</c:v>
                </c:pt>
                <c:pt idx="7">
                  <c:v>317.09073803297196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37015</v>
      </c>
      <c r="B6" s="416"/>
      <c r="C6" s="417"/>
    </row>
    <row r="7" spans="1:7" s="414" customFormat="1" ht="15.75" customHeight="1">
      <c r="A7" s="418" t="str">
        <f>txtMunicipality</f>
        <v>TIELT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0.20740902121400331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0.20740902121400331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8429</v>
      </c>
      <c r="C9" s="342">
        <v>8668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5092</v>
      </c>
    </row>
    <row r="15" spans="1:6">
      <c r="A15" s="348" t="s">
        <v>184</v>
      </c>
      <c r="B15" s="334">
        <v>113</v>
      </c>
    </row>
    <row r="16" spans="1:6">
      <c r="A16" s="348" t="s">
        <v>6</v>
      </c>
      <c r="B16" s="334">
        <v>3297</v>
      </c>
    </row>
    <row r="17" spans="1:6">
      <c r="A17" s="348" t="s">
        <v>7</v>
      </c>
      <c r="B17" s="334">
        <v>2849</v>
      </c>
    </row>
    <row r="18" spans="1:6">
      <c r="A18" s="348" t="s">
        <v>8</v>
      </c>
      <c r="B18" s="334">
        <v>3841</v>
      </c>
    </row>
    <row r="19" spans="1:6">
      <c r="A19" s="348" t="s">
        <v>9</v>
      </c>
      <c r="B19" s="334">
        <v>3601</v>
      </c>
    </row>
    <row r="20" spans="1:6">
      <c r="A20" s="348" t="s">
        <v>10</v>
      </c>
      <c r="B20" s="334">
        <v>2890</v>
      </c>
    </row>
    <row r="21" spans="1:6">
      <c r="A21" s="348" t="s">
        <v>11</v>
      </c>
      <c r="B21" s="334">
        <v>39936</v>
      </c>
    </row>
    <row r="22" spans="1:6">
      <c r="A22" s="348" t="s">
        <v>12</v>
      </c>
      <c r="B22" s="334">
        <v>111960</v>
      </c>
    </row>
    <row r="23" spans="1:6">
      <c r="A23" s="348" t="s">
        <v>13</v>
      </c>
      <c r="B23" s="334">
        <v>1647</v>
      </c>
    </row>
    <row r="24" spans="1:6">
      <c r="A24" s="348" t="s">
        <v>14</v>
      </c>
      <c r="B24" s="334">
        <v>82</v>
      </c>
    </row>
    <row r="25" spans="1:6">
      <c r="A25" s="348" t="s">
        <v>15</v>
      </c>
      <c r="B25" s="334">
        <v>9979</v>
      </c>
    </row>
    <row r="26" spans="1:6">
      <c r="A26" s="348" t="s">
        <v>16</v>
      </c>
      <c r="B26" s="334">
        <v>403</v>
      </c>
    </row>
    <row r="27" spans="1:6">
      <c r="A27" s="348" t="s">
        <v>17</v>
      </c>
      <c r="B27" s="334">
        <v>0</v>
      </c>
    </row>
    <row r="28" spans="1:6" s="356" customFormat="1">
      <c r="A28" s="355" t="s">
        <v>18</v>
      </c>
      <c r="B28" s="355">
        <v>624781</v>
      </c>
    </row>
    <row r="29" spans="1:6">
      <c r="A29" s="355" t="s">
        <v>901</v>
      </c>
      <c r="B29" s="355">
        <v>207</v>
      </c>
      <c r="C29" s="356"/>
      <c r="D29" s="356"/>
      <c r="E29" s="356"/>
      <c r="F29" s="356"/>
    </row>
    <row r="30" spans="1:6">
      <c r="A30" s="341" t="s">
        <v>902</v>
      </c>
      <c r="B30" s="341">
        <v>31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19892.325182680801</v>
      </c>
      <c r="E36" s="334">
        <v>8</v>
      </c>
      <c r="F36" s="334">
        <v>57421</v>
      </c>
    </row>
    <row r="37" spans="1:6">
      <c r="A37" s="348" t="s">
        <v>25</v>
      </c>
      <c r="B37" s="348" t="s">
        <v>28</v>
      </c>
      <c r="C37" s="334">
        <v>0</v>
      </c>
      <c r="D37" s="334">
        <v>0</v>
      </c>
      <c r="E37" s="334">
        <v>0</v>
      </c>
      <c r="F37" s="334">
        <v>0</v>
      </c>
    </row>
    <row r="38" spans="1:6">
      <c r="A38" s="348" t="s">
        <v>25</v>
      </c>
      <c r="B38" s="348" t="s">
        <v>29</v>
      </c>
      <c r="C38" s="334">
        <v>0</v>
      </c>
      <c r="D38" s="334">
        <v>0</v>
      </c>
      <c r="E38" s="334">
        <v>1</v>
      </c>
      <c r="F38" s="334">
        <v>39021</v>
      </c>
    </row>
    <row r="39" spans="1:6">
      <c r="A39" s="348" t="s">
        <v>30</v>
      </c>
      <c r="B39" s="348" t="s">
        <v>31</v>
      </c>
      <c r="C39" s="334">
        <v>5485</v>
      </c>
      <c r="D39" s="334">
        <v>76922939.037565097</v>
      </c>
      <c r="E39" s="334">
        <v>7882</v>
      </c>
      <c r="F39" s="334">
        <v>31257164</v>
      </c>
    </row>
    <row r="40" spans="1:6">
      <c r="A40" s="348" t="s">
        <v>30</v>
      </c>
      <c r="B40" s="348" t="s">
        <v>29</v>
      </c>
      <c r="C40" s="334">
        <v>0</v>
      </c>
      <c r="D40" s="334">
        <v>0</v>
      </c>
      <c r="E40" s="334">
        <v>0</v>
      </c>
      <c r="F40" s="334">
        <v>0</v>
      </c>
    </row>
    <row r="41" spans="1:6">
      <c r="A41" s="348" t="s">
        <v>32</v>
      </c>
      <c r="B41" s="348" t="s">
        <v>33</v>
      </c>
      <c r="C41" s="334">
        <v>109</v>
      </c>
      <c r="D41" s="334">
        <v>6678534.2096214602</v>
      </c>
      <c r="E41" s="334">
        <v>248</v>
      </c>
      <c r="F41" s="334">
        <v>58927413</v>
      </c>
    </row>
    <row r="42" spans="1:6">
      <c r="A42" s="348" t="s">
        <v>32</v>
      </c>
      <c r="B42" s="348" t="s">
        <v>34</v>
      </c>
      <c r="C42" s="334">
        <v>0</v>
      </c>
      <c r="D42" s="334">
        <v>0</v>
      </c>
      <c r="E42" s="334">
        <v>6</v>
      </c>
      <c r="F42" s="334">
        <v>627628.1</v>
      </c>
    </row>
    <row r="43" spans="1:6">
      <c r="A43" s="348" t="s">
        <v>32</v>
      </c>
      <c r="B43" s="348" t="s">
        <v>35</v>
      </c>
      <c r="C43" s="334">
        <v>0</v>
      </c>
      <c r="D43" s="334">
        <v>0</v>
      </c>
      <c r="E43" s="334">
        <v>0</v>
      </c>
      <c r="F43" s="334">
        <v>0</v>
      </c>
    </row>
    <row r="44" spans="1:6">
      <c r="A44" s="348" t="s">
        <v>32</v>
      </c>
      <c r="B44" s="348" t="s">
        <v>36</v>
      </c>
      <c r="C44" s="334">
        <v>6</v>
      </c>
      <c r="D44" s="334">
        <v>164350.18300493201</v>
      </c>
      <c r="E44" s="334">
        <v>39</v>
      </c>
      <c r="F44" s="334">
        <v>1111774</v>
      </c>
    </row>
    <row r="45" spans="1:6">
      <c r="A45" s="348" t="s">
        <v>32</v>
      </c>
      <c r="B45" s="348" t="s">
        <v>37</v>
      </c>
      <c r="C45" s="334">
        <v>0</v>
      </c>
      <c r="D45" s="334">
        <v>0</v>
      </c>
      <c r="E45" s="334">
        <v>7</v>
      </c>
      <c r="F45" s="334">
        <v>328038.90000000002</v>
      </c>
    </row>
    <row r="46" spans="1:6">
      <c r="A46" s="348" t="s">
        <v>32</v>
      </c>
      <c r="B46" s="348" t="s">
        <v>38</v>
      </c>
      <c r="C46" s="334">
        <v>0</v>
      </c>
      <c r="D46" s="334">
        <v>0</v>
      </c>
      <c r="E46" s="334">
        <v>0</v>
      </c>
      <c r="F46" s="334">
        <v>0</v>
      </c>
    </row>
    <row r="47" spans="1:6">
      <c r="A47" s="348" t="s">
        <v>32</v>
      </c>
      <c r="B47" s="348" t="s">
        <v>39</v>
      </c>
      <c r="C47" s="334">
        <v>4</v>
      </c>
      <c r="D47" s="334">
        <v>1008103.2215163599</v>
      </c>
      <c r="E47" s="334">
        <v>4</v>
      </c>
      <c r="F47" s="334">
        <v>1325924</v>
      </c>
    </row>
    <row r="48" spans="1:6">
      <c r="A48" s="348" t="s">
        <v>32</v>
      </c>
      <c r="B48" s="348" t="s">
        <v>29</v>
      </c>
      <c r="C48" s="334">
        <v>40</v>
      </c>
      <c r="D48" s="334">
        <v>172683886.54700199</v>
      </c>
      <c r="E48" s="334">
        <v>36</v>
      </c>
      <c r="F48" s="334">
        <v>51906135</v>
      </c>
    </row>
    <row r="49" spans="1:6">
      <c r="A49" s="348" t="s">
        <v>32</v>
      </c>
      <c r="B49" s="348" t="s">
        <v>40</v>
      </c>
      <c r="C49" s="334">
        <v>3</v>
      </c>
      <c r="D49" s="334">
        <v>121756.35571547299</v>
      </c>
      <c r="E49" s="334">
        <v>14</v>
      </c>
      <c r="F49" s="334">
        <v>8198668</v>
      </c>
    </row>
    <row r="50" spans="1:6">
      <c r="A50" s="348" t="s">
        <v>32</v>
      </c>
      <c r="B50" s="348" t="s">
        <v>41</v>
      </c>
      <c r="C50" s="334">
        <v>13</v>
      </c>
      <c r="D50" s="334">
        <v>2746690.6242425102</v>
      </c>
      <c r="E50" s="334">
        <v>19</v>
      </c>
      <c r="F50" s="334">
        <v>16689528</v>
      </c>
    </row>
    <row r="51" spans="1:6">
      <c r="A51" s="348" t="s">
        <v>42</v>
      </c>
      <c r="B51" s="348" t="s">
        <v>43</v>
      </c>
      <c r="C51" s="334">
        <v>10</v>
      </c>
      <c r="D51" s="334">
        <v>234564.65017701301</v>
      </c>
      <c r="E51" s="334">
        <v>320</v>
      </c>
      <c r="F51" s="334">
        <v>12561466</v>
      </c>
    </row>
    <row r="52" spans="1:6">
      <c r="A52" s="348" t="s">
        <v>42</v>
      </c>
      <c r="B52" s="348" t="s">
        <v>29</v>
      </c>
      <c r="C52" s="334">
        <v>6</v>
      </c>
      <c r="D52" s="334">
        <v>251392.16022758401</v>
      </c>
      <c r="E52" s="334">
        <v>6</v>
      </c>
      <c r="F52" s="334">
        <v>75168.94</v>
      </c>
    </row>
    <row r="53" spans="1:6">
      <c r="A53" s="348" t="s">
        <v>44</v>
      </c>
      <c r="B53" s="348" t="s">
        <v>45</v>
      </c>
      <c r="C53" s="334">
        <v>188</v>
      </c>
      <c r="D53" s="334">
        <v>4104627.4228277998</v>
      </c>
      <c r="E53" s="334">
        <v>395</v>
      </c>
      <c r="F53" s="334">
        <v>3138874</v>
      </c>
    </row>
    <row r="54" spans="1:6">
      <c r="A54" s="348" t="s">
        <v>46</v>
      </c>
      <c r="B54" s="348" t="s">
        <v>47</v>
      </c>
      <c r="C54" s="334">
        <v>0</v>
      </c>
      <c r="D54" s="334">
        <v>0</v>
      </c>
      <c r="E54" s="334">
        <v>2</v>
      </c>
      <c r="F54" s="334">
        <v>1777669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85</v>
      </c>
      <c r="D57" s="334">
        <v>7268958.6577235404</v>
      </c>
      <c r="E57" s="334">
        <v>84</v>
      </c>
      <c r="F57" s="334">
        <v>3237331</v>
      </c>
    </row>
    <row r="58" spans="1:6">
      <c r="A58" s="348" t="s">
        <v>49</v>
      </c>
      <c r="B58" s="348" t="s">
        <v>51</v>
      </c>
      <c r="C58" s="334">
        <v>44</v>
      </c>
      <c r="D58" s="334">
        <v>8752020.5752214398</v>
      </c>
      <c r="E58" s="334">
        <v>64</v>
      </c>
      <c r="F58" s="334">
        <v>5698550</v>
      </c>
    </row>
    <row r="59" spans="1:6">
      <c r="A59" s="348" t="s">
        <v>49</v>
      </c>
      <c r="B59" s="348" t="s">
        <v>52</v>
      </c>
      <c r="C59" s="334">
        <v>143</v>
      </c>
      <c r="D59" s="334">
        <v>5851222.9759518299</v>
      </c>
      <c r="E59" s="334">
        <v>350</v>
      </c>
      <c r="F59" s="334">
        <v>11584582</v>
      </c>
    </row>
    <row r="60" spans="1:6">
      <c r="A60" s="348" t="s">
        <v>49</v>
      </c>
      <c r="B60" s="348" t="s">
        <v>53</v>
      </c>
      <c r="C60" s="334">
        <v>68</v>
      </c>
      <c r="D60" s="334">
        <v>4998223.6767482497</v>
      </c>
      <c r="E60" s="334">
        <v>87</v>
      </c>
      <c r="F60" s="334">
        <v>2493257</v>
      </c>
    </row>
    <row r="61" spans="1:6">
      <c r="A61" s="348" t="s">
        <v>49</v>
      </c>
      <c r="B61" s="348" t="s">
        <v>54</v>
      </c>
      <c r="C61" s="334">
        <v>223</v>
      </c>
      <c r="D61" s="334">
        <v>6290642.1790939104</v>
      </c>
      <c r="E61" s="334">
        <v>388</v>
      </c>
      <c r="F61" s="334">
        <v>4917690</v>
      </c>
    </row>
    <row r="62" spans="1:6">
      <c r="A62" s="348" t="s">
        <v>49</v>
      </c>
      <c r="B62" s="348" t="s">
        <v>55</v>
      </c>
      <c r="C62" s="334">
        <v>5</v>
      </c>
      <c r="D62" s="334">
        <v>537389.04288001906</v>
      </c>
      <c r="E62" s="334">
        <v>13</v>
      </c>
      <c r="F62" s="334">
        <v>407649.1</v>
      </c>
    </row>
    <row r="63" spans="1:6">
      <c r="A63" s="348" t="s">
        <v>49</v>
      </c>
      <c r="B63" s="348" t="s">
        <v>29</v>
      </c>
      <c r="C63" s="334">
        <v>96</v>
      </c>
      <c r="D63" s="334">
        <v>4201462.9963208297</v>
      </c>
      <c r="E63" s="334">
        <v>85</v>
      </c>
      <c r="F63" s="334">
        <v>2189787</v>
      </c>
    </row>
    <row r="64" spans="1:6">
      <c r="A64" s="348" t="s">
        <v>56</v>
      </c>
      <c r="B64" s="348" t="s">
        <v>57</v>
      </c>
      <c r="C64" s="334">
        <v>0</v>
      </c>
      <c r="D64" s="334">
        <v>0</v>
      </c>
      <c r="E64" s="334">
        <v>0</v>
      </c>
      <c r="F64" s="334">
        <v>0</v>
      </c>
    </row>
    <row r="65" spans="1:6">
      <c r="A65" s="348" t="s">
        <v>56</v>
      </c>
      <c r="B65" s="348" t="s">
        <v>29</v>
      </c>
      <c r="C65" s="334">
        <v>4</v>
      </c>
      <c r="D65" s="334">
        <v>36760.9846967251</v>
      </c>
      <c r="E65" s="334">
        <v>5</v>
      </c>
      <c r="F65" s="334">
        <v>37143.43</v>
      </c>
    </row>
    <row r="66" spans="1:6">
      <c r="A66" s="348" t="s">
        <v>56</v>
      </c>
      <c r="B66" s="348" t="s">
        <v>58</v>
      </c>
      <c r="C66" s="334">
        <v>0</v>
      </c>
      <c r="D66" s="334">
        <v>0</v>
      </c>
      <c r="E66" s="334">
        <v>13</v>
      </c>
      <c r="F66" s="334">
        <v>303442</v>
      </c>
    </row>
    <row r="67" spans="1:6">
      <c r="A67" s="355" t="s">
        <v>56</v>
      </c>
      <c r="B67" s="355" t="s">
        <v>59</v>
      </c>
      <c r="C67" s="334">
        <v>0</v>
      </c>
      <c r="D67" s="334">
        <v>0</v>
      </c>
      <c r="E67" s="334">
        <v>0</v>
      </c>
      <c r="F67" s="334">
        <v>0</v>
      </c>
    </row>
    <row r="68" spans="1:6">
      <c r="A68" s="341" t="s">
        <v>56</v>
      </c>
      <c r="B68" s="341" t="s">
        <v>60</v>
      </c>
      <c r="C68" s="334">
        <v>3</v>
      </c>
      <c r="D68" s="334">
        <v>50955.094139065499</v>
      </c>
      <c r="E68" s="334">
        <v>13</v>
      </c>
      <c r="F68" s="334">
        <v>179142.8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82232702</v>
      </c>
      <c r="E73" s="476">
        <v>75280106.597118407</v>
      </c>
    </row>
    <row r="74" spans="1:6">
      <c r="A74" s="348" t="s">
        <v>64</v>
      </c>
      <c r="B74" s="348" t="s">
        <v>714</v>
      </c>
      <c r="C74" s="1311" t="s">
        <v>716</v>
      </c>
      <c r="D74" s="476">
        <v>10218670.732392494</v>
      </c>
      <c r="E74" s="476">
        <v>9145985.0737214386</v>
      </c>
    </row>
    <row r="75" spans="1:6">
      <c r="A75" s="348" t="s">
        <v>65</v>
      </c>
      <c r="B75" s="348" t="s">
        <v>713</v>
      </c>
      <c r="C75" s="1311" t="s">
        <v>717</v>
      </c>
      <c r="D75" s="476">
        <v>19534877</v>
      </c>
      <c r="E75" s="476">
        <v>17137319.56698969</v>
      </c>
    </row>
    <row r="76" spans="1:6">
      <c r="A76" s="348" t="s">
        <v>65</v>
      </c>
      <c r="B76" s="348" t="s">
        <v>714</v>
      </c>
      <c r="C76" s="1311" t="s">
        <v>718</v>
      </c>
      <c r="D76" s="476">
        <v>1444887.7323924932</v>
      </c>
      <c r="E76" s="476">
        <v>1321630.4673316048</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335454.5352150136</v>
      </c>
      <c r="C83" s="476">
        <v>338318.13462504046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3810.6984866238799</v>
      </c>
    </row>
    <row r="92" spans="1:6">
      <c r="A92" s="341" t="s">
        <v>69</v>
      </c>
      <c r="B92" s="342">
        <v>9858.9322856663803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3670</v>
      </c>
    </row>
    <row r="98" spans="1:6">
      <c r="A98" s="348" t="s">
        <v>72</v>
      </c>
      <c r="B98" s="334">
        <v>1</v>
      </c>
    </row>
    <row r="99" spans="1:6">
      <c r="A99" s="348" t="s">
        <v>73</v>
      </c>
      <c r="B99" s="334">
        <v>172</v>
      </c>
    </row>
    <row r="100" spans="1:6">
      <c r="A100" s="348" t="s">
        <v>74</v>
      </c>
      <c r="B100" s="334">
        <v>626</v>
      </c>
    </row>
    <row r="101" spans="1:6">
      <c r="A101" s="348" t="s">
        <v>75</v>
      </c>
      <c r="B101" s="334">
        <v>138</v>
      </c>
    </row>
    <row r="102" spans="1:6">
      <c r="A102" s="348" t="s">
        <v>76</v>
      </c>
      <c r="B102" s="334">
        <v>138</v>
      </c>
    </row>
    <row r="103" spans="1:6">
      <c r="A103" s="348" t="s">
        <v>77</v>
      </c>
      <c r="B103" s="334">
        <v>233</v>
      </c>
    </row>
    <row r="104" spans="1:6">
      <c r="A104" s="348" t="s">
        <v>78</v>
      </c>
      <c r="B104" s="334">
        <v>2399</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34</v>
      </c>
      <c r="C123" s="334">
        <v>13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198</v>
      </c>
    </row>
    <row r="130" spans="1:6">
      <c r="A130" s="348" t="s">
        <v>295</v>
      </c>
      <c r="B130" s="334">
        <v>5</v>
      </c>
    </row>
    <row r="131" spans="1:6">
      <c r="A131" s="348" t="s">
        <v>296</v>
      </c>
      <c r="B131" s="334">
        <v>2</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222278.94313165918</v>
      </c>
      <c r="C3" s="43" t="s">
        <v>170</v>
      </c>
      <c r="D3" s="43"/>
      <c r="E3" s="154"/>
      <c r="F3" s="43"/>
      <c r="G3" s="43"/>
      <c r="H3" s="43"/>
      <c r="I3" s="43"/>
      <c r="J3" s="43"/>
      <c r="K3" s="96"/>
    </row>
    <row r="4" spans="1:11">
      <c r="A4" s="384" t="s">
        <v>171</v>
      </c>
      <c r="B4" s="49">
        <f>IF(ISERROR('SEAP template'!B78+'SEAP template'!C78),0,'SEAP template'!B78+'SEAP template'!C78)</f>
        <v>13669.63077229026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0.20740902121400331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1777.6690000000001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1777.6690000000001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0.20740902121400331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368.70458733247608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31257.164000000001</v>
      </c>
      <c r="C5" s="17">
        <f>IF(ISERROR('Eigen informatie GS &amp; warmtenet'!B57),0,'Eigen informatie GS &amp; warmtenet'!B57)</f>
        <v>0</v>
      </c>
      <c r="D5" s="30">
        <f>(SUM(HH_hh_gas_kWh,HH_rest_gas_kWh)/1000)*0.902</f>
        <v>69384.491011883714</v>
      </c>
      <c r="E5" s="17">
        <f>B46*B57</f>
        <v>5716.6539326995644</v>
      </c>
      <c r="F5" s="17">
        <f>B51*B62</f>
        <v>18843.919994881144</v>
      </c>
      <c r="G5" s="18"/>
      <c r="H5" s="17"/>
      <c r="I5" s="17"/>
      <c r="J5" s="17">
        <f>B50*B61+C50*C61</f>
        <v>1811.4725232446842</v>
      </c>
      <c r="K5" s="17"/>
      <c r="L5" s="17"/>
      <c r="M5" s="17"/>
      <c r="N5" s="17">
        <f>B48*B59+C48*C59</f>
        <v>17393.65005994173</v>
      </c>
      <c r="O5" s="17">
        <f>B69*B70*B71</f>
        <v>329.86333333333334</v>
      </c>
      <c r="P5" s="17">
        <f>B77*B78*B79/1000-B77*B78*B79/1000/B80</f>
        <v>800.8</v>
      </c>
    </row>
    <row r="6" spans="1:16">
      <c r="A6" s="16" t="s">
        <v>631</v>
      </c>
      <c r="B6" s="789">
        <f>kWh_PV_kleiner_dan_10kW</f>
        <v>3810.6984866238799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35067.862486623882</v>
      </c>
      <c r="C8" s="21">
        <f>C5</f>
        <v>0</v>
      </c>
      <c r="D8" s="21">
        <f>D5</f>
        <v>69384.491011883714</v>
      </c>
      <c r="E8" s="21">
        <f>E5</f>
        <v>5716.6539326995644</v>
      </c>
      <c r="F8" s="21">
        <f>F5</f>
        <v>18843.919994881144</v>
      </c>
      <c r="G8" s="21"/>
      <c r="H8" s="21"/>
      <c r="I8" s="21"/>
      <c r="J8" s="21">
        <f>J5</f>
        <v>1811.4725232446842</v>
      </c>
      <c r="K8" s="21"/>
      <c r="L8" s="21">
        <f>L5</f>
        <v>0</v>
      </c>
      <c r="M8" s="21">
        <f>M5</f>
        <v>0</v>
      </c>
      <c r="N8" s="21">
        <f>N5</f>
        <v>17393.65005994173</v>
      </c>
      <c r="O8" s="21">
        <f>O5</f>
        <v>329.86333333333334</v>
      </c>
      <c r="P8" s="21">
        <f>P5</f>
        <v>800.8</v>
      </c>
    </row>
    <row r="9" spans="1:16">
      <c r="B9" s="19"/>
      <c r="C9" s="19"/>
      <c r="D9" s="258"/>
      <c r="E9" s="19"/>
      <c r="F9" s="19"/>
      <c r="G9" s="19"/>
      <c r="H9" s="19"/>
      <c r="I9" s="19"/>
      <c r="J9" s="19"/>
      <c r="K9" s="19"/>
      <c r="L9" s="19"/>
      <c r="M9" s="19"/>
      <c r="N9" s="19"/>
      <c r="O9" s="19"/>
      <c r="P9" s="19"/>
    </row>
    <row r="10" spans="1:16">
      <c r="A10" s="24" t="s">
        <v>214</v>
      </c>
      <c r="B10" s="25">
        <f ca="1">'EF ele_warmte'!B12</f>
        <v>0.20740902121400331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7273.3910344179239</v>
      </c>
      <c r="C12" s="23">
        <f ca="1">C10*C8</f>
        <v>0</v>
      </c>
      <c r="D12" s="23">
        <f>D8*D10</f>
        <v>14015.66718440051</v>
      </c>
      <c r="E12" s="23">
        <f>E10*E8</f>
        <v>1297.6804427228012</v>
      </c>
      <c r="F12" s="23">
        <f>F10*F8</f>
        <v>5031.3266386332652</v>
      </c>
      <c r="G12" s="23"/>
      <c r="H12" s="23"/>
      <c r="I12" s="23"/>
      <c r="J12" s="23">
        <f>J10*J8</f>
        <v>641.26127322861817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3670</v>
      </c>
      <c r="C18" s="166" t="s">
        <v>111</v>
      </c>
      <c r="D18" s="228"/>
      <c r="E18" s="15"/>
    </row>
    <row r="19" spans="1:7">
      <c r="A19" s="171" t="s">
        <v>72</v>
      </c>
      <c r="B19" s="37">
        <f>aantalw2001_ander</f>
        <v>1</v>
      </c>
      <c r="C19" s="166" t="s">
        <v>111</v>
      </c>
      <c r="D19" s="229"/>
      <c r="E19" s="15"/>
    </row>
    <row r="20" spans="1:7">
      <c r="A20" s="171" t="s">
        <v>73</v>
      </c>
      <c r="B20" s="37">
        <f>aantalw2001_propaan</f>
        <v>172</v>
      </c>
      <c r="C20" s="167">
        <f>IF(ISERROR(B20/SUM($B$20,$B$21,$B$22)*100),0,B20/SUM($B$20,$B$21,$B$22)*100)</f>
        <v>18.376068376068378</v>
      </c>
      <c r="D20" s="229"/>
      <c r="E20" s="15"/>
    </row>
    <row r="21" spans="1:7">
      <c r="A21" s="171" t="s">
        <v>74</v>
      </c>
      <c r="B21" s="37">
        <f>aantalw2001_elektriciteit</f>
        <v>626</v>
      </c>
      <c r="C21" s="167">
        <f>IF(ISERROR(B21/SUM($B$20,$B$21,$B$22)*100),0,B21/SUM($B$20,$B$21,$B$22)*100)</f>
        <v>66.880341880341874</v>
      </c>
      <c r="D21" s="229"/>
      <c r="E21" s="15"/>
    </row>
    <row r="22" spans="1:7">
      <c r="A22" s="171" t="s">
        <v>75</v>
      </c>
      <c r="B22" s="37">
        <f>aantalw2001_hout</f>
        <v>138</v>
      </c>
      <c r="C22" s="167">
        <f>IF(ISERROR(B22/SUM($B$20,$B$21,$B$22)*100),0,B22/SUM($B$20,$B$21,$B$22)*100)</f>
        <v>14.743589743589745</v>
      </c>
      <c r="D22" s="229"/>
      <c r="E22" s="15"/>
    </row>
    <row r="23" spans="1:7">
      <c r="A23" s="171" t="s">
        <v>76</v>
      </c>
      <c r="B23" s="37">
        <f>aantalw2001_niet_gespec</f>
        <v>138</v>
      </c>
      <c r="C23" s="166" t="s">
        <v>111</v>
      </c>
      <c r="D23" s="228"/>
      <c r="E23" s="15"/>
    </row>
    <row r="24" spans="1:7">
      <c r="A24" s="171" t="s">
        <v>77</v>
      </c>
      <c r="B24" s="37">
        <f>aantalw2001_steenkool</f>
        <v>233</v>
      </c>
      <c r="C24" s="166" t="s">
        <v>111</v>
      </c>
      <c r="D24" s="229"/>
      <c r="E24" s="15"/>
    </row>
    <row r="25" spans="1:7">
      <c r="A25" s="171" t="s">
        <v>78</v>
      </c>
      <c r="B25" s="37">
        <f>aantalw2001_stookolie</f>
        <v>2399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8429</v>
      </c>
      <c r="C28" s="36"/>
      <c r="D28" s="228"/>
    </row>
    <row r="29" spans="1:7" s="15" customFormat="1">
      <c r="A29" s="230" t="s">
        <v>741</v>
      </c>
      <c r="B29" s="37">
        <f>SUM(HH_hh_gas_aantal,HH_rest_gas_aantal)</f>
        <v>5485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5485</v>
      </c>
      <c r="C32" s="167">
        <f>IF(ISERROR(B32/SUM($B$32,$B$34,$B$35,$B$36,$B$38,$B$39)*100),0,B32/SUM($B$32,$B$34,$B$35,$B$36,$B$38,$B$39)*100)</f>
        <v>65.398831524979144</v>
      </c>
      <c r="D32" s="233"/>
      <c r="G32" s="15"/>
    </row>
    <row r="33" spans="1:7">
      <c r="A33" s="171" t="s">
        <v>72</v>
      </c>
      <c r="B33" s="34" t="s">
        <v>111</v>
      </c>
      <c r="C33" s="167"/>
      <c r="D33" s="233"/>
      <c r="G33" s="15"/>
    </row>
    <row r="34" spans="1:7">
      <c r="A34" s="171" t="s">
        <v>73</v>
      </c>
      <c r="B34" s="33">
        <f>IF((($B$28-$B$32-$B$39-$B$77-$B$38)*C20/100)&lt;0,0,($B$28-$B$32-$B$39-$B$77-$B$38)*C20/100)</f>
        <v>383.14102564102569</v>
      </c>
      <c r="C34" s="167">
        <f>IF(ISERROR(B34/SUM($B$32,$B$34,$B$35,$B$36,$B$38,$B$39)*100),0,B34/SUM($B$32,$B$34,$B$35,$B$36,$B$38,$B$39)*100)</f>
        <v>4.5682726319425981</v>
      </c>
      <c r="D34" s="233"/>
      <c r="G34" s="15"/>
    </row>
    <row r="35" spans="1:7">
      <c r="A35" s="171" t="s">
        <v>74</v>
      </c>
      <c r="B35" s="33">
        <f>IF((($B$28-$B$32-$B$39-$B$77-$B$38)*C21/100)&lt;0,0,($B$28-$B$32-$B$39-$B$77-$B$38)*C21/100)</f>
        <v>1394.4551282051282</v>
      </c>
      <c r="C35" s="167">
        <f>IF(ISERROR(B35/SUM($B$32,$B$34,$B$35,$B$36,$B$38,$B$39)*100),0,B35/SUM($B$32,$B$34,$B$35,$B$36,$B$38,$B$39)*100)</f>
        <v>16.62638760230271</v>
      </c>
      <c r="D35" s="233"/>
      <c r="G35" s="15"/>
    </row>
    <row r="36" spans="1:7">
      <c r="A36" s="171" t="s">
        <v>75</v>
      </c>
      <c r="B36" s="33">
        <f>IF((($B$28-$B$32-$B$39-$B$77-$B$38)*C22/100)&lt;0,0,($B$28-$B$32-$B$39-$B$77-$B$38)*C22/100)</f>
        <v>307.40384615384619</v>
      </c>
      <c r="C36" s="167">
        <f>IF(ISERROR(B36/SUM($B$32,$B$34,$B$35,$B$36,$B$38,$B$39)*100),0,B36/SUM($B$32,$B$34,$B$35,$B$36,$B$38,$B$39)*100)</f>
        <v>3.6652419953958049</v>
      </c>
      <c r="D36" s="233"/>
      <c r="G36" s="15"/>
    </row>
    <row r="37" spans="1:7">
      <c r="A37" s="171" t="s">
        <v>76</v>
      </c>
      <c r="B37" s="34" t="s">
        <v>111</v>
      </c>
      <c r="C37" s="167"/>
      <c r="D37" s="173"/>
      <c r="G37" s="15"/>
    </row>
    <row r="38" spans="1:7">
      <c r="A38" s="171" t="s">
        <v>77</v>
      </c>
      <c r="B38" s="33">
        <f>IF((B24-(B29-B18)*0.1)&lt;0,0,B24-(B29-B18)*0.1)</f>
        <v>51.5</v>
      </c>
      <c r="C38" s="167">
        <f>IF(ISERROR(B38/SUM($B$32,$B$34,$B$35,$B$36,$B$38,$B$39)*100),0,B38/SUM($B$32,$B$34,$B$35,$B$36,$B$38,$B$39)*100)</f>
        <v>0.61404554667938482</v>
      </c>
      <c r="D38" s="234"/>
      <c r="G38" s="15"/>
    </row>
    <row r="39" spans="1:7">
      <c r="A39" s="171" t="s">
        <v>78</v>
      </c>
      <c r="B39" s="33">
        <f>IF((B25-(B29-B18))&lt;0,0,B25-(B29-B18)*0.9)</f>
        <v>765.5</v>
      </c>
      <c r="C39" s="167">
        <f>IF(ISERROR(B39/SUM($B$32,$B$34,$B$35,$B$36,$B$38,$B$39)*100),0,B39/SUM($B$32,$B$34,$B$35,$B$36,$B$38,$B$39)*100)</f>
        <v>9.1272206987003699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5485</v>
      </c>
      <c r="C44" s="34" t="s">
        <v>111</v>
      </c>
      <c r="D44" s="174"/>
    </row>
    <row r="45" spans="1:7">
      <c r="A45" s="171" t="s">
        <v>72</v>
      </c>
      <c r="B45" s="33" t="str">
        <f t="shared" si="0"/>
        <v>-</v>
      </c>
      <c r="C45" s="34" t="s">
        <v>111</v>
      </c>
      <c r="D45" s="174"/>
    </row>
    <row r="46" spans="1:7">
      <c r="A46" s="171" t="s">
        <v>73</v>
      </c>
      <c r="B46" s="33">
        <f t="shared" si="0"/>
        <v>383.14102564102569</v>
      </c>
      <c r="C46" s="34" t="s">
        <v>111</v>
      </c>
      <c r="D46" s="174"/>
    </row>
    <row r="47" spans="1:7">
      <c r="A47" s="171" t="s">
        <v>74</v>
      </c>
      <c r="B47" s="33">
        <f t="shared" si="0"/>
        <v>1394.4551282051282</v>
      </c>
      <c r="C47" s="34" t="s">
        <v>111</v>
      </c>
      <c r="D47" s="174"/>
    </row>
    <row r="48" spans="1:7">
      <c r="A48" s="171" t="s">
        <v>75</v>
      </c>
      <c r="B48" s="33">
        <f t="shared" si="0"/>
        <v>307.40384615384619</v>
      </c>
      <c r="C48" s="33">
        <f>B48*10</f>
        <v>3074.0384615384619</v>
      </c>
      <c r="D48" s="234"/>
    </row>
    <row r="49" spans="1:6">
      <c r="A49" s="171" t="s">
        <v>76</v>
      </c>
      <c r="B49" s="33" t="str">
        <f t="shared" si="0"/>
        <v>-</v>
      </c>
      <c r="C49" s="34" t="s">
        <v>111</v>
      </c>
      <c r="D49" s="234"/>
    </row>
    <row r="50" spans="1:6">
      <c r="A50" s="171" t="s">
        <v>77</v>
      </c>
      <c r="B50" s="33">
        <f t="shared" si="0"/>
        <v>51.5</v>
      </c>
      <c r="C50" s="33">
        <f>B50*2</f>
        <v>103</v>
      </c>
      <c r="D50" s="234"/>
    </row>
    <row r="51" spans="1:6">
      <c r="A51" s="171" t="s">
        <v>78</v>
      </c>
      <c r="B51" s="33">
        <f t="shared" si="0"/>
        <v>765.5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30528.846100000002</v>
      </c>
      <c r="C5" s="17">
        <f>IF(ISERROR('Eigen informatie GS &amp; warmtenet'!B58),0,'Eigen informatie GS &amp; warmtenet'!B58)</f>
        <v>0</v>
      </c>
      <c r="D5" s="30">
        <f>SUM(D6:D12)</f>
        <v>34185.727933753718</v>
      </c>
      <c r="E5" s="17">
        <f>SUM(E6:E12)</f>
        <v>279.0461910719693</v>
      </c>
      <c r="F5" s="17">
        <f>SUM(F6:F12)</f>
        <v>4437.353583512132</v>
      </c>
      <c r="G5" s="18"/>
      <c r="H5" s="17"/>
      <c r="I5" s="17"/>
      <c r="J5" s="17">
        <f>SUM(J6:J12)</f>
        <v>0</v>
      </c>
      <c r="K5" s="17"/>
      <c r="L5" s="17"/>
      <c r="M5" s="17"/>
      <c r="N5" s="17">
        <f>SUM(N6:N12)</f>
        <v>2657.4300435384239</v>
      </c>
      <c r="O5" s="17">
        <f>B38*B39*B40</f>
        <v>7.8166666666666664</v>
      </c>
      <c r="P5" s="17">
        <f>B46*B47*B48/1000-B46*B47*B48/1000/B49</f>
        <v>38.133333333333333</v>
      </c>
      <c r="R5" s="32"/>
    </row>
    <row r="6" spans="1:18">
      <c r="A6" s="32" t="s">
        <v>54</v>
      </c>
      <c r="B6" s="37">
        <f>B26</f>
        <v>4917.6899999999996</v>
      </c>
      <c r="C6" s="33"/>
      <c r="D6" s="37">
        <f>IF(ISERROR(TER_kantoor_gas_kWh/1000),0,TER_kantoor_gas_kWh/1000)*0.902</f>
        <v>5674.1592455427071</v>
      </c>
      <c r="E6" s="33">
        <f>$C$26*'E Balans VL '!I12/100/3.6*1000000</f>
        <v>14.247269457430244</v>
      </c>
      <c r="F6" s="33">
        <f>$C$26*('E Balans VL '!L12+'E Balans VL '!N12)/100/3.6*1000000</f>
        <v>556.57416288904938</v>
      </c>
      <c r="G6" s="34"/>
      <c r="H6" s="33"/>
      <c r="I6" s="33"/>
      <c r="J6" s="33">
        <f>$C$26*('E Balans VL '!D12+'E Balans VL '!E12)/100/3.6*1000000</f>
        <v>0</v>
      </c>
      <c r="K6" s="33"/>
      <c r="L6" s="33"/>
      <c r="M6" s="33"/>
      <c r="N6" s="33">
        <f>$C$26*'E Balans VL '!Y12/100/3.6*1000000</f>
        <v>49.222453384222476</v>
      </c>
      <c r="O6" s="33"/>
      <c r="P6" s="33"/>
      <c r="R6" s="32"/>
    </row>
    <row r="7" spans="1:18">
      <c r="A7" s="32" t="s">
        <v>53</v>
      </c>
      <c r="B7" s="37">
        <f t="shared" ref="B7:B12" si="0">B27</f>
        <v>2493.2570000000001</v>
      </c>
      <c r="C7" s="33"/>
      <c r="D7" s="37">
        <f>IF(ISERROR(TER_horeca_gas_kWh/1000),0,TER_horeca_gas_kWh/1000)*0.902</f>
        <v>4508.3977564269217</v>
      </c>
      <c r="E7" s="33">
        <f>$C$27*'E Balans VL '!I9/100/3.6*1000000</f>
        <v>104.65996283761734</v>
      </c>
      <c r="F7" s="33">
        <f>$C$27*('E Balans VL '!L9+'E Balans VL '!N9)/100/3.6*1000000</f>
        <v>535.72739550026984</v>
      </c>
      <c r="G7" s="34"/>
      <c r="H7" s="33"/>
      <c r="I7" s="33"/>
      <c r="J7" s="33">
        <f>$C$27*('E Balans VL '!D9+'E Balans VL '!E9)/100/3.6*1000000</f>
        <v>0</v>
      </c>
      <c r="K7" s="33"/>
      <c r="L7" s="33"/>
      <c r="M7" s="33"/>
      <c r="N7" s="33">
        <f>$C$27*'E Balans VL '!Y9/100/3.6*1000000</f>
        <v>0.64249052457653288</v>
      </c>
      <c r="O7" s="33"/>
      <c r="P7" s="33"/>
      <c r="R7" s="32"/>
    </row>
    <row r="8" spans="1:18">
      <c r="A8" s="6" t="s">
        <v>52</v>
      </c>
      <c r="B8" s="37">
        <f t="shared" si="0"/>
        <v>11584.582</v>
      </c>
      <c r="C8" s="33"/>
      <c r="D8" s="37">
        <f>IF(ISERROR(TER_handel_gas_kWh/1000),0,TER_handel_gas_kWh/1000)*0.902</f>
        <v>5277.8031243085507</v>
      </c>
      <c r="E8" s="33">
        <f>$C$28*'E Balans VL '!I13/100/3.6*1000000</f>
        <v>124.42805225352154</v>
      </c>
      <c r="F8" s="33">
        <f>$C$28*('E Balans VL '!L13+'E Balans VL '!N13)/100/3.6*1000000</f>
        <v>1499.7198034060725</v>
      </c>
      <c r="G8" s="34"/>
      <c r="H8" s="33"/>
      <c r="I8" s="33"/>
      <c r="J8" s="33">
        <f>$C$28*('E Balans VL '!D13+'E Balans VL '!E13)/100/3.6*1000000</f>
        <v>0</v>
      </c>
      <c r="K8" s="33"/>
      <c r="L8" s="33"/>
      <c r="M8" s="33"/>
      <c r="N8" s="33">
        <f>$C$28*'E Balans VL '!Y13/100/3.6*1000000</f>
        <v>93.974761729679983</v>
      </c>
      <c r="O8" s="33"/>
      <c r="P8" s="33"/>
      <c r="R8" s="32"/>
    </row>
    <row r="9" spans="1:18">
      <c r="A9" s="32" t="s">
        <v>51</v>
      </c>
      <c r="B9" s="37">
        <f t="shared" si="0"/>
        <v>5698.55</v>
      </c>
      <c r="C9" s="33"/>
      <c r="D9" s="37">
        <f>IF(ISERROR(TER_gezond_gas_kWh/1000),0,TER_gezond_gas_kWh/1000)*0.902</f>
        <v>7894.3225588497398</v>
      </c>
      <c r="E9" s="33">
        <f>$C$29*'E Balans VL '!I10/100/3.6*1000000</f>
        <v>4.5364143723396566</v>
      </c>
      <c r="F9" s="33">
        <f>$C$29*('E Balans VL '!L10+'E Balans VL '!N10)/100/3.6*1000000</f>
        <v>692.74110396492983</v>
      </c>
      <c r="G9" s="34"/>
      <c r="H9" s="33"/>
      <c r="I9" s="33"/>
      <c r="J9" s="33">
        <f>$C$29*('E Balans VL '!D10+'E Balans VL '!E10)/100/3.6*1000000</f>
        <v>0</v>
      </c>
      <c r="K9" s="33"/>
      <c r="L9" s="33"/>
      <c r="M9" s="33"/>
      <c r="N9" s="33">
        <f>$C$29*'E Balans VL '!Y10/100/3.6*1000000</f>
        <v>46.031377168372465</v>
      </c>
      <c r="O9" s="33"/>
      <c r="P9" s="33"/>
      <c r="R9" s="32"/>
    </row>
    <row r="10" spans="1:18">
      <c r="A10" s="32" t="s">
        <v>50</v>
      </c>
      <c r="B10" s="37">
        <f t="shared" si="0"/>
        <v>3237.3310000000001</v>
      </c>
      <c r="C10" s="33"/>
      <c r="D10" s="37">
        <f>IF(ISERROR(TER_ander_gas_kWh/1000),0,TER_ander_gas_kWh/1000)*0.902</f>
        <v>6556.6007092666341</v>
      </c>
      <c r="E10" s="33">
        <f>$C$30*'E Balans VL '!I14/100/3.6*1000000</f>
        <v>11.094503404570466</v>
      </c>
      <c r="F10" s="33">
        <f>$C$30*('E Balans VL '!L14+'E Balans VL '!N14)/100/3.6*1000000</f>
        <v>723.08819576424719</v>
      </c>
      <c r="G10" s="34"/>
      <c r="H10" s="33"/>
      <c r="I10" s="33"/>
      <c r="J10" s="33">
        <f>$C$30*('E Balans VL '!D14+'E Balans VL '!E14)/100/3.6*1000000</f>
        <v>0</v>
      </c>
      <c r="K10" s="33"/>
      <c r="L10" s="33"/>
      <c r="M10" s="33"/>
      <c r="N10" s="33">
        <f>$C$30*'E Balans VL '!Y14/100/3.6*1000000</f>
        <v>2280.3936415935559</v>
      </c>
      <c r="O10" s="33"/>
      <c r="P10" s="33"/>
      <c r="R10" s="32"/>
    </row>
    <row r="11" spans="1:18">
      <c r="A11" s="32" t="s">
        <v>55</v>
      </c>
      <c r="B11" s="37">
        <f t="shared" si="0"/>
        <v>407.64909999999998</v>
      </c>
      <c r="C11" s="33"/>
      <c r="D11" s="37">
        <f>IF(ISERROR(TER_onderwijs_gas_kWh/1000),0,TER_onderwijs_gas_kWh/1000)*0.902</f>
        <v>484.72491667777717</v>
      </c>
      <c r="E11" s="33">
        <f>$C$31*'E Balans VL '!I11/100/3.6*1000000</f>
        <v>0.28179526822578294</v>
      </c>
      <c r="F11" s="33">
        <f>$C$31*('E Balans VL '!L11+'E Balans VL '!N11)/100/3.6*1000000</f>
        <v>106.71069297710346</v>
      </c>
      <c r="G11" s="34"/>
      <c r="H11" s="33"/>
      <c r="I11" s="33"/>
      <c r="J11" s="33">
        <f>$C$31*('E Balans VL '!D11+'E Balans VL '!E11)/100/3.6*1000000</f>
        <v>0</v>
      </c>
      <c r="K11" s="33"/>
      <c r="L11" s="33"/>
      <c r="M11" s="33"/>
      <c r="N11" s="33">
        <f>$C$31*'E Balans VL '!Y11/100/3.6*1000000</f>
        <v>0.40577995820817442</v>
      </c>
      <c r="O11" s="33"/>
      <c r="P11" s="33"/>
      <c r="R11" s="32"/>
    </row>
    <row r="12" spans="1:18">
      <c r="A12" s="32" t="s">
        <v>260</v>
      </c>
      <c r="B12" s="37">
        <f t="shared" si="0"/>
        <v>2189.7869999999998</v>
      </c>
      <c r="C12" s="33"/>
      <c r="D12" s="37">
        <f>IF(ISERROR(TER_rest_gas_kWh/1000),0,TER_rest_gas_kWh/1000)*0.902</f>
        <v>3789.7196226813885</v>
      </c>
      <c r="E12" s="33">
        <f>$C$32*'E Balans VL '!I8/100/3.6*1000000</f>
        <v>19.798193478264295</v>
      </c>
      <c r="F12" s="33">
        <f>$C$32*('E Balans VL '!L8+'E Balans VL '!N8)/100/3.6*1000000</f>
        <v>322.79222901045887</v>
      </c>
      <c r="G12" s="34"/>
      <c r="H12" s="33"/>
      <c r="I12" s="33"/>
      <c r="J12" s="33">
        <f>$C$32*('E Balans VL '!D8+'E Balans VL '!E8)/100/3.6*1000000</f>
        <v>0</v>
      </c>
      <c r="K12" s="33"/>
      <c r="L12" s="33"/>
      <c r="M12" s="33"/>
      <c r="N12" s="33">
        <f>$C$32*'E Balans VL '!Y8/100/3.6*1000000</f>
        <v>186.75953917980829</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30528.846100000002</v>
      </c>
      <c r="C16" s="21">
        <f t="shared" ca="1" si="1"/>
        <v>0</v>
      </c>
      <c r="D16" s="21">
        <f t="shared" ca="1" si="1"/>
        <v>34185.727933753718</v>
      </c>
      <c r="E16" s="21">
        <f t="shared" si="1"/>
        <v>279.0461910719693</v>
      </c>
      <c r="F16" s="21">
        <f t="shared" ca="1" si="1"/>
        <v>4437.353583512132</v>
      </c>
      <c r="G16" s="21">
        <f t="shared" si="1"/>
        <v>0</v>
      </c>
      <c r="H16" s="21">
        <f t="shared" si="1"/>
        <v>0</v>
      </c>
      <c r="I16" s="21">
        <f t="shared" si="1"/>
        <v>0</v>
      </c>
      <c r="J16" s="21">
        <f t="shared" si="1"/>
        <v>0</v>
      </c>
      <c r="K16" s="21">
        <f t="shared" si="1"/>
        <v>0</v>
      </c>
      <c r="L16" s="21">
        <f t="shared" ca="1" si="1"/>
        <v>0</v>
      </c>
      <c r="M16" s="21">
        <f t="shared" si="1"/>
        <v>0</v>
      </c>
      <c r="N16" s="21">
        <f t="shared" ca="1" si="1"/>
        <v>2657.4300435384239</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0.20740902121400331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6331.9580883939425</v>
      </c>
      <c r="C20" s="23">
        <f t="shared" ref="C20:P20" ca="1" si="2">C16*C18</f>
        <v>0</v>
      </c>
      <c r="D20" s="23">
        <f t="shared" ca="1" si="2"/>
        <v>6905.5170426182513</v>
      </c>
      <c r="E20" s="23">
        <f t="shared" si="2"/>
        <v>63.343485373337032</v>
      </c>
      <c r="F20" s="23">
        <f t="shared" ca="1" si="2"/>
        <v>1184.7734067977392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4917.6899999999996</v>
      </c>
      <c r="C26" s="39">
        <f>IF(ISERROR(B26*3.6/1000000/'E Balans VL '!Z12*100),0,B26*3.6/1000000/'E Balans VL '!Z12*100)</f>
        <v>0.10802274626896216</v>
      </c>
      <c r="D26" s="237" t="s">
        <v>692</v>
      </c>
      <c r="F26" s="6"/>
    </row>
    <row r="27" spans="1:18">
      <c r="A27" s="231" t="s">
        <v>53</v>
      </c>
      <c r="B27" s="33">
        <f>IF(ISERROR(TER_horeca_ele_kWh/1000),0,TER_horeca_ele_kWh/1000)</f>
        <v>2493.2570000000001</v>
      </c>
      <c r="C27" s="39">
        <f>IF(ISERROR(B27*3.6/1000000/'E Balans VL '!Z9*100),0,B27*3.6/1000000/'E Balans VL '!Z9*100)</f>
        <v>0.20035805302931775</v>
      </c>
      <c r="D27" s="237" t="s">
        <v>692</v>
      </c>
      <c r="F27" s="6"/>
    </row>
    <row r="28" spans="1:18">
      <c r="A28" s="171" t="s">
        <v>52</v>
      </c>
      <c r="B28" s="33">
        <f>IF(ISERROR(TER_handel_ele_kWh/1000),0,TER_handel_ele_kWh/1000)</f>
        <v>11584.582</v>
      </c>
      <c r="C28" s="39">
        <f>IF(ISERROR(B28*3.6/1000000/'E Balans VL '!Z13*100),0,B28*3.6/1000000/'E Balans VL '!Z13*100)</f>
        <v>0.3425479965810862</v>
      </c>
      <c r="D28" s="237" t="s">
        <v>692</v>
      </c>
      <c r="F28" s="6"/>
    </row>
    <row r="29" spans="1:18">
      <c r="A29" s="231" t="s">
        <v>51</v>
      </c>
      <c r="B29" s="33">
        <f>IF(ISERROR(TER_gezond_ele_kWh/1000),0,TER_gezond_ele_kWh/1000)</f>
        <v>5698.55</v>
      </c>
      <c r="C29" s="39">
        <f>IF(ISERROR(B29*3.6/1000000/'E Balans VL '!Z10*100),0,B29*3.6/1000000/'E Balans VL '!Z10*100)</f>
        <v>0.64207946140797756</v>
      </c>
      <c r="D29" s="237" t="s">
        <v>692</v>
      </c>
      <c r="F29" s="6"/>
    </row>
    <row r="30" spans="1:18">
      <c r="A30" s="231" t="s">
        <v>50</v>
      </c>
      <c r="B30" s="33">
        <f>IF(ISERROR(TER_ander_ele_kWh/1000),0,TER_ander_ele_kWh/1000)</f>
        <v>3237.3310000000001</v>
      </c>
      <c r="C30" s="39">
        <f>IF(ISERROR(B30*3.6/1000000/'E Balans VL '!Z14*100),0,B30*3.6/1000000/'E Balans VL '!Z14*100)</f>
        <v>0.24483380956262518</v>
      </c>
      <c r="D30" s="237" t="s">
        <v>692</v>
      </c>
      <c r="F30" s="6"/>
    </row>
    <row r="31" spans="1:18">
      <c r="A31" s="231" t="s">
        <v>55</v>
      </c>
      <c r="B31" s="33">
        <f>IF(ISERROR(TER_onderwijs_ele_kWh/1000),0,TER_onderwijs_ele_kWh/1000)</f>
        <v>407.64909999999998</v>
      </c>
      <c r="C31" s="39">
        <f>IF(ISERROR(B31*3.6/1000000/'E Balans VL '!Z11*100),0,B31*3.6/1000000/'E Balans VL '!Z11*100)</f>
        <v>8.4618489992401291E-2</v>
      </c>
      <c r="D31" s="237" t="s">
        <v>692</v>
      </c>
    </row>
    <row r="32" spans="1:18">
      <c r="A32" s="231" t="s">
        <v>260</v>
      </c>
      <c r="B32" s="33">
        <f>IF(ISERROR(TER_rest_ele_kWh/1000),0,TER_rest_ele_kWh/1000)</f>
        <v>2189.7869999999998</v>
      </c>
      <c r="C32" s="39">
        <f>IF(ISERROR(B32*3.6/1000000/'E Balans VL '!Z8*100),0,B32*3.6/1000000/'E Balans VL '!Z8*100)</f>
        <v>1.8447667266932605E-2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139115.109</v>
      </c>
      <c r="C5" s="17">
        <f>IF(ISERROR('Eigen informatie GS &amp; warmtenet'!B59),0,'Eigen informatie GS &amp; warmtenet'!B59)</f>
        <v>0</v>
      </c>
      <c r="D5" s="30">
        <f>SUM(D6:D15)</f>
        <v>165429.79566927467</v>
      </c>
      <c r="E5" s="17">
        <f>SUM(E6:E15)</f>
        <v>19069.035674809373</v>
      </c>
      <c r="F5" s="17">
        <f>SUM(F6:F15)</f>
        <v>90561.276334177339</v>
      </c>
      <c r="G5" s="18"/>
      <c r="H5" s="17"/>
      <c r="I5" s="17"/>
      <c r="J5" s="17">
        <f>SUM(J6:J15)</f>
        <v>617.68480637103482</v>
      </c>
      <c r="K5" s="17"/>
      <c r="L5" s="17"/>
      <c r="M5" s="17"/>
      <c r="N5" s="17">
        <f>SUM(N6:N15)</f>
        <v>38301.777258578615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1111.7739999999999</v>
      </c>
      <c r="C8" s="33"/>
      <c r="D8" s="37">
        <f>IF( ISERROR(IND_metaal_Gas_kWH/1000),0,IND_metaal_Gas_kWH/1000)*0.902</f>
        <v>148.24386507044866</v>
      </c>
      <c r="E8" s="33">
        <f>C30*'E Balans VL '!I18/100/3.6*1000000</f>
        <v>27.82381209436193</v>
      </c>
      <c r="F8" s="33">
        <f>C30*'E Balans VL '!L18/100/3.6*1000000+C30*'E Balans VL '!N18/100/3.6*1000000</f>
        <v>348.43550184828536</v>
      </c>
      <c r="G8" s="34"/>
      <c r="H8" s="33"/>
      <c r="I8" s="33"/>
      <c r="J8" s="40">
        <f>C30*'E Balans VL '!D18/100/3.6*1000000+C30*'E Balans VL '!E18/100/3.6*1000000</f>
        <v>0</v>
      </c>
      <c r="K8" s="33"/>
      <c r="L8" s="33"/>
      <c r="M8" s="33"/>
      <c r="N8" s="33">
        <f>C30*'E Balans VL '!Y18/100/3.6*1000000</f>
        <v>27.930648185130547</v>
      </c>
      <c r="O8" s="33"/>
      <c r="P8" s="33"/>
      <c r="R8" s="32"/>
    </row>
    <row r="9" spans="1:18">
      <c r="A9" s="6" t="s">
        <v>33</v>
      </c>
      <c r="B9" s="37">
        <f t="shared" si="0"/>
        <v>58927.413</v>
      </c>
      <c r="C9" s="33"/>
      <c r="D9" s="37">
        <f>IF( ISERROR(IND_andere_gas_kWh/1000),0,IND_andere_gas_kWh/1000)*0.902</f>
        <v>6024.037857078557</v>
      </c>
      <c r="E9" s="33">
        <f>C31*'E Balans VL '!I19/100/3.6*1000000</f>
        <v>16202.621663879785</v>
      </c>
      <c r="F9" s="33">
        <f>C31*'E Balans VL '!L19/100/3.6*1000000+C31*'E Balans VL '!N19/100/3.6*1000000</f>
        <v>46445.055550085897</v>
      </c>
      <c r="G9" s="34"/>
      <c r="H9" s="33"/>
      <c r="I9" s="33"/>
      <c r="J9" s="40">
        <f>C31*'E Balans VL '!D19/100/3.6*1000000+C31*'E Balans VL '!E19/100/3.6*1000000</f>
        <v>0</v>
      </c>
      <c r="K9" s="33"/>
      <c r="L9" s="33"/>
      <c r="M9" s="33"/>
      <c r="N9" s="33">
        <f>C31*'E Balans VL '!Y19/100/3.6*1000000</f>
        <v>19076.359011519973</v>
      </c>
      <c r="O9" s="33"/>
      <c r="P9" s="33"/>
      <c r="R9" s="32"/>
    </row>
    <row r="10" spans="1:18">
      <c r="A10" s="6" t="s">
        <v>41</v>
      </c>
      <c r="B10" s="37">
        <f t="shared" si="0"/>
        <v>16689.527999999998</v>
      </c>
      <c r="C10" s="33"/>
      <c r="D10" s="37">
        <f>IF( ISERROR(IND_voed_gas_kWh/1000),0,IND_voed_gas_kWh/1000)*0.902</f>
        <v>2477.5149430667443</v>
      </c>
      <c r="E10" s="33">
        <f>C32*'E Balans VL '!I20/100/3.6*1000000</f>
        <v>170.14054364656181</v>
      </c>
      <c r="F10" s="33">
        <f>C32*'E Balans VL '!L20/100/3.6*1000000+C32*'E Balans VL '!N20/100/3.6*1000000</f>
        <v>31526.414009078548</v>
      </c>
      <c r="G10" s="34"/>
      <c r="H10" s="33"/>
      <c r="I10" s="33"/>
      <c r="J10" s="40">
        <f>C32*'E Balans VL '!D20/100/3.6*1000000+C32*'E Balans VL '!E20/100/3.6*1000000</f>
        <v>399.43501342284986</v>
      </c>
      <c r="K10" s="33"/>
      <c r="L10" s="33"/>
      <c r="M10" s="33"/>
      <c r="N10" s="33">
        <f>C32*'E Balans VL '!Y20/100/3.6*1000000</f>
        <v>8797.3036538943143</v>
      </c>
      <c r="O10" s="33"/>
      <c r="P10" s="33"/>
      <c r="R10" s="32"/>
    </row>
    <row r="11" spans="1:18">
      <c r="A11" s="6" t="s">
        <v>40</v>
      </c>
      <c r="B11" s="37">
        <f t="shared" si="0"/>
        <v>8198.6679999999997</v>
      </c>
      <c r="C11" s="33"/>
      <c r="D11" s="37">
        <f>IF( ISERROR(IND_textiel_gas_kWh/1000),0,IND_textiel_gas_kWh/1000)*0.902</f>
        <v>109.82423285535664</v>
      </c>
      <c r="E11" s="33">
        <f>C33*'E Balans VL '!I21/100/3.6*1000000</f>
        <v>21.730481131882289</v>
      </c>
      <c r="F11" s="33">
        <f>C33*'E Balans VL '!L21/100/3.6*1000000+C33*'E Balans VL '!N21/100/3.6*1000000</f>
        <v>366.16097043580828</v>
      </c>
      <c r="G11" s="34"/>
      <c r="H11" s="33"/>
      <c r="I11" s="33"/>
      <c r="J11" s="40">
        <f>C33*'E Balans VL '!D21/100/3.6*1000000+C33*'E Balans VL '!E21/100/3.6*1000000</f>
        <v>0</v>
      </c>
      <c r="K11" s="33"/>
      <c r="L11" s="33"/>
      <c r="M11" s="33"/>
      <c r="N11" s="33">
        <f>C33*'E Balans VL '!Y21/100/3.6*1000000</f>
        <v>77.266585146862241</v>
      </c>
      <c r="O11" s="33"/>
      <c r="P11" s="33"/>
      <c r="R11" s="32"/>
    </row>
    <row r="12" spans="1:18">
      <c r="A12" s="6" t="s">
        <v>37</v>
      </c>
      <c r="B12" s="37">
        <f t="shared" si="0"/>
        <v>328.03890000000001</v>
      </c>
      <c r="C12" s="33"/>
      <c r="D12" s="37">
        <f>IF( ISERROR(IND_min_gas_kWh/1000),0,IND_min_gas_kWh/1000)*0.902</f>
        <v>0</v>
      </c>
      <c r="E12" s="33">
        <f>C34*'E Balans VL '!I22/100/3.6*1000000</f>
        <v>0.99348143874148953</v>
      </c>
      <c r="F12" s="33">
        <f>C34*'E Balans VL '!L22/100/3.6*1000000+C34*'E Balans VL '!N22/100/3.6*1000000</f>
        <v>10.251497651886176</v>
      </c>
      <c r="G12" s="34"/>
      <c r="H12" s="33"/>
      <c r="I12" s="33"/>
      <c r="J12" s="40">
        <f>C34*'E Balans VL '!D22/100/3.6*1000000+C34*'E Balans VL '!E22/100/3.6*1000000</f>
        <v>0.48640886781658976</v>
      </c>
      <c r="K12" s="33"/>
      <c r="L12" s="33"/>
      <c r="M12" s="33"/>
      <c r="N12" s="33">
        <f>C34*'E Balans VL '!Y22/100/3.6*1000000</f>
        <v>0</v>
      </c>
      <c r="O12" s="33"/>
      <c r="P12" s="33"/>
      <c r="R12" s="32"/>
    </row>
    <row r="13" spans="1:18">
      <c r="A13" s="6" t="s">
        <v>39</v>
      </c>
      <c r="B13" s="37">
        <f t="shared" si="0"/>
        <v>1325.924</v>
      </c>
      <c r="C13" s="33"/>
      <c r="D13" s="37">
        <f>IF( ISERROR(IND_papier_gas_kWh/1000),0,IND_papier_gas_kWh/1000)*0.902</f>
        <v>909.30910580775662</v>
      </c>
      <c r="E13" s="33">
        <f>C35*'E Balans VL '!I23/100/3.6*1000000</f>
        <v>2.7460781017149327</v>
      </c>
      <c r="F13" s="33">
        <f>C35*'E Balans VL '!L23/100/3.6*1000000+C35*'E Balans VL '!N23/100/3.6*1000000</f>
        <v>26.29591547512749</v>
      </c>
      <c r="G13" s="34"/>
      <c r="H13" s="33"/>
      <c r="I13" s="33"/>
      <c r="J13" s="40">
        <f>C35*'E Balans VL '!D23/100/3.6*1000000+C35*'E Balans VL '!E23/100/3.6*1000000</f>
        <v>0</v>
      </c>
      <c r="K13" s="33"/>
      <c r="L13" s="33"/>
      <c r="M13" s="33"/>
      <c r="N13" s="33">
        <f>C35*'E Balans VL '!Y23/100/3.6*1000000</f>
        <v>559.86858316459006</v>
      </c>
      <c r="O13" s="33"/>
      <c r="P13" s="33"/>
      <c r="R13" s="32"/>
    </row>
    <row r="14" spans="1:18">
      <c r="A14" s="6" t="s">
        <v>34</v>
      </c>
      <c r="B14" s="37">
        <f t="shared" si="0"/>
        <v>627.62810000000002</v>
      </c>
      <c r="C14" s="33"/>
      <c r="D14" s="37">
        <f>IF( ISERROR(IND_chemie_gas_kWh/1000),0,IND_chemie_gas_kWh/1000)*0.902</f>
        <v>0</v>
      </c>
      <c r="E14" s="33">
        <f>C36*'E Balans VL '!I24/100/3.6*1000000</f>
        <v>2.3530808933179532</v>
      </c>
      <c r="F14" s="33">
        <f>C36*'E Balans VL '!L24/100/3.6*1000000+C36*'E Balans VL '!N24/100/3.6*1000000</f>
        <v>7.301795514386054</v>
      </c>
      <c r="G14" s="34"/>
      <c r="H14" s="33"/>
      <c r="I14" s="33"/>
      <c r="J14" s="40">
        <f>C36*'E Balans VL '!D24/100/3.6*1000000+C36*'E Balans VL '!E24/100/3.6*1000000</f>
        <v>0</v>
      </c>
      <c r="K14" s="33"/>
      <c r="L14" s="33"/>
      <c r="M14" s="33"/>
      <c r="N14" s="33">
        <f>C36*'E Balans VL '!Y24/100/3.6*1000000</f>
        <v>10.722724877531927</v>
      </c>
      <c r="O14" s="33"/>
      <c r="P14" s="33"/>
      <c r="R14" s="32"/>
    </row>
    <row r="15" spans="1:18">
      <c r="A15" s="6" t="s">
        <v>270</v>
      </c>
      <c r="B15" s="37">
        <f t="shared" si="0"/>
        <v>51906.135000000002</v>
      </c>
      <c r="C15" s="33"/>
      <c r="D15" s="37">
        <f>IF( ISERROR(IND_rest_gas_kWh/1000),0,IND_rest_gas_kWh/1000)*0.902</f>
        <v>155760.8656653958</v>
      </c>
      <c r="E15" s="33">
        <f>C37*'E Balans VL '!I15/100/3.6*1000000</f>
        <v>2640.6265336230049</v>
      </c>
      <c r="F15" s="33">
        <f>C37*'E Balans VL '!L15/100/3.6*1000000+C37*'E Balans VL '!N15/100/3.6*1000000</f>
        <v>11831.361094087391</v>
      </c>
      <c r="G15" s="34"/>
      <c r="H15" s="33"/>
      <c r="I15" s="33"/>
      <c r="J15" s="40">
        <f>C37*'E Balans VL '!D15/100/3.6*1000000+C37*'E Balans VL '!E15/100/3.6*1000000</f>
        <v>217.76338408036841</v>
      </c>
      <c r="K15" s="33"/>
      <c r="L15" s="33"/>
      <c r="M15" s="33"/>
      <c r="N15" s="33">
        <f>C37*'E Balans VL '!Y15/100/3.6*1000000</f>
        <v>9752.3260517902108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139115.109</v>
      </c>
      <c r="C18" s="21">
        <f>C5+C16</f>
        <v>0</v>
      </c>
      <c r="D18" s="21">
        <f>MAX((D5+D16),0)</f>
        <v>165429.79566927467</v>
      </c>
      <c r="E18" s="21">
        <f>MAX((E5+E16),0)</f>
        <v>19069.035674809373</v>
      </c>
      <c r="F18" s="21">
        <f>MAX((F5+F16),0)</f>
        <v>90561.276334177339</v>
      </c>
      <c r="G18" s="21"/>
      <c r="H18" s="21"/>
      <c r="I18" s="21"/>
      <c r="J18" s="21">
        <f>MAX((J5+J16),0)</f>
        <v>617.68480637103482</v>
      </c>
      <c r="K18" s="21"/>
      <c r="L18" s="21">
        <f>MAX((L5+L16),0)</f>
        <v>0</v>
      </c>
      <c r="M18" s="21"/>
      <c r="N18" s="21">
        <f>MAX((N5+N16),0)</f>
        <v>38301.777258578615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0.20740902121400331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28853.728593769381</v>
      </c>
      <c r="C22" s="23">
        <f ca="1">C18*C20</f>
        <v>0</v>
      </c>
      <c r="D22" s="23">
        <f>D18*D20</f>
        <v>33416.818725193487</v>
      </c>
      <c r="E22" s="23">
        <f>E18*E20</f>
        <v>4328.6710981817278</v>
      </c>
      <c r="F22" s="23">
        <f>F18*F20</f>
        <v>24179.86078122535</v>
      </c>
      <c r="G22" s="23"/>
      <c r="H22" s="23"/>
      <c r="I22" s="23"/>
      <c r="J22" s="23">
        <f>J18*J20</f>
        <v>218.66042145534632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1111.7739999999999</v>
      </c>
      <c r="C30" s="39">
        <f>IF(ISERROR(B30*3.6/1000000/'E Balans VL '!Z18*100),0,B30*3.6/1000000/'E Balans VL '!Z18*100)</f>
        <v>0.15561130972214426</v>
      </c>
      <c r="D30" s="237" t="s">
        <v>692</v>
      </c>
    </row>
    <row r="31" spans="1:18">
      <c r="A31" s="6" t="s">
        <v>33</v>
      </c>
      <c r="B31" s="37">
        <f>IF( ISERROR(IND_ander_ele_kWh/1000),0,IND_ander_ele_kWh/1000)</f>
        <v>58927.413</v>
      </c>
      <c r="C31" s="39">
        <f>IF(ISERROR(B31*3.6/1000000/'E Balans VL '!Z19*100),0,B31*3.6/1000000/'E Balans VL '!Z19*100)</f>
        <v>2.5792433076254682</v>
      </c>
      <c r="D31" s="237" t="s">
        <v>692</v>
      </c>
    </row>
    <row r="32" spans="1:18">
      <c r="A32" s="171" t="s">
        <v>41</v>
      </c>
      <c r="B32" s="37">
        <f>IF( ISERROR(IND_voed_ele_kWh/1000),0,IND_voed_ele_kWh/1000)</f>
        <v>16689.527999999998</v>
      </c>
      <c r="C32" s="39">
        <f>IF(ISERROR(B32*3.6/1000000/'E Balans VL '!Z20*100),0,B32*3.6/1000000/'E Balans VL '!Z20*100)</f>
        <v>4.1317729009128739</v>
      </c>
      <c r="D32" s="237" t="s">
        <v>692</v>
      </c>
    </row>
    <row r="33" spans="1:5">
      <c r="A33" s="171" t="s">
        <v>40</v>
      </c>
      <c r="B33" s="37">
        <f>IF( ISERROR(IND_textiel_ele_kWh/1000),0,IND_textiel_ele_kWh/1000)</f>
        <v>8198.6679999999997</v>
      </c>
      <c r="C33" s="39">
        <f>IF(ISERROR(B33*3.6/1000000/'E Balans VL '!Z21*100),0,B33*3.6/1000000/'E Balans VL '!Z21*100)</f>
        <v>0.92384546273262746</v>
      </c>
      <c r="D33" s="237" t="s">
        <v>692</v>
      </c>
    </row>
    <row r="34" spans="1:5">
      <c r="A34" s="171" t="s">
        <v>37</v>
      </c>
      <c r="B34" s="37">
        <f>IF( ISERROR(IND_min_ele_kWh/1000),0,IND_min_ele_kWh/1000)</f>
        <v>328.03890000000001</v>
      </c>
      <c r="C34" s="39">
        <f>IF(ISERROR(B34*3.6/1000000/'E Balans VL '!Z22*100),0,B34*3.6/1000000/'E Balans VL '!Z22*100)</f>
        <v>9.3084056552156444E-3</v>
      </c>
      <c r="D34" s="237" t="s">
        <v>692</v>
      </c>
    </row>
    <row r="35" spans="1:5">
      <c r="A35" s="171" t="s">
        <v>39</v>
      </c>
      <c r="B35" s="37">
        <f>IF( ISERROR(IND_papier_ele_kWh/1000),0,IND_papier_ele_kWh/1000)</f>
        <v>1325.924</v>
      </c>
      <c r="C35" s="39">
        <f>IF(ISERROR(B35*3.6/1000000/'E Balans VL '!Z22*100),0,B35*3.6/1000000/'E Balans VL '!Z22*100)</f>
        <v>3.7624313640809509E-2</v>
      </c>
      <c r="D35" s="237" t="s">
        <v>692</v>
      </c>
    </row>
    <row r="36" spans="1:5">
      <c r="A36" s="171" t="s">
        <v>34</v>
      </c>
      <c r="B36" s="37">
        <f>IF( ISERROR(IND_chemie_ele_kWh/1000),0,IND_chemie_ele_kWh/1000)</f>
        <v>627.62810000000002</v>
      </c>
      <c r="C36" s="39">
        <f>IF(ISERROR(B36*3.6/1000000/'E Balans VL '!Z24*100),0,B36*3.6/1000000/'E Balans VL '!Z24*100)</f>
        <v>1.6003558578059598E-2</v>
      </c>
      <c r="D36" s="237" t="s">
        <v>692</v>
      </c>
    </row>
    <row r="37" spans="1:5">
      <c r="A37" s="171" t="s">
        <v>270</v>
      </c>
      <c r="B37" s="37">
        <f>IF( ISERROR(IND_rest_ele_kWh/1000),0,IND_rest_ele_kWh/1000)</f>
        <v>51906.135000000002</v>
      </c>
      <c r="C37" s="39">
        <f>IF(ISERROR(B37*3.6/1000000/'E Balans VL '!Z15*100),0,B37*3.6/1000000/'E Balans VL '!Z15*100)</f>
        <v>0.3848751043186342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12636.63494</v>
      </c>
      <c r="C5" s="17">
        <f>'Eigen informatie GS &amp; warmtenet'!B60</f>
        <v>0</v>
      </c>
      <c r="D5" s="30">
        <f>IF(ISERROR(SUM(LB_lb_gas_kWh,LB_rest_gas_kWh)/1000),0,SUM(LB_lb_gas_kWh,LB_rest_gas_kWh)/1000)*0.902</f>
        <v>438.33304298494653</v>
      </c>
      <c r="E5" s="17">
        <f>B17*'E Balans VL '!I25/3.6*1000000/100</f>
        <v>117.04580552350886</v>
      </c>
      <c r="F5" s="17">
        <f>B17*('E Balans VL '!L25/3.6*1000000+'E Balans VL '!N25/3.6*1000000)/100</f>
        <v>32061.55011926567</v>
      </c>
      <c r="G5" s="18"/>
      <c r="H5" s="17"/>
      <c r="I5" s="17"/>
      <c r="J5" s="17">
        <f>('E Balans VL '!D25+'E Balans VL '!E25)/3.6*1000000*landbouw!B17/100</f>
        <v>1937.3371615595261</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12636.63494</v>
      </c>
      <c r="C8" s="21">
        <f>C5+C6</f>
        <v>0</v>
      </c>
      <c r="D8" s="21">
        <f>MAX((D5+D6),0)</f>
        <v>438.33304298494653</v>
      </c>
      <c r="E8" s="21">
        <f>MAX((E5+E6),0)</f>
        <v>117.04580552350886</v>
      </c>
      <c r="F8" s="21">
        <f>MAX((F5+F6),0)</f>
        <v>32061.55011926567</v>
      </c>
      <c r="G8" s="21"/>
      <c r="H8" s="21"/>
      <c r="I8" s="21"/>
      <c r="J8" s="21">
        <f>MAX((J5+J6),0)</f>
        <v>1937.3371615595261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0.20740902121400331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2620.9520843440755</v>
      </c>
      <c r="C12" s="23">
        <f ca="1">C8*C10</f>
        <v>0</v>
      </c>
      <c r="D12" s="23">
        <f>D8*D10</f>
        <v>88.543274682959208</v>
      </c>
      <c r="E12" s="23">
        <f>E8*E10</f>
        <v>26.569397853836513</v>
      </c>
      <c r="F12" s="23">
        <f>F8*F10</f>
        <v>8560.4338818439337</v>
      </c>
      <c r="G12" s="23"/>
      <c r="H12" s="23"/>
      <c r="I12" s="23"/>
      <c r="J12" s="23">
        <f>J8*J10</f>
        <v>685.81735519207223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1.7966615454935779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1420.9776412470392</v>
      </c>
      <c r="C26" s="247">
        <f>B26*'GWP N2O_CH4'!B5</f>
        <v>29840.530466187822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932.18454090945613</v>
      </c>
      <c r="C27" s="247">
        <f>B27*'GWP N2O_CH4'!B5</f>
        <v>19575.87535909858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20.789383586483115</v>
      </c>
      <c r="C28" s="247">
        <f>B28*'GWP N2O_CH4'!B4</f>
        <v>6444.7089118097656</v>
      </c>
      <c r="D28" s="50"/>
    </row>
    <row r="29" spans="1:4">
      <c r="A29" s="41" t="s">
        <v>277</v>
      </c>
      <c r="B29" s="247">
        <f>B34*'ha_N2O bodem landbouw'!B4</f>
        <v>33.70795615552511</v>
      </c>
      <c r="C29" s="247">
        <f>B29*'GWP N2O_CH4'!B4</f>
        <v>10449.466408212784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7.5601007221588745E-3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5.0211378127094615E-5</v>
      </c>
      <c r="C5" s="464" t="s">
        <v>211</v>
      </c>
      <c r="D5" s="449">
        <f>SUM(D6:D11)</f>
        <v>1.3328247753897226E-4</v>
      </c>
      <c r="E5" s="449">
        <f>SUM(E6:E11)</f>
        <v>8.4805765936426137E-4</v>
      </c>
      <c r="F5" s="462" t="s">
        <v>211</v>
      </c>
      <c r="G5" s="449">
        <f>SUM(G6:G11)</f>
        <v>0.28549246557638486</v>
      </c>
      <c r="H5" s="449">
        <f>SUM(H6:H11)</f>
        <v>5.0361085421466716E-2</v>
      </c>
      <c r="I5" s="464" t="s">
        <v>211</v>
      </c>
      <c r="J5" s="464" t="s">
        <v>211</v>
      </c>
      <c r="K5" s="464" t="s">
        <v>211</v>
      </c>
      <c r="L5" s="464" t="s">
        <v>211</v>
      </c>
      <c r="M5" s="449">
        <f>SUM(M6:M11)</f>
        <v>1.8064735004288065E-2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4.0573012889838813E-5</v>
      </c>
      <c r="C6" s="450"/>
      <c r="D6" s="893">
        <f>vkm_2011_GW_PW*SUMIFS(TableVerdeelsleutelVkm[CNG],TableVerdeelsleutelVkm[Voertuigtype],"Lichte voertuigen")*SUMIFS(TableECFTransport[EnergieConsumptieFactor (PJ per km)],TableECFTransport[Index],CONCATENATE($A6,"_CNG_CNG"))</f>
        <v>9.3849845717876239E-5</v>
      </c>
      <c r="E6" s="893">
        <f>vkm_2011_GW_PW*SUMIFS(TableVerdeelsleutelVkm[LPG],TableVerdeelsleutelVkm[Voertuigtype],"Lichte voertuigen")*SUMIFS(TableECFTransport[EnergieConsumptieFactor (PJ per km)],TableECFTransport[Index],CONCATENATE($A6,"_LPG_LPG"))</f>
        <v>6.1109352098046824E-4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0.12695015794888276</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3.5784626022392824E-2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8.4450916820870588E-3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9.5328389950386117E-2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3.2600578118825238E-5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5.515287704465693E-3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9.6383652372558022E-6</v>
      </c>
      <c r="C8" s="450"/>
      <c r="D8" s="452">
        <f>vkm_2011_NGW_PW*SUMIFS(TableVerdeelsleutelVkm[CNG],TableVerdeelsleutelVkm[Voertuigtype],"Lichte voertuigen")*SUMIFS(TableECFTransport[EnergieConsumptieFactor (PJ per km)],TableECFTransport[Index],CONCATENATE($A8,"_CNG_CNG"))</f>
        <v>3.943263182109601E-5</v>
      </c>
      <c r="E8" s="452">
        <f>vkm_2011_NGW_PW*SUMIFS(TableVerdeelsleutelVkm[LPG],TableVerdeelsleutelVkm[Voertuigtype],"Lichte voertuigen")*SUMIFS(TableECFTransport[EnergieConsumptieFactor (PJ per km)],TableECFTransport[Index],CONCATENATE($A8,"_LPG_LPG"))</f>
        <v>2.3696413838379316E-4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4.6018087558523463E-2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1.4538294450637491E-2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3.1094891121222685E-3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1.7195830118592492E-2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5.564370317572902E-6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9.9486650561304347E-4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13.947605035304059</v>
      </c>
      <c r="C14" s="21"/>
      <c r="D14" s="21">
        <f t="shared" ref="D14:M14" si="0">((D5)*10^9/3600)+D12</f>
        <v>37.022910427492292</v>
      </c>
      <c r="E14" s="21">
        <f t="shared" si="0"/>
        <v>235.57157204562813</v>
      </c>
      <c r="F14" s="21"/>
      <c r="G14" s="21">
        <f t="shared" si="0"/>
        <v>79303.462660106903</v>
      </c>
      <c r="H14" s="21">
        <f t="shared" si="0"/>
        <v>13989.190394851865</v>
      </c>
      <c r="I14" s="21"/>
      <c r="J14" s="21"/>
      <c r="K14" s="21"/>
      <c r="L14" s="21"/>
      <c r="M14" s="21">
        <f t="shared" si="0"/>
        <v>5017.9819456355735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0.20740902121400331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2.8928591086519191</v>
      </c>
      <c r="C18" s="23"/>
      <c r="D18" s="23">
        <f t="shared" ref="D18:M18" si="1">D14*D16</f>
        <v>7.4786279063534433</v>
      </c>
      <c r="E18" s="23">
        <f t="shared" si="1"/>
        <v>53.474746854357591</v>
      </c>
      <c r="F18" s="23"/>
      <c r="G18" s="23">
        <f t="shared" si="1"/>
        <v>21174.024530248545</v>
      </c>
      <c r="H18" s="23">
        <f t="shared" si="1"/>
        <v>3483.3084083181143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4.2753807375232175E-3</v>
      </c>
      <c r="H50" s="321">
        <f t="shared" si="2"/>
        <v>0</v>
      </c>
      <c r="I50" s="321">
        <f t="shared" si="2"/>
        <v>0</v>
      </c>
      <c r="J50" s="321">
        <f t="shared" si="2"/>
        <v>0</v>
      </c>
      <c r="K50" s="321">
        <f t="shared" si="2"/>
        <v>0</v>
      </c>
      <c r="L50" s="321">
        <f t="shared" si="2"/>
        <v>0</v>
      </c>
      <c r="M50" s="321">
        <f t="shared" si="2"/>
        <v>2.4381250005282908E-4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4.2753807375232175E-3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2.4381250005282908E-4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1187.605760423116</v>
      </c>
      <c r="H54" s="21">
        <f t="shared" si="3"/>
        <v>0</v>
      </c>
      <c r="I54" s="21">
        <f t="shared" si="3"/>
        <v>0</v>
      </c>
      <c r="J54" s="21">
        <f t="shared" si="3"/>
        <v>0</v>
      </c>
      <c r="K54" s="21">
        <f t="shared" si="3"/>
        <v>0</v>
      </c>
      <c r="L54" s="21">
        <f t="shared" si="3"/>
        <v>0</v>
      </c>
      <c r="M54" s="21">
        <f t="shared" si="3"/>
        <v>67.725694459119183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0.20740902121400331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317.09073803297196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32306.515100000004</v>
      </c>
      <c r="D10" s="1025">
        <f ca="1">tertiair!C16</f>
        <v>0</v>
      </c>
      <c r="E10" s="1025">
        <f ca="1">tertiair!D16</f>
        <v>34185.727933753718</v>
      </c>
      <c r="F10" s="1025">
        <f>tertiair!E16</f>
        <v>279.0461910719693</v>
      </c>
      <c r="G10" s="1025">
        <f ca="1">tertiair!F16</f>
        <v>4437.353583512132</v>
      </c>
      <c r="H10" s="1025">
        <f>tertiair!G16</f>
        <v>0</v>
      </c>
      <c r="I10" s="1025">
        <f>tertiair!H16</f>
        <v>0</v>
      </c>
      <c r="J10" s="1025">
        <f>tertiair!I16</f>
        <v>0</v>
      </c>
      <c r="K10" s="1025">
        <f>tertiair!J16</f>
        <v>0</v>
      </c>
      <c r="L10" s="1025">
        <f>tertiair!K16</f>
        <v>0</v>
      </c>
      <c r="M10" s="1025">
        <f ca="1">tertiair!L16</f>
        <v>0</v>
      </c>
      <c r="N10" s="1025">
        <f>tertiair!M16</f>
        <v>0</v>
      </c>
      <c r="O10" s="1025">
        <f ca="1">tertiair!N16</f>
        <v>2657.4300435384239</v>
      </c>
      <c r="P10" s="1025">
        <f>tertiair!O16</f>
        <v>7.8166666666666664</v>
      </c>
      <c r="Q10" s="1026">
        <f>tertiair!P16</f>
        <v>38.133333333333333</v>
      </c>
      <c r="R10" s="701">
        <f ca="1">SUM(C10:Q10)</f>
        <v>73912.022851876245</v>
      </c>
      <c r="S10" s="67"/>
    </row>
    <row r="11" spans="1:19" s="474" customFormat="1">
      <c r="A11" s="810" t="s">
        <v>225</v>
      </c>
      <c r="B11" s="815"/>
      <c r="C11" s="1025">
        <f>huishoudens!B8</f>
        <v>35067.862486623882</v>
      </c>
      <c r="D11" s="1025">
        <f>huishoudens!C8</f>
        <v>0</v>
      </c>
      <c r="E11" s="1025">
        <f>huishoudens!D8</f>
        <v>69384.491011883714</v>
      </c>
      <c r="F11" s="1025">
        <f>huishoudens!E8</f>
        <v>5716.6539326995644</v>
      </c>
      <c r="G11" s="1025">
        <f>huishoudens!F8</f>
        <v>18843.919994881144</v>
      </c>
      <c r="H11" s="1025">
        <f>huishoudens!G8</f>
        <v>0</v>
      </c>
      <c r="I11" s="1025">
        <f>huishoudens!H8</f>
        <v>0</v>
      </c>
      <c r="J11" s="1025">
        <f>huishoudens!I8</f>
        <v>0</v>
      </c>
      <c r="K11" s="1025">
        <f>huishoudens!J8</f>
        <v>1811.4725232446842</v>
      </c>
      <c r="L11" s="1025">
        <f>huishoudens!K8</f>
        <v>0</v>
      </c>
      <c r="M11" s="1025">
        <f>huishoudens!L8</f>
        <v>0</v>
      </c>
      <c r="N11" s="1025">
        <f>huishoudens!M8</f>
        <v>0</v>
      </c>
      <c r="O11" s="1025">
        <f>huishoudens!N8</f>
        <v>17393.65005994173</v>
      </c>
      <c r="P11" s="1025">
        <f>huishoudens!O8</f>
        <v>329.86333333333334</v>
      </c>
      <c r="Q11" s="1026">
        <f>huishoudens!P8</f>
        <v>800.8</v>
      </c>
      <c r="R11" s="701">
        <f>SUM(C11:Q11)</f>
        <v>149348.71334260804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139115.109</v>
      </c>
      <c r="D13" s="1025">
        <f>industrie!C18</f>
        <v>0</v>
      </c>
      <c r="E13" s="1025">
        <f>industrie!D18</f>
        <v>165429.79566927467</v>
      </c>
      <c r="F13" s="1025">
        <f>industrie!E18</f>
        <v>19069.035674809373</v>
      </c>
      <c r="G13" s="1025">
        <f>industrie!F18</f>
        <v>90561.276334177339</v>
      </c>
      <c r="H13" s="1025">
        <f>industrie!G18</f>
        <v>0</v>
      </c>
      <c r="I13" s="1025">
        <f>industrie!H18</f>
        <v>0</v>
      </c>
      <c r="J13" s="1025">
        <f>industrie!I18</f>
        <v>0</v>
      </c>
      <c r="K13" s="1025">
        <f>industrie!J18</f>
        <v>617.68480637103482</v>
      </c>
      <c r="L13" s="1025">
        <f>industrie!K18</f>
        <v>0</v>
      </c>
      <c r="M13" s="1025">
        <f>industrie!L18</f>
        <v>0</v>
      </c>
      <c r="N13" s="1025">
        <f>industrie!M18</f>
        <v>0</v>
      </c>
      <c r="O13" s="1025">
        <f>industrie!N18</f>
        <v>38301.777258578615</v>
      </c>
      <c r="P13" s="1025">
        <f>industrie!O18</f>
        <v>0</v>
      </c>
      <c r="Q13" s="1026">
        <f>industrie!P18</f>
        <v>0</v>
      </c>
      <c r="R13" s="701">
        <f>SUM(C13:Q13)</f>
        <v>453094.67874321109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206489.48658662388</v>
      </c>
      <c r="D16" s="733">
        <f t="shared" ref="D16:R16" ca="1" si="0">SUM(D9:D15)</f>
        <v>0</v>
      </c>
      <c r="E16" s="733">
        <f t="shared" ca="1" si="0"/>
        <v>269000.0146149121</v>
      </c>
      <c r="F16" s="733">
        <f t="shared" si="0"/>
        <v>25064.735798580907</v>
      </c>
      <c r="G16" s="733">
        <f t="shared" ca="1" si="0"/>
        <v>113842.54991257061</v>
      </c>
      <c r="H16" s="733">
        <f t="shared" si="0"/>
        <v>0</v>
      </c>
      <c r="I16" s="733">
        <f t="shared" si="0"/>
        <v>0</v>
      </c>
      <c r="J16" s="733">
        <f t="shared" si="0"/>
        <v>0</v>
      </c>
      <c r="K16" s="733">
        <f t="shared" si="0"/>
        <v>2429.1573296157189</v>
      </c>
      <c r="L16" s="733">
        <f t="shared" si="0"/>
        <v>0</v>
      </c>
      <c r="M16" s="733">
        <f t="shared" ca="1" si="0"/>
        <v>0</v>
      </c>
      <c r="N16" s="733">
        <f t="shared" si="0"/>
        <v>0</v>
      </c>
      <c r="O16" s="733">
        <f t="shared" ca="1" si="0"/>
        <v>58352.85736205877</v>
      </c>
      <c r="P16" s="733">
        <f t="shared" si="0"/>
        <v>337.68</v>
      </c>
      <c r="Q16" s="733">
        <f t="shared" si="0"/>
        <v>838.93333333333328</v>
      </c>
      <c r="R16" s="733">
        <f t="shared" ca="1" si="0"/>
        <v>676355.41493769537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1187.605760423116</v>
      </c>
      <c r="I19" s="1025">
        <f>transport!H54</f>
        <v>0</v>
      </c>
      <c r="J19" s="1025">
        <f>transport!I54</f>
        <v>0</v>
      </c>
      <c r="K19" s="1025">
        <f>transport!J54</f>
        <v>0</v>
      </c>
      <c r="L19" s="1025">
        <f>transport!K54</f>
        <v>0</v>
      </c>
      <c r="M19" s="1025">
        <f>transport!L54</f>
        <v>0</v>
      </c>
      <c r="N19" s="1025">
        <f>transport!M54</f>
        <v>67.725694459119183</v>
      </c>
      <c r="O19" s="1025">
        <f>transport!N54</f>
        <v>0</v>
      </c>
      <c r="P19" s="1025">
        <f>transport!O54</f>
        <v>0</v>
      </c>
      <c r="Q19" s="1026">
        <f>transport!P54</f>
        <v>0</v>
      </c>
      <c r="R19" s="701">
        <f>SUM(C19:Q19)</f>
        <v>1255.3314548822352</v>
      </c>
      <c r="S19" s="67"/>
    </row>
    <row r="20" spans="1:19" s="474" customFormat="1">
      <c r="A20" s="810" t="s">
        <v>307</v>
      </c>
      <c r="B20" s="815"/>
      <c r="C20" s="1025">
        <f>transport!B14</f>
        <v>13.947605035304059</v>
      </c>
      <c r="D20" s="1025">
        <f>transport!C14</f>
        <v>0</v>
      </c>
      <c r="E20" s="1025">
        <f>transport!D14</f>
        <v>37.022910427492292</v>
      </c>
      <c r="F20" s="1025">
        <f>transport!E14</f>
        <v>235.57157204562813</v>
      </c>
      <c r="G20" s="1025">
        <f>transport!F14</f>
        <v>0</v>
      </c>
      <c r="H20" s="1025">
        <f>transport!G14</f>
        <v>79303.462660106903</v>
      </c>
      <c r="I20" s="1025">
        <f>transport!H14</f>
        <v>13989.190394851865</v>
      </c>
      <c r="J20" s="1025">
        <f>transport!I14</f>
        <v>0</v>
      </c>
      <c r="K20" s="1025">
        <f>transport!J14</f>
        <v>0</v>
      </c>
      <c r="L20" s="1025">
        <f>transport!K14</f>
        <v>0</v>
      </c>
      <c r="M20" s="1025">
        <f>transport!L14</f>
        <v>0</v>
      </c>
      <c r="N20" s="1025">
        <f>transport!M14</f>
        <v>5017.9819456355735</v>
      </c>
      <c r="O20" s="1025">
        <f>transport!N14</f>
        <v>0</v>
      </c>
      <c r="P20" s="1025">
        <f>transport!O14</f>
        <v>0</v>
      </c>
      <c r="Q20" s="1026">
        <f>transport!P14</f>
        <v>0</v>
      </c>
      <c r="R20" s="701">
        <f>SUM(C20:Q20)</f>
        <v>98597.177088102762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13.947605035304059</v>
      </c>
      <c r="D22" s="813">
        <f t="shared" ref="D22:R22" si="1">SUM(D18:D21)</f>
        <v>0</v>
      </c>
      <c r="E22" s="813">
        <f t="shared" si="1"/>
        <v>37.022910427492292</v>
      </c>
      <c r="F22" s="813">
        <f t="shared" si="1"/>
        <v>235.57157204562813</v>
      </c>
      <c r="G22" s="813">
        <f t="shared" si="1"/>
        <v>0</v>
      </c>
      <c r="H22" s="813">
        <f t="shared" si="1"/>
        <v>80491.06842053002</v>
      </c>
      <c r="I22" s="813">
        <f t="shared" si="1"/>
        <v>13989.190394851865</v>
      </c>
      <c r="J22" s="813">
        <f t="shared" si="1"/>
        <v>0</v>
      </c>
      <c r="K22" s="813">
        <f t="shared" si="1"/>
        <v>0</v>
      </c>
      <c r="L22" s="813">
        <f t="shared" si="1"/>
        <v>0</v>
      </c>
      <c r="M22" s="813">
        <f t="shared" si="1"/>
        <v>0</v>
      </c>
      <c r="N22" s="813">
        <f t="shared" si="1"/>
        <v>5085.7076400946926</v>
      </c>
      <c r="O22" s="813">
        <f t="shared" si="1"/>
        <v>0</v>
      </c>
      <c r="P22" s="813">
        <f t="shared" si="1"/>
        <v>0</v>
      </c>
      <c r="Q22" s="813">
        <f t="shared" si="1"/>
        <v>0</v>
      </c>
      <c r="R22" s="813">
        <f t="shared" si="1"/>
        <v>99852.508542985001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12636.63494</v>
      </c>
      <c r="D24" s="1025">
        <f>+landbouw!C8</f>
        <v>0</v>
      </c>
      <c r="E24" s="1025">
        <f>+landbouw!D8</f>
        <v>438.33304298494653</v>
      </c>
      <c r="F24" s="1025">
        <f>+landbouw!E8</f>
        <v>117.04580552350886</v>
      </c>
      <c r="G24" s="1025">
        <f>+landbouw!F8</f>
        <v>32061.55011926567</v>
      </c>
      <c r="H24" s="1025">
        <f>+landbouw!G8</f>
        <v>0</v>
      </c>
      <c r="I24" s="1025">
        <f>+landbouw!H8</f>
        <v>0</v>
      </c>
      <c r="J24" s="1025">
        <f>+landbouw!I8</f>
        <v>0</v>
      </c>
      <c r="K24" s="1025">
        <f>+landbouw!J8</f>
        <v>1937.3371615595261</v>
      </c>
      <c r="L24" s="1025">
        <f>+landbouw!K8</f>
        <v>0</v>
      </c>
      <c r="M24" s="1025">
        <f>+landbouw!L8</f>
        <v>0</v>
      </c>
      <c r="N24" s="1025">
        <f>+landbouw!M8</f>
        <v>0</v>
      </c>
      <c r="O24" s="1025">
        <f>+landbouw!N8</f>
        <v>0</v>
      </c>
      <c r="P24" s="1025">
        <f>+landbouw!O8</f>
        <v>0</v>
      </c>
      <c r="Q24" s="1026">
        <f>+landbouw!P8</f>
        <v>0</v>
      </c>
      <c r="R24" s="701">
        <f>SUM(C24:Q24)</f>
        <v>47190.901069333646</v>
      </c>
      <c r="S24" s="67"/>
    </row>
    <row r="25" spans="1:19" s="474" customFormat="1" ht="15" thickBot="1">
      <c r="A25" s="832" t="s">
        <v>864</v>
      </c>
      <c r="B25" s="1028"/>
      <c r="C25" s="1029">
        <f>IF(Onbekend_ele_kWh="---",0,Onbekend_ele_kWh)/1000+IF(REST_rest_ele_kWh="---",0,REST_rest_ele_kWh)/1000</f>
        <v>3138.8739999999998</v>
      </c>
      <c r="D25" s="1029"/>
      <c r="E25" s="1029">
        <f>IF(onbekend_gas_kWh="---",0,onbekend_gas_kWh)/1000+IF(REST_rest_gas_kWh="---",0,REST_rest_gas_kWh)/1000</f>
        <v>4104.6274228277998</v>
      </c>
      <c r="F25" s="1029"/>
      <c r="G25" s="1029"/>
      <c r="H25" s="1029"/>
      <c r="I25" s="1029"/>
      <c r="J25" s="1029"/>
      <c r="K25" s="1029"/>
      <c r="L25" s="1029"/>
      <c r="M25" s="1029"/>
      <c r="N25" s="1029"/>
      <c r="O25" s="1029"/>
      <c r="P25" s="1029"/>
      <c r="Q25" s="1030"/>
      <c r="R25" s="701">
        <f>SUM(C25:Q25)</f>
        <v>7243.5014228277996</v>
      </c>
      <c r="S25" s="67"/>
    </row>
    <row r="26" spans="1:19" s="474" customFormat="1" ht="15.75" thickBot="1">
      <c r="A26" s="706" t="s">
        <v>865</v>
      </c>
      <c r="B26" s="818"/>
      <c r="C26" s="813">
        <f>SUM(C24:C25)</f>
        <v>15775.50894</v>
      </c>
      <c r="D26" s="813">
        <f t="shared" ref="D26:R26" si="2">SUM(D24:D25)</f>
        <v>0</v>
      </c>
      <c r="E26" s="813">
        <f t="shared" si="2"/>
        <v>4542.9604658127464</v>
      </c>
      <c r="F26" s="813">
        <f t="shared" si="2"/>
        <v>117.04580552350886</v>
      </c>
      <c r="G26" s="813">
        <f t="shared" si="2"/>
        <v>32061.55011926567</v>
      </c>
      <c r="H26" s="813">
        <f t="shared" si="2"/>
        <v>0</v>
      </c>
      <c r="I26" s="813">
        <f t="shared" si="2"/>
        <v>0</v>
      </c>
      <c r="J26" s="813">
        <f t="shared" si="2"/>
        <v>0</v>
      </c>
      <c r="K26" s="813">
        <f t="shared" si="2"/>
        <v>1937.3371615595261</v>
      </c>
      <c r="L26" s="813">
        <f t="shared" si="2"/>
        <v>0</v>
      </c>
      <c r="M26" s="813">
        <f t="shared" si="2"/>
        <v>0</v>
      </c>
      <c r="N26" s="813">
        <f t="shared" si="2"/>
        <v>0</v>
      </c>
      <c r="O26" s="813">
        <f t="shared" si="2"/>
        <v>0</v>
      </c>
      <c r="P26" s="813">
        <f t="shared" si="2"/>
        <v>0</v>
      </c>
      <c r="Q26" s="813">
        <f t="shared" si="2"/>
        <v>0</v>
      </c>
      <c r="R26" s="813">
        <f t="shared" si="2"/>
        <v>54434.402492161447</v>
      </c>
      <c r="S26" s="67"/>
    </row>
    <row r="27" spans="1:19" s="474" customFormat="1" ht="17.25" thickTop="1" thickBot="1">
      <c r="A27" s="707" t="s">
        <v>116</v>
      </c>
      <c r="B27" s="806"/>
      <c r="C27" s="708">
        <f ca="1">C22+C16+C26</f>
        <v>222278.94313165918</v>
      </c>
      <c r="D27" s="708">
        <f t="shared" ref="D27:R27" ca="1" si="3">D22+D16+D26</f>
        <v>0</v>
      </c>
      <c r="E27" s="708">
        <f t="shared" ca="1" si="3"/>
        <v>273579.99799115234</v>
      </c>
      <c r="F27" s="708">
        <f t="shared" si="3"/>
        <v>25417.353176150045</v>
      </c>
      <c r="G27" s="708">
        <f t="shared" ca="1" si="3"/>
        <v>145904.10003183628</v>
      </c>
      <c r="H27" s="708">
        <f t="shared" si="3"/>
        <v>80491.06842053002</v>
      </c>
      <c r="I27" s="708">
        <f t="shared" si="3"/>
        <v>13989.190394851865</v>
      </c>
      <c r="J27" s="708">
        <f t="shared" si="3"/>
        <v>0</v>
      </c>
      <c r="K27" s="708">
        <f t="shared" si="3"/>
        <v>4366.4944911752445</v>
      </c>
      <c r="L27" s="708">
        <f t="shared" si="3"/>
        <v>0</v>
      </c>
      <c r="M27" s="708">
        <f t="shared" ca="1" si="3"/>
        <v>0</v>
      </c>
      <c r="N27" s="708">
        <f t="shared" si="3"/>
        <v>5085.7076400946926</v>
      </c>
      <c r="O27" s="708">
        <f t="shared" ca="1" si="3"/>
        <v>58352.85736205877</v>
      </c>
      <c r="P27" s="708">
        <f t="shared" si="3"/>
        <v>337.68</v>
      </c>
      <c r="Q27" s="708">
        <f t="shared" si="3"/>
        <v>838.93333333333328</v>
      </c>
      <c r="R27" s="708">
        <f t="shared" ca="1" si="3"/>
        <v>830642.32597284182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6700.6626757264185</v>
      </c>
      <c r="D40" s="1025">
        <f ca="1">tertiair!C20</f>
        <v>0</v>
      </c>
      <c r="E40" s="1025">
        <f ca="1">tertiair!D20</f>
        <v>6905.5170426182513</v>
      </c>
      <c r="F40" s="1025">
        <f>tertiair!E20</f>
        <v>63.343485373337032</v>
      </c>
      <c r="G40" s="1025">
        <f ca="1">tertiair!F20</f>
        <v>1184.7734067977392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14854.296610515747</v>
      </c>
    </row>
    <row r="41" spans="1:18">
      <c r="A41" s="823" t="s">
        <v>225</v>
      </c>
      <c r="B41" s="830"/>
      <c r="C41" s="1025">
        <f ca="1">huishoudens!B12</f>
        <v>7273.3910344179239</v>
      </c>
      <c r="D41" s="1025">
        <f ca="1">huishoudens!C12</f>
        <v>0</v>
      </c>
      <c r="E41" s="1025">
        <f>huishoudens!D12</f>
        <v>14015.66718440051</v>
      </c>
      <c r="F41" s="1025">
        <f>huishoudens!E12</f>
        <v>1297.6804427228012</v>
      </c>
      <c r="G41" s="1025">
        <f>huishoudens!F12</f>
        <v>5031.3266386332652</v>
      </c>
      <c r="H41" s="1025">
        <f>huishoudens!G12</f>
        <v>0</v>
      </c>
      <c r="I41" s="1025">
        <f>huishoudens!H12</f>
        <v>0</v>
      </c>
      <c r="J41" s="1025">
        <f>huishoudens!I12</f>
        <v>0</v>
      </c>
      <c r="K41" s="1025">
        <f>huishoudens!J12</f>
        <v>641.26127322861817</v>
      </c>
      <c r="L41" s="1025">
        <f>huishoudens!K12</f>
        <v>0</v>
      </c>
      <c r="M41" s="1025">
        <f>huishoudens!L12</f>
        <v>0</v>
      </c>
      <c r="N41" s="1025">
        <f>huishoudens!M12</f>
        <v>0</v>
      </c>
      <c r="O41" s="1025">
        <f>huishoudens!N12</f>
        <v>0</v>
      </c>
      <c r="P41" s="1025">
        <f>huishoudens!O12</f>
        <v>0</v>
      </c>
      <c r="Q41" s="775">
        <f>huishoudens!P12</f>
        <v>0</v>
      </c>
      <c r="R41" s="851">
        <f t="shared" ca="1" si="4"/>
        <v>28259.326573403119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28853.728593769381</v>
      </c>
      <c r="D43" s="1025">
        <f ca="1">industrie!C22</f>
        <v>0</v>
      </c>
      <c r="E43" s="1025">
        <f>industrie!D22</f>
        <v>33416.818725193487</v>
      </c>
      <c r="F43" s="1025">
        <f>industrie!E22</f>
        <v>4328.6710981817278</v>
      </c>
      <c r="G43" s="1025">
        <f>industrie!F22</f>
        <v>24179.86078122535</v>
      </c>
      <c r="H43" s="1025">
        <f>industrie!G22</f>
        <v>0</v>
      </c>
      <c r="I43" s="1025">
        <f>industrie!H22</f>
        <v>0</v>
      </c>
      <c r="J43" s="1025">
        <f>industrie!I22</f>
        <v>0</v>
      </c>
      <c r="K43" s="1025">
        <f>industrie!J22</f>
        <v>218.66042145534632</v>
      </c>
      <c r="L43" s="1025">
        <f>industrie!K22</f>
        <v>0</v>
      </c>
      <c r="M43" s="1025">
        <f>industrie!L22</f>
        <v>0</v>
      </c>
      <c r="N43" s="1025">
        <f>industrie!M22</f>
        <v>0</v>
      </c>
      <c r="O43" s="1025">
        <f>industrie!N22</f>
        <v>0</v>
      </c>
      <c r="P43" s="1025">
        <f>industrie!O22</f>
        <v>0</v>
      </c>
      <c r="Q43" s="775">
        <f>industrie!P22</f>
        <v>0</v>
      </c>
      <c r="R43" s="850">
        <f t="shared" ca="1" si="4"/>
        <v>90997.739619825297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42827.782303913722</v>
      </c>
      <c r="D46" s="733">
        <f t="shared" ref="D46:Q46" ca="1" si="5">SUM(D39:D45)</f>
        <v>0</v>
      </c>
      <c r="E46" s="733">
        <f t="shared" ca="1" si="5"/>
        <v>54338.00295221225</v>
      </c>
      <c r="F46" s="733">
        <f t="shared" si="5"/>
        <v>5689.6950262778664</v>
      </c>
      <c r="G46" s="733">
        <f t="shared" ca="1" si="5"/>
        <v>30395.960826656355</v>
      </c>
      <c r="H46" s="733">
        <f t="shared" si="5"/>
        <v>0</v>
      </c>
      <c r="I46" s="733">
        <f t="shared" si="5"/>
        <v>0</v>
      </c>
      <c r="J46" s="733">
        <f t="shared" si="5"/>
        <v>0</v>
      </c>
      <c r="K46" s="733">
        <f t="shared" si="5"/>
        <v>859.92169468396446</v>
      </c>
      <c r="L46" s="733">
        <f t="shared" si="5"/>
        <v>0</v>
      </c>
      <c r="M46" s="733">
        <f t="shared" ca="1" si="5"/>
        <v>0</v>
      </c>
      <c r="N46" s="733">
        <f t="shared" si="5"/>
        <v>0</v>
      </c>
      <c r="O46" s="733">
        <f t="shared" ca="1" si="5"/>
        <v>0</v>
      </c>
      <c r="P46" s="733">
        <f t="shared" si="5"/>
        <v>0</v>
      </c>
      <c r="Q46" s="733">
        <f t="shared" si="5"/>
        <v>0</v>
      </c>
      <c r="R46" s="733">
        <f ca="1">SUM(R39:R45)</f>
        <v>134111.36280374415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317.09073803297196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317.09073803297196</v>
      </c>
    </row>
    <row r="50" spans="1:18">
      <c r="A50" s="826" t="s">
        <v>307</v>
      </c>
      <c r="B50" s="836"/>
      <c r="C50" s="704">
        <f ca="1">transport!B18</f>
        <v>2.8928591086519191</v>
      </c>
      <c r="D50" s="704">
        <f>transport!C18</f>
        <v>0</v>
      </c>
      <c r="E50" s="704">
        <f>transport!D18</f>
        <v>7.4786279063534433</v>
      </c>
      <c r="F50" s="704">
        <f>transport!E18</f>
        <v>53.474746854357591</v>
      </c>
      <c r="G50" s="704">
        <f>transport!F18</f>
        <v>0</v>
      </c>
      <c r="H50" s="704">
        <f>transport!G18</f>
        <v>21174.024530248545</v>
      </c>
      <c r="I50" s="704">
        <f>transport!H18</f>
        <v>3483.3084083181143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24721.179172436023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2.8928591086519191</v>
      </c>
      <c r="D52" s="733">
        <f t="shared" ref="D52:Q52" ca="1" si="6">SUM(D48:D51)</f>
        <v>0</v>
      </c>
      <c r="E52" s="733">
        <f t="shared" si="6"/>
        <v>7.4786279063534433</v>
      </c>
      <c r="F52" s="733">
        <f t="shared" si="6"/>
        <v>53.474746854357591</v>
      </c>
      <c r="G52" s="733">
        <f t="shared" si="6"/>
        <v>0</v>
      </c>
      <c r="H52" s="733">
        <f t="shared" si="6"/>
        <v>21491.115268281519</v>
      </c>
      <c r="I52" s="733">
        <f t="shared" si="6"/>
        <v>3483.3084083181143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25038.269910468996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2620.9520843440755</v>
      </c>
      <c r="D54" s="704">
        <f ca="1">+landbouw!C12</f>
        <v>0</v>
      </c>
      <c r="E54" s="704">
        <f>+landbouw!D12</f>
        <v>88.543274682959208</v>
      </c>
      <c r="F54" s="704">
        <f>+landbouw!E12</f>
        <v>26.569397853836513</v>
      </c>
      <c r="G54" s="704">
        <f>+landbouw!F12</f>
        <v>8560.4338818439337</v>
      </c>
      <c r="H54" s="704">
        <f>+landbouw!G12</f>
        <v>0</v>
      </c>
      <c r="I54" s="704">
        <f>+landbouw!H12</f>
        <v>0</v>
      </c>
      <c r="J54" s="704">
        <f>+landbouw!I12</f>
        <v>0</v>
      </c>
      <c r="K54" s="704">
        <f>+landbouw!J12</f>
        <v>685.81735519207223</v>
      </c>
      <c r="L54" s="704">
        <f>+landbouw!K12</f>
        <v>0</v>
      </c>
      <c r="M54" s="704">
        <f>+landbouw!L12</f>
        <v>0</v>
      </c>
      <c r="N54" s="704">
        <f>+landbouw!M12</f>
        <v>0</v>
      </c>
      <c r="O54" s="704">
        <f>+landbouw!N12</f>
        <v>0</v>
      </c>
      <c r="P54" s="704">
        <f>+landbouw!O12</f>
        <v>0</v>
      </c>
      <c r="Q54" s="705">
        <f>+landbouw!P12</f>
        <v>0</v>
      </c>
      <c r="R54" s="732">
        <f ca="1">SUM(C54:Q54)</f>
        <v>11982.315993916876</v>
      </c>
    </row>
    <row r="55" spans="1:18" ht="15" thickBot="1">
      <c r="A55" s="826" t="s">
        <v>864</v>
      </c>
      <c r="B55" s="836"/>
      <c r="C55" s="704">
        <f ca="1">C25*'EF ele_warmte'!B12</f>
        <v>651.03078405408337</v>
      </c>
      <c r="D55" s="704"/>
      <c r="E55" s="704">
        <f>E25*EF_CO2_aardgas</f>
        <v>829.13473941121561</v>
      </c>
      <c r="F55" s="704"/>
      <c r="G55" s="704"/>
      <c r="H55" s="704"/>
      <c r="I55" s="704"/>
      <c r="J55" s="704"/>
      <c r="K55" s="704"/>
      <c r="L55" s="704"/>
      <c r="M55" s="704"/>
      <c r="N55" s="704"/>
      <c r="O55" s="704"/>
      <c r="P55" s="704"/>
      <c r="Q55" s="705"/>
      <c r="R55" s="732">
        <f ca="1">SUM(C55:Q55)</f>
        <v>1480.165523465299</v>
      </c>
    </row>
    <row r="56" spans="1:18" ht="15.75" thickBot="1">
      <c r="A56" s="824" t="s">
        <v>865</v>
      </c>
      <c r="B56" s="837"/>
      <c r="C56" s="733">
        <f ca="1">SUM(C54:C55)</f>
        <v>3271.9828683981586</v>
      </c>
      <c r="D56" s="733">
        <f t="shared" ref="D56:Q56" ca="1" si="7">SUM(D54:D55)</f>
        <v>0</v>
      </c>
      <c r="E56" s="733">
        <f t="shared" si="7"/>
        <v>917.67801409417484</v>
      </c>
      <c r="F56" s="733">
        <f t="shared" si="7"/>
        <v>26.569397853836513</v>
      </c>
      <c r="G56" s="733">
        <f t="shared" si="7"/>
        <v>8560.4338818439337</v>
      </c>
      <c r="H56" s="733">
        <f t="shared" si="7"/>
        <v>0</v>
      </c>
      <c r="I56" s="733">
        <f t="shared" si="7"/>
        <v>0</v>
      </c>
      <c r="J56" s="733">
        <f t="shared" si="7"/>
        <v>0</v>
      </c>
      <c r="K56" s="733">
        <f t="shared" si="7"/>
        <v>685.81735519207223</v>
      </c>
      <c r="L56" s="733">
        <f t="shared" si="7"/>
        <v>0</v>
      </c>
      <c r="M56" s="733">
        <f t="shared" si="7"/>
        <v>0</v>
      </c>
      <c r="N56" s="733">
        <f t="shared" si="7"/>
        <v>0</v>
      </c>
      <c r="O56" s="733">
        <f t="shared" si="7"/>
        <v>0</v>
      </c>
      <c r="P56" s="733">
        <f t="shared" si="7"/>
        <v>0</v>
      </c>
      <c r="Q56" s="734">
        <f t="shared" si="7"/>
        <v>0</v>
      </c>
      <c r="R56" s="735">
        <f ca="1">SUM(R54:R55)</f>
        <v>13462.481517382175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46102.658031420535</v>
      </c>
      <c r="D61" s="741">
        <f t="shared" ref="D61:Q61" ca="1" si="8">D46+D52+D56</f>
        <v>0</v>
      </c>
      <c r="E61" s="741">
        <f t="shared" ca="1" si="8"/>
        <v>55263.159594212782</v>
      </c>
      <c r="F61" s="741">
        <f t="shared" si="8"/>
        <v>5769.7391709860603</v>
      </c>
      <c r="G61" s="741">
        <f t="shared" ca="1" si="8"/>
        <v>38956.394708500287</v>
      </c>
      <c r="H61" s="741">
        <f t="shared" si="8"/>
        <v>21491.115268281519</v>
      </c>
      <c r="I61" s="741">
        <f t="shared" si="8"/>
        <v>3483.3084083181143</v>
      </c>
      <c r="J61" s="741">
        <f t="shared" si="8"/>
        <v>0</v>
      </c>
      <c r="K61" s="741">
        <f t="shared" si="8"/>
        <v>1545.7390498760367</v>
      </c>
      <c r="L61" s="741">
        <f t="shared" si="8"/>
        <v>0</v>
      </c>
      <c r="M61" s="741">
        <f t="shared" ca="1" si="8"/>
        <v>0</v>
      </c>
      <c r="N61" s="741">
        <f t="shared" si="8"/>
        <v>0</v>
      </c>
      <c r="O61" s="741">
        <f t="shared" ca="1" si="8"/>
        <v>0</v>
      </c>
      <c r="P61" s="741">
        <f t="shared" si="8"/>
        <v>0</v>
      </c>
      <c r="Q61" s="741">
        <f t="shared" si="8"/>
        <v>0</v>
      </c>
      <c r="R61" s="741">
        <f ca="1">R46+R52+R56</f>
        <v>172612.11423159533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0.20740902121400331</v>
      </c>
      <c r="D63" s="782">
        <f t="shared" ca="1" si="9"/>
        <v>0</v>
      </c>
      <c r="E63" s="1036">
        <f t="shared" ca="1" si="9"/>
        <v>0.20200000000000004</v>
      </c>
      <c r="F63" s="782">
        <f t="shared" si="9"/>
        <v>0.22700000000000001</v>
      </c>
      <c r="G63" s="782">
        <f t="shared" ca="1" si="9"/>
        <v>0.26700000000000002</v>
      </c>
      <c r="H63" s="782">
        <f t="shared" si="9"/>
        <v>0.26700000000000007</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13669.63077229026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13669.63077229026</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13669.63077229026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13669.63077229026</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35067.862486623882</v>
      </c>
      <c r="C4" s="478">
        <f>huishoudens!C8</f>
        <v>0</v>
      </c>
      <c r="D4" s="478">
        <f>huishoudens!D8</f>
        <v>69384.491011883714</v>
      </c>
      <c r="E4" s="478">
        <f>huishoudens!E8</f>
        <v>5716.6539326995644</v>
      </c>
      <c r="F4" s="478">
        <f>huishoudens!F8</f>
        <v>18843.919994881144</v>
      </c>
      <c r="G4" s="478">
        <f>huishoudens!G8</f>
        <v>0</v>
      </c>
      <c r="H4" s="478">
        <f>huishoudens!H8</f>
        <v>0</v>
      </c>
      <c r="I4" s="478">
        <f>huishoudens!I8</f>
        <v>0</v>
      </c>
      <c r="J4" s="478">
        <f>huishoudens!J8</f>
        <v>1811.4725232446842</v>
      </c>
      <c r="K4" s="478">
        <f>huishoudens!K8</f>
        <v>0</v>
      </c>
      <c r="L4" s="478">
        <f>huishoudens!L8</f>
        <v>0</v>
      </c>
      <c r="M4" s="478">
        <f>huishoudens!M8</f>
        <v>0</v>
      </c>
      <c r="N4" s="478">
        <f>huishoudens!N8</f>
        <v>17393.65005994173</v>
      </c>
      <c r="O4" s="478">
        <f>huishoudens!O8</f>
        <v>329.86333333333334</v>
      </c>
      <c r="P4" s="479">
        <f>huishoudens!P8</f>
        <v>800.8</v>
      </c>
      <c r="Q4" s="480">
        <f>SUM(B4:P4)</f>
        <v>149348.71334260804</v>
      </c>
    </row>
    <row r="5" spans="1:17">
      <c r="A5" s="477" t="s">
        <v>156</v>
      </c>
      <c r="B5" s="478">
        <f ca="1">tertiair!B16</f>
        <v>30528.846100000002</v>
      </c>
      <c r="C5" s="478">
        <f ca="1">tertiair!C16</f>
        <v>0</v>
      </c>
      <c r="D5" s="478">
        <f ca="1">tertiair!D16</f>
        <v>34185.727933753718</v>
      </c>
      <c r="E5" s="478">
        <f>tertiair!E16</f>
        <v>279.0461910719693</v>
      </c>
      <c r="F5" s="478">
        <f ca="1">tertiair!F16</f>
        <v>4437.353583512132</v>
      </c>
      <c r="G5" s="478">
        <f>tertiair!G16</f>
        <v>0</v>
      </c>
      <c r="H5" s="478">
        <f>tertiair!H16</f>
        <v>0</v>
      </c>
      <c r="I5" s="478">
        <f>tertiair!I16</f>
        <v>0</v>
      </c>
      <c r="J5" s="478">
        <f>tertiair!J16</f>
        <v>0</v>
      </c>
      <c r="K5" s="478">
        <f>tertiair!K16</f>
        <v>0</v>
      </c>
      <c r="L5" s="478">
        <f ca="1">tertiair!L16</f>
        <v>0</v>
      </c>
      <c r="M5" s="478">
        <f>tertiair!M16</f>
        <v>0</v>
      </c>
      <c r="N5" s="478">
        <f ca="1">tertiair!N16</f>
        <v>2657.4300435384239</v>
      </c>
      <c r="O5" s="478">
        <f>tertiair!O16</f>
        <v>7.8166666666666664</v>
      </c>
      <c r="P5" s="479">
        <f>tertiair!P16</f>
        <v>38.133333333333333</v>
      </c>
      <c r="Q5" s="477">
        <f t="shared" ref="Q5:Q14" ca="1" si="0">SUM(B5:P5)</f>
        <v>72134.353851876236</v>
      </c>
    </row>
    <row r="6" spans="1:17">
      <c r="A6" s="477" t="s">
        <v>194</v>
      </c>
      <c r="B6" s="478">
        <f>'openbare verlichting'!B8</f>
        <v>1777.6690000000001</v>
      </c>
      <c r="C6" s="478"/>
      <c r="D6" s="478"/>
      <c r="E6" s="478"/>
      <c r="F6" s="478"/>
      <c r="G6" s="478"/>
      <c r="H6" s="478"/>
      <c r="I6" s="478"/>
      <c r="J6" s="478"/>
      <c r="K6" s="478"/>
      <c r="L6" s="478"/>
      <c r="M6" s="478"/>
      <c r="N6" s="478"/>
      <c r="O6" s="478"/>
      <c r="P6" s="479"/>
      <c r="Q6" s="477">
        <f t="shared" si="0"/>
        <v>1777.6690000000001</v>
      </c>
    </row>
    <row r="7" spans="1:17">
      <c r="A7" s="477" t="s">
        <v>112</v>
      </c>
      <c r="B7" s="478">
        <f>landbouw!B8</f>
        <v>12636.63494</v>
      </c>
      <c r="C7" s="478">
        <f>landbouw!C8</f>
        <v>0</v>
      </c>
      <c r="D7" s="478">
        <f>landbouw!D8</f>
        <v>438.33304298494653</v>
      </c>
      <c r="E7" s="478">
        <f>landbouw!E8</f>
        <v>117.04580552350886</v>
      </c>
      <c r="F7" s="478">
        <f>landbouw!F8</f>
        <v>32061.55011926567</v>
      </c>
      <c r="G7" s="478">
        <f>landbouw!G8</f>
        <v>0</v>
      </c>
      <c r="H7" s="478">
        <f>landbouw!H8</f>
        <v>0</v>
      </c>
      <c r="I7" s="478">
        <f>landbouw!I8</f>
        <v>0</v>
      </c>
      <c r="J7" s="478">
        <f>landbouw!J8</f>
        <v>1937.3371615595261</v>
      </c>
      <c r="K7" s="478">
        <f>landbouw!K8</f>
        <v>0</v>
      </c>
      <c r="L7" s="478">
        <f>landbouw!L8</f>
        <v>0</v>
      </c>
      <c r="M7" s="478">
        <f>landbouw!M8</f>
        <v>0</v>
      </c>
      <c r="N7" s="478">
        <f>landbouw!N8</f>
        <v>0</v>
      </c>
      <c r="O7" s="478">
        <f>landbouw!O8</f>
        <v>0</v>
      </c>
      <c r="P7" s="479">
        <f>landbouw!P8</f>
        <v>0</v>
      </c>
      <c r="Q7" s="477">
        <f t="shared" si="0"/>
        <v>47190.901069333646</v>
      </c>
    </row>
    <row r="8" spans="1:17">
      <c r="A8" s="477" t="s">
        <v>650</v>
      </c>
      <c r="B8" s="478">
        <f>industrie!B18</f>
        <v>139115.109</v>
      </c>
      <c r="C8" s="478">
        <f>industrie!C18</f>
        <v>0</v>
      </c>
      <c r="D8" s="478">
        <f>industrie!D18</f>
        <v>165429.79566927467</v>
      </c>
      <c r="E8" s="478">
        <f>industrie!E18</f>
        <v>19069.035674809373</v>
      </c>
      <c r="F8" s="478">
        <f>industrie!F18</f>
        <v>90561.276334177339</v>
      </c>
      <c r="G8" s="478">
        <f>industrie!G18</f>
        <v>0</v>
      </c>
      <c r="H8" s="478">
        <f>industrie!H18</f>
        <v>0</v>
      </c>
      <c r="I8" s="478">
        <f>industrie!I18</f>
        <v>0</v>
      </c>
      <c r="J8" s="478">
        <f>industrie!J18</f>
        <v>617.68480637103482</v>
      </c>
      <c r="K8" s="478">
        <f>industrie!K18</f>
        <v>0</v>
      </c>
      <c r="L8" s="478">
        <f>industrie!L18</f>
        <v>0</v>
      </c>
      <c r="M8" s="478">
        <f>industrie!M18</f>
        <v>0</v>
      </c>
      <c r="N8" s="478">
        <f>industrie!N18</f>
        <v>38301.777258578615</v>
      </c>
      <c r="O8" s="478">
        <f>industrie!O18</f>
        <v>0</v>
      </c>
      <c r="P8" s="479">
        <f>industrie!P18</f>
        <v>0</v>
      </c>
      <c r="Q8" s="477">
        <f t="shared" si="0"/>
        <v>453094.67874321109</v>
      </c>
    </row>
    <row r="9" spans="1:17" s="483" customFormat="1">
      <c r="A9" s="481" t="s">
        <v>571</v>
      </c>
      <c r="B9" s="482">
        <f>transport!B14</f>
        <v>13.947605035304059</v>
      </c>
      <c r="C9" s="482">
        <f>transport!C14</f>
        <v>0</v>
      </c>
      <c r="D9" s="482">
        <f>transport!D14</f>
        <v>37.022910427492292</v>
      </c>
      <c r="E9" s="482">
        <f>transport!E14</f>
        <v>235.57157204562813</v>
      </c>
      <c r="F9" s="482">
        <f>transport!F14</f>
        <v>0</v>
      </c>
      <c r="G9" s="482">
        <f>transport!G14</f>
        <v>79303.462660106903</v>
      </c>
      <c r="H9" s="482">
        <f>transport!H14</f>
        <v>13989.190394851865</v>
      </c>
      <c r="I9" s="482">
        <f>transport!I14</f>
        <v>0</v>
      </c>
      <c r="J9" s="482">
        <f>transport!J14</f>
        <v>0</v>
      </c>
      <c r="K9" s="482">
        <f>transport!K14</f>
        <v>0</v>
      </c>
      <c r="L9" s="482">
        <f>transport!L14</f>
        <v>0</v>
      </c>
      <c r="M9" s="482">
        <f>transport!M14</f>
        <v>5017.9819456355735</v>
      </c>
      <c r="N9" s="482">
        <f>transport!N14</f>
        <v>0</v>
      </c>
      <c r="O9" s="482">
        <f>transport!O14</f>
        <v>0</v>
      </c>
      <c r="P9" s="482">
        <f>transport!P14</f>
        <v>0</v>
      </c>
      <c r="Q9" s="481">
        <f>SUM(B9:P9)</f>
        <v>98597.177088102762</v>
      </c>
    </row>
    <row r="10" spans="1:17">
      <c r="A10" s="477" t="s">
        <v>561</v>
      </c>
      <c r="B10" s="478">
        <f>transport!B54</f>
        <v>0</v>
      </c>
      <c r="C10" s="478">
        <f>transport!C54</f>
        <v>0</v>
      </c>
      <c r="D10" s="478">
        <f>transport!D54</f>
        <v>0</v>
      </c>
      <c r="E10" s="478">
        <f>transport!E54</f>
        <v>0</v>
      </c>
      <c r="F10" s="478">
        <f>transport!F54</f>
        <v>0</v>
      </c>
      <c r="G10" s="478">
        <f>transport!G54</f>
        <v>1187.605760423116</v>
      </c>
      <c r="H10" s="478">
        <f>transport!H54</f>
        <v>0</v>
      </c>
      <c r="I10" s="478">
        <f>transport!I54</f>
        <v>0</v>
      </c>
      <c r="J10" s="478">
        <f>transport!J54</f>
        <v>0</v>
      </c>
      <c r="K10" s="478">
        <f>transport!K54</f>
        <v>0</v>
      </c>
      <c r="L10" s="478">
        <f>transport!L54</f>
        <v>0</v>
      </c>
      <c r="M10" s="478">
        <f>transport!M54</f>
        <v>67.725694459119183</v>
      </c>
      <c r="N10" s="478">
        <f>transport!N54</f>
        <v>0</v>
      </c>
      <c r="O10" s="478">
        <f>transport!O54</f>
        <v>0</v>
      </c>
      <c r="P10" s="479">
        <f>transport!P54</f>
        <v>0</v>
      </c>
      <c r="Q10" s="477">
        <f t="shared" si="0"/>
        <v>1255.3314548822352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3138.8739999999998</v>
      </c>
      <c r="C14" s="485"/>
      <c r="D14" s="485">
        <f>'SEAP template'!E25</f>
        <v>4104.6274228277998</v>
      </c>
      <c r="E14" s="485"/>
      <c r="F14" s="485"/>
      <c r="G14" s="485"/>
      <c r="H14" s="485"/>
      <c r="I14" s="485"/>
      <c r="J14" s="485"/>
      <c r="K14" s="485"/>
      <c r="L14" s="485"/>
      <c r="M14" s="485"/>
      <c r="N14" s="485"/>
      <c r="O14" s="485"/>
      <c r="P14" s="486"/>
      <c r="Q14" s="477">
        <f t="shared" si="0"/>
        <v>7243.5014228277996</v>
      </c>
    </row>
    <row r="15" spans="1:17" s="487" customFormat="1">
      <c r="A15" s="1051" t="s">
        <v>565</v>
      </c>
      <c r="B15" s="991">
        <f ca="1">SUM(B4:B14)</f>
        <v>222278.94313165921</v>
      </c>
      <c r="C15" s="991">
        <f t="shared" ref="C15:Q15" ca="1" si="1">SUM(C4:C14)</f>
        <v>0</v>
      </c>
      <c r="D15" s="991">
        <f t="shared" ca="1" si="1"/>
        <v>273579.99799115234</v>
      </c>
      <c r="E15" s="991">
        <f t="shared" si="1"/>
        <v>25417.353176150042</v>
      </c>
      <c r="F15" s="991">
        <f t="shared" ca="1" si="1"/>
        <v>145904.10003183628</v>
      </c>
      <c r="G15" s="991">
        <f t="shared" si="1"/>
        <v>80491.06842053002</v>
      </c>
      <c r="H15" s="991">
        <f t="shared" si="1"/>
        <v>13989.190394851865</v>
      </c>
      <c r="I15" s="991">
        <f t="shared" si="1"/>
        <v>0</v>
      </c>
      <c r="J15" s="991">
        <f t="shared" si="1"/>
        <v>4366.4944911752455</v>
      </c>
      <c r="K15" s="991">
        <f t="shared" si="1"/>
        <v>0</v>
      </c>
      <c r="L15" s="991">
        <f t="shared" ca="1" si="1"/>
        <v>0</v>
      </c>
      <c r="M15" s="991">
        <f t="shared" si="1"/>
        <v>5085.7076400946926</v>
      </c>
      <c r="N15" s="991">
        <f t="shared" ca="1" si="1"/>
        <v>58352.85736205877</v>
      </c>
      <c r="O15" s="991">
        <f t="shared" si="1"/>
        <v>337.68</v>
      </c>
      <c r="P15" s="991">
        <f t="shared" si="1"/>
        <v>838.93333333333328</v>
      </c>
      <c r="Q15" s="991">
        <f t="shared" ca="1" si="1"/>
        <v>830642.32597284194</v>
      </c>
    </row>
    <row r="17" spans="1:17">
      <c r="A17" s="488" t="s">
        <v>566</v>
      </c>
      <c r="B17" s="787">
        <f ca="1">huishoudens!B10</f>
        <v>0.20740902121400331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7273.3910344179239</v>
      </c>
      <c r="C22" s="478">
        <f t="shared" ref="C22:C32" ca="1" si="3">C4*$C$17</f>
        <v>0</v>
      </c>
      <c r="D22" s="478">
        <f t="shared" ref="D22:D32" si="4">D4*$D$17</f>
        <v>14015.66718440051</v>
      </c>
      <c r="E22" s="478">
        <f t="shared" ref="E22:E32" si="5">E4*$E$17</f>
        <v>1297.6804427228012</v>
      </c>
      <c r="F22" s="478">
        <f t="shared" ref="F22:F32" si="6">F4*$F$17</f>
        <v>5031.3266386332652</v>
      </c>
      <c r="G22" s="478">
        <f t="shared" ref="G22:G32" si="7">G4*$G$17</f>
        <v>0</v>
      </c>
      <c r="H22" s="478">
        <f t="shared" ref="H22:H32" si="8">H4*$H$17</f>
        <v>0</v>
      </c>
      <c r="I22" s="478">
        <f t="shared" ref="I22:I32" si="9">I4*$I$17</f>
        <v>0</v>
      </c>
      <c r="J22" s="478">
        <f t="shared" ref="J22:J32" si="10">J4*$J$17</f>
        <v>641.26127322861817</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28259.326573403119</v>
      </c>
    </row>
    <row r="23" spans="1:17">
      <c r="A23" s="477" t="s">
        <v>156</v>
      </c>
      <c r="B23" s="478">
        <f t="shared" ca="1" si="2"/>
        <v>6331.9580883939425</v>
      </c>
      <c r="C23" s="478">
        <f t="shared" ca="1" si="3"/>
        <v>0</v>
      </c>
      <c r="D23" s="478">
        <f t="shared" ca="1" si="4"/>
        <v>6905.5170426182513</v>
      </c>
      <c r="E23" s="478">
        <f t="shared" si="5"/>
        <v>63.343485373337032</v>
      </c>
      <c r="F23" s="478">
        <f t="shared" ca="1" si="6"/>
        <v>1184.7734067977392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14485.592023183272</v>
      </c>
    </row>
    <row r="24" spans="1:17">
      <c r="A24" s="477" t="s">
        <v>194</v>
      </c>
      <c r="B24" s="478">
        <f t="shared" ca="1" si="2"/>
        <v>368.70458733247608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368.70458733247608</v>
      </c>
    </row>
    <row r="25" spans="1:17">
      <c r="A25" s="477" t="s">
        <v>112</v>
      </c>
      <c r="B25" s="478">
        <f t="shared" ca="1" si="2"/>
        <v>2620.9520843440755</v>
      </c>
      <c r="C25" s="478">
        <f t="shared" ca="1" si="3"/>
        <v>0</v>
      </c>
      <c r="D25" s="478">
        <f t="shared" si="4"/>
        <v>88.543274682959208</v>
      </c>
      <c r="E25" s="478">
        <f t="shared" si="5"/>
        <v>26.569397853836513</v>
      </c>
      <c r="F25" s="478">
        <f t="shared" si="6"/>
        <v>8560.4338818439337</v>
      </c>
      <c r="G25" s="478">
        <f t="shared" si="7"/>
        <v>0</v>
      </c>
      <c r="H25" s="478">
        <f t="shared" si="8"/>
        <v>0</v>
      </c>
      <c r="I25" s="478">
        <f t="shared" si="9"/>
        <v>0</v>
      </c>
      <c r="J25" s="478">
        <f t="shared" si="10"/>
        <v>685.81735519207223</v>
      </c>
      <c r="K25" s="478">
        <f t="shared" si="11"/>
        <v>0</v>
      </c>
      <c r="L25" s="478">
        <f t="shared" si="12"/>
        <v>0</v>
      </c>
      <c r="M25" s="478">
        <f t="shared" si="13"/>
        <v>0</v>
      </c>
      <c r="N25" s="478">
        <f t="shared" si="14"/>
        <v>0</v>
      </c>
      <c r="O25" s="478">
        <f t="shared" si="15"/>
        <v>0</v>
      </c>
      <c r="P25" s="479">
        <f t="shared" si="16"/>
        <v>0</v>
      </c>
      <c r="Q25" s="477">
        <f t="shared" ca="1" si="17"/>
        <v>11982.315993916876</v>
      </c>
    </row>
    <row r="26" spans="1:17">
      <c r="A26" s="477" t="s">
        <v>650</v>
      </c>
      <c r="B26" s="478">
        <f t="shared" ca="1" si="2"/>
        <v>28853.728593769381</v>
      </c>
      <c r="C26" s="478">
        <f t="shared" ca="1" si="3"/>
        <v>0</v>
      </c>
      <c r="D26" s="478">
        <f t="shared" si="4"/>
        <v>33416.818725193487</v>
      </c>
      <c r="E26" s="478">
        <f t="shared" si="5"/>
        <v>4328.6710981817278</v>
      </c>
      <c r="F26" s="478">
        <f t="shared" si="6"/>
        <v>24179.86078122535</v>
      </c>
      <c r="G26" s="478">
        <f t="shared" si="7"/>
        <v>0</v>
      </c>
      <c r="H26" s="478">
        <f t="shared" si="8"/>
        <v>0</v>
      </c>
      <c r="I26" s="478">
        <f t="shared" si="9"/>
        <v>0</v>
      </c>
      <c r="J26" s="478">
        <f t="shared" si="10"/>
        <v>218.66042145534632</v>
      </c>
      <c r="K26" s="478">
        <f t="shared" si="11"/>
        <v>0</v>
      </c>
      <c r="L26" s="478">
        <f t="shared" si="12"/>
        <v>0</v>
      </c>
      <c r="M26" s="478">
        <f t="shared" si="13"/>
        <v>0</v>
      </c>
      <c r="N26" s="478">
        <f t="shared" si="14"/>
        <v>0</v>
      </c>
      <c r="O26" s="478">
        <f t="shared" si="15"/>
        <v>0</v>
      </c>
      <c r="P26" s="479">
        <f t="shared" si="16"/>
        <v>0</v>
      </c>
      <c r="Q26" s="477">
        <f t="shared" ca="1" si="17"/>
        <v>90997.739619825297</v>
      </c>
    </row>
    <row r="27" spans="1:17" s="483" customFormat="1">
      <c r="A27" s="481" t="s">
        <v>571</v>
      </c>
      <c r="B27" s="781">
        <f t="shared" ca="1" si="2"/>
        <v>2.8928591086519191</v>
      </c>
      <c r="C27" s="482">
        <f t="shared" ca="1" si="3"/>
        <v>0</v>
      </c>
      <c r="D27" s="482">
        <f t="shared" si="4"/>
        <v>7.4786279063534433</v>
      </c>
      <c r="E27" s="482">
        <f t="shared" si="5"/>
        <v>53.474746854357591</v>
      </c>
      <c r="F27" s="482">
        <f t="shared" si="6"/>
        <v>0</v>
      </c>
      <c r="G27" s="482">
        <f t="shared" si="7"/>
        <v>21174.024530248545</v>
      </c>
      <c r="H27" s="482">
        <f t="shared" si="8"/>
        <v>3483.3084083181143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24721.179172436023</v>
      </c>
    </row>
    <row r="28" spans="1:17">
      <c r="A28" s="477" t="s">
        <v>561</v>
      </c>
      <c r="B28" s="478">
        <f t="shared" ca="1" si="2"/>
        <v>0</v>
      </c>
      <c r="C28" s="478">
        <f t="shared" ca="1" si="3"/>
        <v>0</v>
      </c>
      <c r="D28" s="478">
        <f t="shared" si="4"/>
        <v>0</v>
      </c>
      <c r="E28" s="478">
        <f t="shared" si="5"/>
        <v>0</v>
      </c>
      <c r="F28" s="478">
        <f t="shared" si="6"/>
        <v>0</v>
      </c>
      <c r="G28" s="478">
        <f t="shared" si="7"/>
        <v>317.09073803297196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317.09073803297196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651.03078405408337</v>
      </c>
      <c r="C32" s="478">
        <f t="shared" ca="1" si="3"/>
        <v>0</v>
      </c>
      <c r="D32" s="478">
        <f t="shared" si="4"/>
        <v>829.13473941121561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1480.165523465299</v>
      </c>
    </row>
    <row r="33" spans="1:17" s="487" customFormat="1">
      <c r="A33" s="1051" t="s">
        <v>565</v>
      </c>
      <c r="B33" s="991">
        <f ca="1">SUM(B22:B32)</f>
        <v>46102.658031420535</v>
      </c>
      <c r="C33" s="991">
        <f t="shared" ref="C33:Q33" ca="1" si="18">SUM(C22:C32)</f>
        <v>0</v>
      </c>
      <c r="D33" s="991">
        <f t="shared" ca="1" si="18"/>
        <v>55263.159594212782</v>
      </c>
      <c r="E33" s="991">
        <f t="shared" si="18"/>
        <v>5769.7391709860603</v>
      </c>
      <c r="F33" s="991">
        <f t="shared" ca="1" si="18"/>
        <v>38956.394708500287</v>
      </c>
      <c r="G33" s="991">
        <f t="shared" si="18"/>
        <v>21491.115268281519</v>
      </c>
      <c r="H33" s="991">
        <f t="shared" si="18"/>
        <v>3483.3084083181143</v>
      </c>
      <c r="I33" s="991">
        <f t="shared" si="18"/>
        <v>0</v>
      </c>
      <c r="J33" s="991">
        <f t="shared" si="18"/>
        <v>1545.7390498760367</v>
      </c>
      <c r="K33" s="991">
        <f t="shared" si="18"/>
        <v>0</v>
      </c>
      <c r="L33" s="991">
        <f t="shared" ca="1" si="18"/>
        <v>0</v>
      </c>
      <c r="M33" s="991">
        <f t="shared" si="18"/>
        <v>0</v>
      </c>
      <c r="N33" s="991">
        <f t="shared" ca="1" si="18"/>
        <v>0</v>
      </c>
      <c r="O33" s="991">
        <f t="shared" si="18"/>
        <v>0</v>
      </c>
      <c r="P33" s="991">
        <f t="shared" si="18"/>
        <v>0</v>
      </c>
      <c r="Q33" s="991">
        <f t="shared" ca="1" si="18"/>
        <v>172612.1142315953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13669.63077229026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13669.63077229026</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0.20740902121400331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0.20740902121400331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2019-08-12T08:09:05Z</dcterms:modified>
</cp:coreProperties>
</file>