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R11"/>
  <c r="R20"/>
  <c r="R22"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H27"/>
  <c r="H33" s="1"/>
  <c r="H15"/>
  <c r="J22" i="16"/>
  <c r="K43" i="14" s="1"/>
  <c r="J8" i="48"/>
  <c r="K13" i="14"/>
  <c r="K46"/>
  <c r="K61" s="1"/>
  <c r="K63" s="1"/>
  <c r="K16"/>
  <c r="K27" s="1"/>
  <c r="E22" i="16"/>
  <c r="F43" i="14" s="1"/>
  <c r="F46" s="1"/>
  <c r="F61" s="1"/>
  <c r="H63"/>
  <c r="Q9" i="48"/>
  <c r="G33"/>
  <c r="O13" i="14"/>
  <c r="N8" i="48"/>
  <c r="N26" s="1"/>
  <c r="F8"/>
  <c r="G13" i="14"/>
  <c r="F63" l="1"/>
  <c r="E26" i="48"/>
  <c r="E33" s="1"/>
  <c r="E15"/>
  <c r="J26"/>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<sst xmlns="http://schemas.openxmlformats.org/spreadsheetml/2006/main" count="2428" uniqueCount="913">
  <si>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</si>
  <si>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</si>
  <si>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</si>
  <si>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</si>
  <si>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</si>
  <si>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</si>
  <si>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</si>
  <si>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</si>
  <si>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</si>
  <si>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</si>
  <si>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</si>
  <si>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</si>
  <si>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</si>
  <si>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</si>
  <si>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</si>
  <si>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</si>
  <si>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</si>
  <si>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</si>
  <si>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</si>
  <si>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</si>
  <si>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</si>
  <si>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</si>
  <si>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</si>
  <si>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</si>
  <si>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</si>
  <si>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</si>
  <si>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</si>
  <si>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</si>
  <si>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</si>
  <si>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</si>
  <si>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</si>
  <si>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</si>
  <si>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</si>
  <si>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</si>
  <si>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</si>
  <si>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</si>
  <si>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</si>
  <si>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</si>
  <si>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</si>
  <si>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</si>
  <si>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</si>
  <si>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</si>
  <si>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</si>
  <si>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</si>
  <si>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</si>
  <si>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</si>
  <si>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</si>
  <si>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</si>
  <si>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</si>
  <si>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</si>
  <si>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</si>
  <si>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</si>
  <si>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</si>
  <si>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</si>
  <si>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</si>
  <si>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</si>
  <si>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</si>
  <si>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</si>
  <si>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</si>
  <si>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</si>
  <si>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</si>
  <si>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</si>
  <si>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</si>
  <si>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</si>
  <si>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</si>
  <si>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</si>
  <si>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</si>
  <si>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</si>
  <si>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</si>
  <si>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</si>
  <si>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</si>
  <si>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</si>
  <si>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</si>
  <si>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</si>
  <si>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</si>
  <si>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</si>
  <si>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</si>
  <si>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</si>
  <si>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</si>
  <si>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</si>
  <si>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</si>
  <si>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</si>
  <si>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</si>
  <si>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</si>
  <si>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</si>
  <si>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</si>
  <si>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</si>
  <si>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</si>
  <si>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</si>
  <si>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</si>
  <si>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</si>
  <si>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</si>
  <si>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</si>
  <si>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</si>
  <si>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</si>
  <si>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</si>
  <si>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</si>
  <si>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</si>
  <si>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</si>
  <si>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</si>
  <si>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</si>
  <si>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</si>
  <si>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</si>
  <si>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</si>
  <si>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</si>
  <si>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</si>
  <si>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</si>
  <si>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</si>
  <si>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</si>
  <si>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</si>
  <si>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</si>
  <si>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</si>
  <si>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</si>
  <si>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</si>
  <si>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</si>
  <si>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</si>
  <si>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</si>
  <si>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</si>
  <si>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</si>
  <si>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</si>
  <si>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</si>
  <si>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</si>
  <si>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</si>
  <si>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</si>
  <si>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</si>
  <si>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</si>
  <si>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</si>
  <si>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</si>
  <si>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</si>
  <si>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</si>
  <si>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</si>
  <si>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</si>
  <si>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</si>
  <si>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</si>
  <si>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</si>
  <si>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</si>
  <si>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</si>
  <si>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</si>
  <si>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</si>
  <si>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</si>
  <si>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</si>
  <si>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</si>
  <si>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</si>
  <si>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</si>
  <si>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</si>
  <si>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</si>
  <si>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</si>
  <si>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</si>
  <si>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</si>
  <si>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</si>
  <si>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</si>
  <si>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</si>
  <si>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</si>
  <si>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</si>
  <si>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</si>
  <si>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</si>
  <si>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</si>
  <si>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</si>
  <si>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</si>
  <si>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</si>
  <si>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</si>
  <si>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</si>
  <si>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</si>
  <si>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</si>
  <si>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</si>
  <si>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</si>
  <si>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</si>
  <si>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</si>
  <si>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</si>
  <si>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</si>
  <si>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</si>
  <si>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</si>
  <si>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</si>
  <si>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</si>
  <si>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</si>
  <si>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</si>
  <si>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</si>
  <si>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</si>
  <si>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</si>
  <si>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</si>
  <si>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</si>
  <si>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</si>
  <si>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</si>
  <si>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</si>
  <si>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</si>
  <si>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</si>
  <si>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</si>
  <si>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</si>
  <si>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</si>
  <si>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</si>
  <si>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</si>
  <si>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</si>
  <si>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</si>
  <si>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</si>
  <si>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</si>
  <si>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</si>
  <si>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</si>
  <si>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</si>
  <si>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</si>
  <si>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</si>
  <si>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</si>
  <si>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</si>
  <si>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</si>
  <si>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</si>
  <si>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</si>
  <si>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</si>
  <si>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</si>
  <si>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</si>
  <si>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</si>
  <si>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</si>
  <si>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</si>
  <si>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</si>
  <si>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</si>
  <si>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</si>
  <si>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</si>
  <si>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</si>
  <si>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</si>
  <si>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</si>
  <si>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</si>
  <si>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</si>
  <si>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</si>
  <si>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</si>
  <si>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</si>
  <si>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</si>
  <si>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</si>
  <si>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</si>
  <si>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</si>
  <si>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</si>
  <si>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</si>
  <si>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</si>
  <si>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</si>
  <si>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</si>
  <si>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</si>
  <si>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</si>
  <si>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</si>
  <si>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</si>
  <si>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</si>
  <si>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</si>
  <si>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</si>
  <si>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</si>
  <si>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</si>
  <si>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</si>
  <si>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</si>
  <si>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</si>
  <si>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</si>
  <si>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</si>
  <si>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</si>
  <si>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</si>
  <si>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</si>
  <si>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</si>
  <si>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</si>
  <si>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</si>
  <si>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</si>
  <si>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</si>
  <si>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</si>
  <si>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</si>
  <si>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</si>
  <si>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</si>
  <si>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</si>
  <si>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</si>
  <si>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</si>
  <si>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</si>
  <si>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</si>
  <si>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</si>
  <si>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</si>
  <si>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</si>
  <si>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</si>
  <si>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</si>
  <si>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</si>
  <si>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</si>
  <si>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</si>
  <si>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</si>
  <si>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</si>
  <si>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</si>
  <si>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</si>
  <si>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</si>
  <si>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</si>
  <si>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</si>
  <si>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</si>
  <si>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</si>
  <si>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</si>
  <si>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</si>
  <si>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</si>
  <si>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</si>
  <si>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</si>
  <si>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</si>
  <si>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</si>
  <si>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</si>
  <si>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</si>
  <si>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</si>
  <si>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</si>
  <si>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</si>
  <si>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</si>
  <si>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</si>
  <si>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</si>
  <si>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</si>
  <si>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</si>
  <si>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</si>
  <si>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</si>
  <si>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</si>
  <si>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</si>
  <si>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</si>
  <si>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</si>
  <si>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</si>
  <si>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</si>
  <si>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</si>
  <si>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</si>
  <si>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</si>
  <si>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</si>
  <si>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</si>
  <si>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</si>
  <si>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</si>
  <si>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</si>
  <si>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</si>
  <si>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</si>
  <si>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</si>
  <si>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</si>
  <si>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</si>
  <si>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</si>
  <si>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</si>
  <si>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</si>
  <si>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</si>
  <si>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</si>
  <si>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</si>
  <si>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</si>
  <si>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</si>
  <si>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</si>
  <si>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</si>
  <si>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</si>
  <si>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</si>
  <si>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</si>
  <si>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</si>
  <si>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</si>
  <si>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</si>
  <si>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</si>
  <si>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</si>
  <si>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</si>
  <si>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</si>
  <si>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</si>
  <si>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</si>
  <si>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</si>
  <si>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</si>
  <si>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</si>
  <si>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</si>
  <si>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</si>
  <si>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</si>
  <si>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</si>
  <si>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</si>
  <si>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</si>
  <si>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</si>
  <si>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</si>
  <si>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</si>
  <si>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</si>
  <si>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</si>
  <si>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</si>
  <si>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</si>
  <si>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</si>
  <si>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</si>
  <si>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</si>
  <si>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</si>
  <si>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</si>
  <si>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</si>
  <si>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</si>
  <si>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</si>
  <si>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</si>
  <si>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</si>
  <si>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</si>
  <si>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</si>
  <si>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</si>
  <si>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</si>
  <si>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</si>
  <si>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</si>
  <si>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</si>
  <si>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</si>
  <si>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</si>
  <si>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</si>
  <si>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</si>
  <si>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</si>
  <si>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</si>
  <si>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</si>
  <si>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</si>
  <si>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</si>
  <si>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</si>
  <si>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</si>
  <si>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</si>
  <si>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</si>
  <si>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</si>
  <si>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</si>
  <si>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</si>
  <si>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</si>
  <si>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</si>
  <si>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</si>
  <si>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</si>
  <si>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</si>
  <si>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</si>
  <si>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</si>
  <si>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</si>
  <si>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</si>
  <si>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</si>
  <si>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</si>
  <si>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</si>
  <si>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</si>
  <si>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</si>
  <si>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</si>
  <si>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</si>
  <si>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</si>
  <si>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</si>
  <si>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</si>
  <si>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</si>
  <si>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</si>
  <si>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</si>
  <si>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</si>
  <si>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</si>
  <si>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</si>
  <si>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</si>
  <si>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</si>
  <si>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</si>
  <si>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</si>
  <si>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</si>
  <si>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</si>
  <si>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</si>
  <si>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</si>
  <si>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</si>
  <si>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</si>
  <si>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</si>
  <si>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</si>
  <si>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</si>
  <si>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</si>
  <si>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</si>
  <si>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</si>
  <si>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</si>
  <si>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</si>
  <si>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</si>
  <si>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</si>
  <si>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</si>
  <si>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</si>
  <si>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</si>
  <si>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</si>
  <si>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</si>
  <si>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</si>
  <si>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</si>
  <si>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</si>
  <si>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</si>
  <si>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</si>
  <si>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</si>
  <si>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</si>
  <si>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</si>
  <si>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</si>
  <si>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</si>
  <si>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</si>
  <si>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</si>
  <si>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</si>
  <si>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</si>
  <si>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</si>
  <si>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</si>
  <si>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</si>
  <si>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</si>
  <si>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</si>
  <si>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</si>
  <si>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</si>
  <si>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</si>
  <si>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</si>
  <si>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</si>
  <si>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</si>
  <si>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</si>
  <si>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</si>
  <si>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</si>
  <si>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</si>
  <si>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</si>
  <si>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</si>
  <si>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</si>
  <si>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</si>
  <si>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</si>
  <si>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</si>
  <si>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</si>
  <si>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</si>
  <si>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</si>
  <si>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</si>
  <si>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</si>
  <si>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</si>
  <si>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</si>
  <si>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</si>
  <si>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</si>
  <si>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</si>
  <si>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</si>
  <si>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</si>
  <si>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</si>
  <si>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</si>
  <si>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</si>
  <si>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</si>
  <si>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</si>
  <si>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</si>
  <si>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</si>
  <si>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</si>
  <si>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</si>
  <si>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</si>
  <si>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</si>
  <si>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</si>
  <si>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</si>
  <si>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</si>
  <si>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</si>
  <si>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</si>
  <si>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</si>
  <si>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</si>
  <si>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</si>
  <si>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</si>
  <si>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</si>
  <si>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</si>
  <si>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</si>
  <si>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</si>
  <si>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</si>
  <si>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</si>
  <si>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</si>
  <si>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</si>
  <si>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</si>
  <si>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</si>
  <si>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</si>
  <si>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</si>
  <si>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</si>
  <si>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</si>
  <si>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</si>
  <si>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</si>
  <si>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</si>
  <si>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</si>
  <si>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</si>
  <si>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</si>
  <si>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</si>
  <si>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</si>
  <si>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</si>
  <si>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</si>
  <si>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</si>
  <si>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</si>
  <si>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</si>
  <si>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</si>
  <si>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</si>
  <si>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</si>
  <si>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</si>
  <si>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</si>
  <si>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</si>
  <si>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</si>
  <si>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</si>
  <si>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</si>
  <si>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</si>
  <si>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</si>
  <si>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</si>
  <si>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</si>
  <si>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</si>
  <si>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</si>
  <si>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</si>
  <si>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</si>
  <si>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</si>
  <si>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</si>
  <si>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</si>
  <si>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</si>
  <si>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</si>
  <si>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</si>
  <si>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</si>
  <si>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</si>
  <si>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</si>
  <si>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</si>
  <si>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</si>
  <si>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</si>
  <si>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</si>
  <si>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</si>
  <si>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</si>
  <si>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</si>
  <si>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</si>
  <si>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</si>
  <si>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</si>
  <si>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</si>
  <si>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</si>
  <si>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</si>
  <si>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</si>
  <si>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</si>
  <si>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</si>
  <si>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</si>
  <si>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</si>
  <si>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</si>
  <si>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</si>
  <si>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</si>
  <si>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</si>
  <si>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</si>
  <si>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</si>
  <si>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</si>
  <si>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</si>
  <si>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</si>
  <si>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</si>
  <si>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</si>
  <si>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</si>
  <si>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</si>
  <si>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</si>
  <si>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</si>
  <si>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</si>
  <si>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</si>
  <si>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</si>
  <si>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</si>
  <si>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</si>
  <si>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</si>
  <si>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</si>
  <si>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</si>
  <si>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</si>
  <si>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</si>
  <si>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</si>
  <si>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</si>
  <si>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</si>
  <si>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</si>
  <si>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</si>
  <si>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</si>
  <si>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</si>
  <si>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</si>
  <si>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</si>
  <si>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</si>
  <si>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</si>
  <si>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</si>
  <si>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</si>
  <si>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</si>
  <si>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</si>
  <si>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</si>
  <si>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</si>
  <si>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</si>
  <si>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</si>
  <si>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</si>
  <si>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</si>
  <si>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</si>
  <si>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</si>
  <si>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</si>
  <si>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</si>
  <si>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</si>
  <si>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</si>
  <si>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</si>
  <si>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</si>
  <si>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</si>
  <si>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</si>
  <si>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</si>
  <si>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</si>
  <si>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</si>
  <si>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</si>
  <si>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</si>
  <si>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</si>
  <si>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</si>
  <si>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</si>
  <si>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</si>
  <si>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</si>
  <si>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</si>
  <si>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</si>
  <si>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</si>
  <si>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</si>
  <si>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</si>
  <si>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</si>
  <si>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</si>
  <si>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</si>
  <si>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</si>
  <si>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</si>
  <si>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</si>
  <si>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</si>
  <si>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</si>
  <si>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</si>
  <si>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</si>
  <si>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</si>
  <si>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</si>
  <si>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</si>
  <si>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</si>
  <si>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</si>
  <si>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</si>
  <si>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</si>
  <si>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</si>
  <si>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</si>
  <si>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</si>
  <si>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</si>
  <si>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</si>
  <si>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</si>
  <si>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</si>
  <si>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</si>
  <si>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</si>
  <si>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</si>
  <si>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</si>
  <si>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</si>
  <si>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</si>
  <si>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</si>
  <si>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</si>
  <si>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</si>
  <si>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</si>
  <si>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</si>
  <si>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</si>
  <si>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</si>
  <si>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</si>
  <si>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</si>
  <si>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</si>
  <si>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</si>
  <si>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</si>
  <si>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</si>
  <si>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</si>
  <si>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</si>
  <si>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</si>
  <si>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</si>
  <si>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</si>
  <si>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</si>
  <si>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</si>
  <si>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</si>
  <si>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</si>
  <si>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</si>
  <si>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</si>
  <si>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</si>
  <si>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</si>
  <si>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</si>
  <si>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</si>
  <si>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</si>
  <si>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</si>
  <si>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</si>
  <si>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</si>
  <si>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</si>
  <si>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</si>
  <si>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</si>
  <si>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</si>
  <si>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</si>
  <si>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</si>
  <si>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</si>
  <si>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</si>
  <si>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</si>
  <si>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</si>
  <si>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</si>
  <si>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</si>
  <si>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</si>
  <si>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</si>
  <si>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</si>
  <si>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</si>
  <si>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</si>
  <si>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</si>
  <si>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</si>
  <si>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</si>
  <si>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</si>
  <si>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</si>
  <si>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</si>
  <si>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</si>
  <si>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</si>
  <si>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</si>
  <si>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</si>
  <si>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</si>
  <si>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</si>
  <si>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</si>
  <si>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</si>
  <si>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</si>
  <si>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</si>
  <si>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</si>
  <si>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</si>
  <si>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</si>
  <si>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</si>
  <si>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</si>
  <si>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</si>
  <si>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</si>
  <si>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</si>
  <si>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</si>
  <si>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</si>
  <si>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</si>
  <si>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</si>
  <si>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</si>
  <si>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</si>
  <si>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</si>
  <si>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</si>
  <si>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</si>
  <si>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</si>
  <si>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</si>
  <si>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</si>
  <si>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</si>
  <si>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</si>
  <si>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</si>
  <si>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</si>
  <si>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</si>
  <si>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</si>
  <si>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</si>
  <si>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</si>
  <si>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</si>
  <si>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</si>
  <si>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</si>
  <si>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</si>
  <si>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</si>
  <si>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</si>
  <si>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</si>
  <si>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</si>
  <si>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</si>
  <si>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</si>
  <si>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</si>
  <si>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</si>
  <si>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</si>
  <si>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</si>
  <si>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</si>
  <si>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</si>
  <si>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</si>
  <si>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</si>
  <si>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</si>
  <si>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</si>
  <si>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</si>
  <si>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</si>
  <si>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</si>
  <si>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</si>
  <si>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</si>
  <si>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</si>
  <si>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</si>
  <si>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</si>
  <si>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</si>
  <si>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</si>
  <si>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</si>
  <si>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</si>
  <si>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</si>
  <si>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</si>
  <si>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</si>
  <si>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</si>
  <si>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</si>
  <si>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</si>
  <si>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</si>
  <si>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</si>
  <si>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</si>
  <si>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</si>
  <si>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</si>
  <si>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</si>
  <si>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</si>
  <si>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</si>
  <si>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</si>
  <si>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</si>
  <si>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</si>
  <si>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</si>
  <si>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</si>
  <si>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</si>
  <si>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</si>
  <si>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</si>
  <si>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</si>
  <si>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</si>
  <si>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</si>
  <si>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</si>
  <si>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</si>
  <si>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</si>
  <si>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</si>
  <si>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</si>
  <si>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</si>
  <si>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</si>
  <si>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</si>
  <si>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</si>
  <si>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</si>
  <si>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</si>
  <si>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</si>
  <si>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</si>
  <si>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</si>
  <si>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</si>
  <si>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</si>
  <si>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</si>
  <si>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</si>
  <si>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</si>
  <si>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</si>
  <si>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</si>
  <si>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</si>
  <si>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</si>
  <si>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</si>
  <si>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</si>
  <si>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</si>
  <si>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</si>
  <si>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</si>
  <si>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</si>
  <si>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</si>
  <si>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</si>
  <si>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</si>
  <si>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</si>
  <si>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</si>
  <si>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</si>
  <si>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</si>
  <si>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</si>
  <si>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</si>
  <si>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</si>
  <si>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</si>
  <si>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</si>
  <si>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</si>
  <si>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</si>
  <si>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</si>
  <si>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</si>
  <si>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</si>
  <si>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</si>
  <si>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</si>
  <si>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</si>
  <si>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</si>
  <si>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</si>
  <si>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</si>
  <si>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</si>
  <si>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</si>
  <si>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</si>
  <si>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</si>
  <si>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</si>
  <si>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</si>
  <si>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</si>
  <si>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</si>
  <si>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</si>
  <si>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</si>
  <si>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</si>
  <si>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</si>
  <si>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</si>
  <si>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</si>
  <si>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</si>
  <si>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</si>
  <si>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</si>
  <si>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</si>
  <si>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</si>
  <si>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37010</t>
  </si>
  <si>
    <t>OOSTROZEBEKE</t>
  </si>
  <si>
    <t>Paarden&amp;pony's 200 - 600 kg</t>
  </si>
  <si>
    <t>Paarden&amp;pony's &lt; 200 kg</t>
  </si>
  <si>
    <t>referentietaak LNE (2017); Jaarverslag De Lijn (2014)</t>
  </si>
  <si>
    <t>op basis van VEA (maart 2018) en Inventaris Hernieuwbare Energiebronnen (juni 2018)</t>
  </si>
  <si>
    <t>VEA (maart 2016)</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</si>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</sst>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59912.469981200338</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707136"/>
        <c:axId val="181708672"/>
      </c:barChart>
      <c:catAx>
        <c:axId val="181707136"/>
        <c:scaling>
          <c:orientation val="minMax"/>
        </c:scaling>
        <c:axPos val="b"/>
        <c:numFmt formatCode="General" sourceLinked="0"/>
        <c:tickLblPos val="nextTo"/>
        <c:crossAx val="181708672"/>
        <c:crosses val="autoZero"/>
        <c:auto val="1"/>
        <c:lblAlgn val="ctr"/>
        <c:lblOffset val="100"/>
      </c:catAx>
      <c:valAx>
        <c:axId val="181708672"/>
        <c:scaling>
          <c:orientation val="minMax"/>
        </c:scaling>
        <c:axPos val="l"/>
        <c:majorGridlines/>
        <c:numFmt formatCode="#,##0" sourceLinked="1"/>
        <c:tickLblPos val="nextTo"/>
        <c:crossAx val="181707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59912.469981200338</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11581.667706150411</c:v>
                </c:pt>
                <c:pt idx="2">
                  <c:v>3206.3622673260647</c:v>
                </c:pt>
                <c:pt idx="3">
                  <c:v>147.34179604319692</c:v>
                </c:pt>
                <c:pt idx="4">
                  <c:v>4237.1139346035006</c:v>
                </c:pt>
                <c:pt idx="5">
                  <c:v>42811.756172956178</c:v>
                </c:pt>
                <c:pt idx="6">
                  <c:v>8866.0690660278542</c:v>
                </c:pt>
                <c:pt idx="7">
                  <c:v>42.751869408609167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057984"/>
        <c:axId val="182117120"/>
      </c:barChart>
      <c:catAx>
        <c:axId val="182057984"/>
        <c:scaling>
          <c:orientation val="minMax"/>
        </c:scaling>
        <c:axPos val="b"/>
        <c:numFmt formatCode="General" sourceLinked="0"/>
        <c:tickLblPos val="nextTo"/>
        <c:crossAx val="182117120"/>
        <c:crosses val="autoZero"/>
        <c:auto val="1"/>
        <c:lblAlgn val="ctr"/>
        <c:lblOffset val="100"/>
      </c:catAx>
      <c:valAx>
        <c:axId val="182117120"/>
        <c:scaling>
          <c:orientation val="minMax"/>
        </c:scaling>
        <c:axPos val="l"/>
        <c:majorGridlines/>
        <c:numFmt formatCode="#,##0" sourceLinked="1"/>
        <c:tickLblPos val="nextTo"/>
        <c:crossAx val="182057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11581.667706150411</c:v>
                </c:pt>
                <c:pt idx="2">
                  <c:v>3206.3622673260647</c:v>
                </c:pt>
                <c:pt idx="3">
                  <c:v>147.34179604319692</c:v>
                </c:pt>
                <c:pt idx="4">
                  <c:v>4237.1139346035006</c:v>
                </c:pt>
                <c:pt idx="5">
                  <c:v>42811.756172956178</c:v>
                </c:pt>
                <c:pt idx="6">
                  <c:v>8866.0690660278542</c:v>
                </c:pt>
                <c:pt idx="7">
                  <c:v>42.751869408609167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37010</v>
      </c>
      <c r="B6" s="416"/>
      <c r="C6" s="417"/>
    </row>
    <row r="7" spans="1:7" s="414" customFormat="1" ht="15.75" customHeight="1">
      <c r="A7" s="418" t="str">
        <f>txtMunicipality</f>
        <v>OOSTROZEBEKE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0.21253591176015343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0.21253591176015343</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3136</v>
      </c>
      <c r="C9" s="342">
        <v>3201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965</v>
      </c>
    </row>
    <row r="15" spans="1:6">
      <c r="A15" s="348" t="s">
        <v>184</v>
      </c>
      <c r="B15" s="334">
        <v>17</v>
      </c>
    </row>
    <row r="16" spans="1:6">
      <c r="A16" s="348" t="s">
        <v>6</v>
      </c>
      <c r="B16" s="334">
        <v>596</v>
      </c>
    </row>
    <row r="17" spans="1:6">
      <c r="A17" s="348" t="s">
        <v>7</v>
      </c>
      <c r="B17" s="334">
        <v>478</v>
      </c>
    </row>
    <row r="18" spans="1:6">
      <c r="A18" s="348" t="s">
        <v>8</v>
      </c>
      <c r="B18" s="334">
        <v>757</v>
      </c>
    </row>
    <row r="19" spans="1:6">
      <c r="A19" s="348" t="s">
        <v>9</v>
      </c>
      <c r="B19" s="334">
        <v>719</v>
      </c>
    </row>
    <row r="20" spans="1:6">
      <c r="A20" s="348" t="s">
        <v>10</v>
      </c>
      <c r="B20" s="334">
        <v>390</v>
      </c>
    </row>
    <row r="21" spans="1:6">
      <c r="A21" s="348" t="s">
        <v>11</v>
      </c>
      <c r="B21" s="334">
        <v>2951</v>
      </c>
    </row>
    <row r="22" spans="1:6">
      <c r="A22" s="348" t="s">
        <v>12</v>
      </c>
      <c r="B22" s="334">
        <v>17113</v>
      </c>
    </row>
    <row r="23" spans="1:6">
      <c r="A23" s="348" t="s">
        <v>13</v>
      </c>
      <c r="B23" s="334">
        <v>87</v>
      </c>
    </row>
    <row r="24" spans="1:6">
      <c r="A24" s="348" t="s">
        <v>14</v>
      </c>
      <c r="B24" s="334">
        <v>7</v>
      </c>
    </row>
    <row r="25" spans="1:6">
      <c r="A25" s="348" t="s">
        <v>15</v>
      </c>
      <c r="B25" s="334">
        <v>767</v>
      </c>
    </row>
    <row r="26" spans="1:6">
      <c r="A26" s="348" t="s">
        <v>16</v>
      </c>
      <c r="B26" s="334">
        <v>7</v>
      </c>
    </row>
    <row r="27" spans="1:6">
      <c r="A27" s="348" t="s">
        <v>17</v>
      </c>
      <c r="B27" s="334">
        <v>7</v>
      </c>
    </row>
    <row r="28" spans="1:6" s="356" customFormat="1">
      <c r="A28" s="355" t="s">
        <v>18</v>
      </c>
      <c r="B28" s="355">
        <v>240035</v>
      </c>
    </row>
    <row r="29" spans="1:6">
      <c r="A29" s="355" t="s">
        <v>901</v>
      </c>
      <c r="B29" s="355">
        <v>18</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13.8521523779003</v>
      </c>
      <c r="E38" s="334">
        <v>2</v>
      </c>
      <c r="F38" s="334">
        <v>204087.5</v>
      </c>
    </row>
    <row r="39" spans="1:6">
      <c r="A39" s="348" t="s">
        <v>30</v>
      </c>
      <c r="B39" s="348" t="s">
        <v>31</v>
      </c>
      <c r="C39" s="334">
        <v>1645</v>
      </c>
      <c r="D39" s="334">
        <v>22357165.4672824</v>
      </c>
      <c r="E39" s="334">
        <v>2963</v>
      </c>
      <c r="F39" s="334">
        <v>12296257</v>
      </c>
    </row>
    <row r="40" spans="1:6">
      <c r="A40" s="348" t="s">
        <v>30</v>
      </c>
      <c r="B40" s="348" t="s">
        <v>29</v>
      </c>
      <c r="C40" s="334">
        <v>0</v>
      </c>
      <c r="D40" s="334">
        <v>0</v>
      </c>
      <c r="E40" s="334">
        <v>0</v>
      </c>
      <c r="F40" s="334">
        <v>0</v>
      </c>
    </row>
    <row r="41" spans="1:6">
      <c r="A41" s="348" t="s">
        <v>32</v>
      </c>
      <c r="B41" s="348" t="s">
        <v>33</v>
      </c>
      <c r="C41" s="334">
        <v>22</v>
      </c>
      <c r="D41" s="334">
        <v>336448.41888431797</v>
      </c>
      <c r="E41" s="334">
        <v>100</v>
      </c>
      <c r="F41" s="334">
        <v>653748.4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364753.5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148782062.54282701</v>
      </c>
      <c r="E48" s="334">
        <v>35</v>
      </c>
      <c r="F48" s="334">
        <v>29193667</v>
      </c>
    </row>
    <row r="49" spans="1:6">
      <c r="A49" s="348" t="s">
        <v>32</v>
      </c>
      <c r="B49" s="348" t="s">
        <v>40</v>
      </c>
      <c r="C49" s="334">
        <v>0</v>
      </c>
      <c r="D49" s="334">
        <v>0</v>
      </c>
      <c r="E49" s="334">
        <v>3</v>
      </c>
      <c r="F49" s="334">
        <v>246021.8</v>
      </c>
    </row>
    <row r="50" spans="1:6">
      <c r="A50" s="348" t="s">
        <v>32</v>
      </c>
      <c r="B50" s="348" t="s">
        <v>41</v>
      </c>
      <c r="C50" s="334">
        <v>0</v>
      </c>
      <c r="D50" s="334">
        <v>0</v>
      </c>
      <c r="E50" s="334">
        <v>8</v>
      </c>
      <c r="F50" s="334">
        <v>9340668</v>
      </c>
    </row>
    <row r="51" spans="1:6">
      <c r="A51" s="348" t="s">
        <v>42</v>
      </c>
      <c r="B51" s="348" t="s">
        <v>43</v>
      </c>
      <c r="C51" s="334">
        <v>0</v>
      </c>
      <c r="D51" s="334">
        <v>0</v>
      </c>
      <c r="E51" s="334">
        <v>69</v>
      </c>
      <c r="F51" s="334">
        <v>1133974</v>
      </c>
    </row>
    <row r="52" spans="1:6">
      <c r="A52" s="348" t="s">
        <v>42</v>
      </c>
      <c r="B52" s="348" t="s">
        <v>29</v>
      </c>
      <c r="C52" s="334">
        <v>7</v>
      </c>
      <c r="D52" s="334">
        <v>25378685.780259799</v>
      </c>
      <c r="E52" s="334">
        <v>7</v>
      </c>
      <c r="F52" s="334">
        <v>114679.9</v>
      </c>
    </row>
    <row r="53" spans="1:6">
      <c r="A53" s="348" t="s">
        <v>44</v>
      </c>
      <c r="B53" s="348" t="s">
        <v>45</v>
      </c>
      <c r="C53" s="334">
        <v>41</v>
      </c>
      <c r="D53" s="334">
        <v>645126.63801630703</v>
      </c>
      <c r="E53" s="334">
        <v>117</v>
      </c>
      <c r="F53" s="334">
        <v>924666.5</v>
      </c>
    </row>
    <row r="54" spans="1:6">
      <c r="A54" s="348" t="s">
        <v>46</v>
      </c>
      <c r="B54" s="348" t="s">
        <v>47</v>
      </c>
      <c r="C54" s="334">
        <v>0</v>
      </c>
      <c r="D54" s="334">
        <v>0</v>
      </c>
      <c r="E54" s="334">
        <v>1</v>
      </c>
      <c r="F54" s="334">
        <v>693256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517461.65309999202</v>
      </c>
      <c r="E57" s="334">
        <v>33</v>
      </c>
      <c r="F57" s="334">
        <v>344023.6</v>
      </c>
    </row>
    <row r="58" spans="1:6">
      <c r="A58" s="348" t="s">
        <v>49</v>
      </c>
      <c r="B58" s="348" t="s">
        <v>51</v>
      </c>
      <c r="C58" s="334">
        <v>0</v>
      </c>
      <c r="D58" s="334">
        <v>0</v>
      </c>
      <c r="E58" s="334">
        <v>0</v>
      </c>
      <c r="F58" s="334">
        <v>0</v>
      </c>
    </row>
    <row r="59" spans="1:6">
      <c r="A59" s="348" t="s">
        <v>49</v>
      </c>
      <c r="B59" s="348" t="s">
        <v>52</v>
      </c>
      <c r="C59" s="334">
        <v>19</v>
      </c>
      <c r="D59" s="334">
        <v>583978.35820216197</v>
      </c>
      <c r="E59" s="334">
        <v>99</v>
      </c>
      <c r="F59" s="334">
        <v>1876055</v>
      </c>
    </row>
    <row r="60" spans="1:6">
      <c r="A60" s="348" t="s">
        <v>49</v>
      </c>
      <c r="B60" s="348" t="s">
        <v>53</v>
      </c>
      <c r="C60" s="334">
        <v>12</v>
      </c>
      <c r="D60" s="334">
        <v>350208.63028403698</v>
      </c>
      <c r="E60" s="334">
        <v>24</v>
      </c>
      <c r="F60" s="334">
        <v>440609.9</v>
      </c>
    </row>
    <row r="61" spans="1:6">
      <c r="A61" s="348" t="s">
        <v>49</v>
      </c>
      <c r="B61" s="348" t="s">
        <v>54</v>
      </c>
      <c r="C61" s="334">
        <v>27</v>
      </c>
      <c r="D61" s="334">
        <v>1957128.1881996701</v>
      </c>
      <c r="E61" s="334">
        <v>88</v>
      </c>
      <c r="F61" s="334">
        <v>2637722</v>
      </c>
    </row>
    <row r="62" spans="1:6">
      <c r="A62" s="348" t="s">
        <v>49</v>
      </c>
      <c r="B62" s="348" t="s">
        <v>55</v>
      </c>
      <c r="C62" s="334">
        <v>4</v>
      </c>
      <c r="D62" s="334">
        <v>528903.638673865</v>
      </c>
      <c r="E62" s="334">
        <v>8</v>
      </c>
      <c r="F62" s="334">
        <v>94612.78</v>
      </c>
    </row>
    <row r="63" spans="1:6">
      <c r="A63" s="348" t="s">
        <v>49</v>
      </c>
      <c r="B63" s="348" t="s">
        <v>29</v>
      </c>
      <c r="C63" s="334">
        <v>75</v>
      </c>
      <c r="D63" s="334">
        <v>3632885.4601039598</v>
      </c>
      <c r="E63" s="334">
        <v>86</v>
      </c>
      <c r="F63" s="334">
        <v>1862647</v>
      </c>
    </row>
    <row r="64" spans="1:6">
      <c r="A64" s="348" t="s">
        <v>56</v>
      </c>
      <c r="B64" s="348" t="s">
        <v>57</v>
      </c>
      <c r="C64" s="334">
        <v>0</v>
      </c>
      <c r="D64" s="334">
        <v>0</v>
      </c>
      <c r="E64" s="334">
        <v>0</v>
      </c>
      <c r="F64" s="334">
        <v>0</v>
      </c>
    </row>
    <row r="65" spans="1:6">
      <c r="A65" s="348" t="s">
        <v>56</v>
      </c>
      <c r="B65" s="348" t="s">
        <v>29</v>
      </c>
      <c r="C65" s="334">
        <v>1</v>
      </c>
      <c r="D65" s="334">
        <v>645.03248780700005</v>
      </c>
      <c r="E65" s="334">
        <v>2</v>
      </c>
      <c r="F65" s="334">
        <v>12144.5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244397.5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19007470</v>
      </c>
      <c r="E73" s="476">
        <v>20868257.322789233</v>
      </c>
    </row>
    <row r="74" spans="1:6">
      <c r="A74" s="348" t="s">
        <v>64</v>
      </c>
      <c r="B74" s="348" t="s">
        <v>714</v>
      </c>
      <c r="C74" s="1311" t="s">
        <v>716</v>
      </c>
      <c r="D74" s="476">
        <v>4330528.1126140067</v>
      </c>
      <c r="E74" s="476">
        <v>4588156.4927091571</v>
      </c>
    </row>
    <row r="75" spans="1:6">
      <c r="A75" s="348" t="s">
        <v>65</v>
      </c>
      <c r="B75" s="348" t="s">
        <v>713</v>
      </c>
      <c r="C75" s="1311" t="s">
        <v>717</v>
      </c>
      <c r="D75" s="476">
        <v>7519640</v>
      </c>
      <c r="E75" s="476">
        <v>8706077.0774223078</v>
      </c>
    </row>
    <row r="76" spans="1:6">
      <c r="A76" s="348" t="s">
        <v>65</v>
      </c>
      <c r="B76" s="348" t="s">
        <v>714</v>
      </c>
      <c r="C76" s="1311" t="s">
        <v>718</v>
      </c>
      <c r="D76" s="476">
        <v>1587989.1126140072</v>
      </c>
      <c r="E76" s="476">
        <v>1753252.3642434466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45227.774771985605</v>
      </c>
      <c r="C83" s="476">
        <v>45613.860561736132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1686.2002201997841</v>
      </c>
    </row>
    <row r="92" spans="1:6">
      <c r="A92" s="341" t="s">
        <v>69</v>
      </c>
      <c r="B92" s="342">
        <v>1439.3187591032001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63907.198234029762</v>
      </c>
      <c r="C3" s="43" t="s">
        <v>170</v>
      </c>
      <c r="D3" s="43"/>
      <c r="E3" s="154"/>
      <c r="F3" s="43"/>
      <c r="G3" s="43"/>
      <c r="H3" s="43"/>
      <c r="I3" s="43"/>
      <c r="J3" s="43"/>
      <c r="K3" s="96"/>
    </row>
    <row r="4" spans="1:11">
      <c r="A4" s="384" t="s">
        <v>171</v>
      </c>
      <c r="B4" s="49">
        <f>IF(ISERROR('SEAP template'!B78+'SEAP template'!C78),0,'SEAP template'!B78+'SEAP template'!C78)</f>
        <v>12125.518979302984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2138.8235294117653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0.21253591176015343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3055.4621848739503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12857.142857142857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693.25599999999997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693.25599999999997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0.21253591176015343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147.34179604319692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12296.257</v>
      </c>
      <c r="C5" s="17">
        <f>IF(ISERROR('Eigen informatie GS &amp; warmtenet'!B57),0,'Eigen informatie GS &amp; warmtenet'!B57)</f>
        <v>0</v>
      </c>
      <c r="D5" s="30">
        <f>(SUM(HH_hh_gas_kWh,HH_rest_gas_kWh)/1000)*0.902</f>
        <v>20166.163251488724</v>
      </c>
      <c r="E5" s="17">
        <f>B46*B57</f>
        <v>1644.7333723345864</v>
      </c>
      <c r="F5" s="17">
        <f>B51*B62</f>
        <v>15363.148881522302</v>
      </c>
      <c r="G5" s="18"/>
      <c r="H5" s="17"/>
      <c r="I5" s="17"/>
      <c r="J5" s="17">
        <f>B50*B61+C50*C61</f>
        <v>172.35369638638713</v>
      </c>
      <c r="K5" s="17"/>
      <c r="L5" s="17"/>
      <c r="M5" s="17"/>
      <c r="N5" s="17">
        <f>B48*B59+C48*C59</f>
        <v>8233.1802259352171</v>
      </c>
      <c r="O5" s="17">
        <f>B69*B70*B71</f>
        <v>140.70000000000002</v>
      </c>
      <c r="P5" s="17">
        <f>B77*B78*B79/1000-B77*B78*B79/1000/B80</f>
        <v>209.73333333333335</v>
      </c>
    </row>
    <row r="6" spans="1:16">
      <c r="A6" s="16" t="s">
        <v>631</v>
      </c>
      <c r="B6" s="789">
        <f>kWh_PV_kleiner_dan_10kW</f>
        <v>1686.2002201997841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13982.457220199783</v>
      </c>
      <c r="C8" s="21">
        <f>C5</f>
        <v>0</v>
      </c>
      <c r="D8" s="21">
        <f>D5</f>
        <v>20166.163251488724</v>
      </c>
      <c r="E8" s="21">
        <f>E5</f>
        <v>1644.7333723345864</v>
      </c>
      <c r="F8" s="21">
        <f>F5</f>
        <v>15363.148881522302</v>
      </c>
      <c r="G8" s="21"/>
      <c r="H8" s="21"/>
      <c r="I8" s="21"/>
      <c r="J8" s="21">
        <f>J5</f>
        <v>172.35369638638713</v>
      </c>
      <c r="K8" s="21"/>
      <c r="L8" s="21">
        <f>L5</f>
        <v>0</v>
      </c>
      <c r="M8" s="21">
        <f>M5</f>
        <v>0</v>
      </c>
      <c r="N8" s="21">
        <f>N5</f>
        <v>8233.1802259352171</v>
      </c>
      <c r="O8" s="21">
        <f>O5</f>
        <v>140.70000000000002</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0.21253591176015343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2971.7742939425016</v>
      </c>
      <c r="C12" s="23">
        <f ca="1">C10*C8</f>
        <v>0</v>
      </c>
      <c r="D12" s="23">
        <f>D8*D10</f>
        <v>4073.5649768007224</v>
      </c>
      <c r="E12" s="23">
        <f>E10*E8</f>
        <v>373.35447551995111</v>
      </c>
      <c r="F12" s="23">
        <f>F10*F8</f>
        <v>4101.960751366455</v>
      </c>
      <c r="G12" s="23"/>
      <c r="H12" s="23"/>
      <c r="I12" s="23"/>
      <c r="J12" s="23">
        <f>J10*J8</f>
        <v>61.013208520781042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3136</v>
      </c>
      <c r="C28" s="36"/>
      <c r="D28" s="228"/>
    </row>
    <row r="29" spans="1:7" s="15" customFormat="1">
      <c r="A29" s="230" t="s">
        <v>741</v>
      </c>
      <c r="B29" s="37">
        <f>SUM(HH_hh_gas_aantal,HH_rest_gas_aantal)</f>
        <v>1645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1645</v>
      </c>
      <c r="C32" s="167">
        <f>IF(ISERROR(B32/SUM($B$32,$B$34,$B$35,$B$36,$B$38,$B$39)*100),0,B32/SUM($B$32,$B$34,$B$35,$B$36,$B$38,$B$39)*100)</f>
        <v>52.64</v>
      </c>
      <c r="D32" s="233"/>
      <c r="G32" s="15"/>
    </row>
    <row r="33" spans="1:7">
      <c r="A33" s="171" t="s">
        <v>72</v>
      </c>
      <c r="B33" s="34" t="s">
        <v>111</v>
      </c>
      <c r="C33" s="167"/>
      <c r="D33" s="233"/>
      <c r="G33" s="15"/>
    </row>
    <row r="34" spans="1:7">
      <c r="A34" s="171" t="s">
        <v>73</v>
      </c>
      <c r="B34" s="33">
        <f>IF((($B$28-$B$32-$B$39-$B$77-$B$38)*C20/100)&lt;0,0,($B$28-$B$32-$B$39-$B$77-$B$38)*C20/100)</f>
        <v>110.23316062176164</v>
      </c>
      <c r="C34" s="167">
        <f>IF(ISERROR(B34/SUM($B$32,$B$34,$B$35,$B$36,$B$38,$B$39)*100),0,B34/SUM($B$32,$B$34,$B$35,$B$36,$B$38,$B$39)*100)</f>
        <v>3.5274611398963729</v>
      </c>
      <c r="D34" s="233"/>
      <c r="G34" s="15"/>
    </row>
    <row r="35" spans="1:7">
      <c r="A35" s="171" t="s">
        <v>74</v>
      </c>
      <c r="B35" s="33">
        <f>IF((($B$28-$B$32-$B$39-$B$77-$B$38)*C21/100)&lt;0,0,($B$28-$B$32-$B$39-$B$77-$B$38)*C21/100)</f>
        <v>595.259067357513</v>
      </c>
      <c r="C35" s="167">
        <f>IF(ISERROR(B35/SUM($B$32,$B$34,$B$35,$B$36,$B$38,$B$39)*100),0,B35/SUM($B$32,$B$34,$B$35,$B$36,$B$38,$B$39)*100)</f>
        <v>19.048290155440416</v>
      </c>
      <c r="D35" s="233"/>
      <c r="G35" s="15"/>
    </row>
    <row r="36" spans="1:7">
      <c r="A36" s="171" t="s">
        <v>75</v>
      </c>
      <c r="B36" s="33">
        <f>IF((($B$28-$B$32-$B$39-$B$77-$B$38)*C22/100)&lt;0,0,($B$28-$B$32-$B$39-$B$77-$B$38)*C22/100)</f>
        <v>145.50777202072538</v>
      </c>
      <c r="C36" s="167">
        <f>IF(ISERROR(B36/SUM($B$32,$B$34,$B$35,$B$36,$B$38,$B$39)*100),0,B36/SUM($B$32,$B$34,$B$35,$B$36,$B$38,$B$39)*100)</f>
        <v>4.6562487046632119</v>
      </c>
      <c r="D36" s="233"/>
      <c r="G36" s="15"/>
    </row>
    <row r="37" spans="1:7">
      <c r="A37" s="171" t="s">
        <v>76</v>
      </c>
      <c r="B37" s="34" t="s">
        <v>111</v>
      </c>
      <c r="C37" s="167"/>
      <c r="D37" s="173"/>
      <c r="G37" s="15"/>
    </row>
    <row r="38" spans="1:7">
      <c r="A38" s="171" t="s">
        <v>77</v>
      </c>
      <c r="B38" s="33">
        <f>IF((B24-(B29-B18)*0.1)&lt;0,0,B24-(B29-B18)*0.1)</f>
        <v>4.8999999999999915</v>
      </c>
      <c r="C38" s="167">
        <f>IF(ISERROR(B38/SUM($B$32,$B$34,$B$35,$B$36,$B$38,$B$39)*100),0,B38/SUM($B$32,$B$34,$B$35,$B$36,$B$38,$B$39)*100)</f>
        <v>0.15679999999999975</v>
      </c>
      <c r="D38" s="234"/>
      <c r="G38" s="15"/>
    </row>
    <row r="39" spans="1:7">
      <c r="A39" s="171" t="s">
        <v>78</v>
      </c>
      <c r="B39" s="33">
        <f>IF((B25-(B29-B18))&lt;0,0,B25-(B29-B18)*0.9)</f>
        <v>624.1</v>
      </c>
      <c r="C39" s="167">
        <f>IF(ISERROR(B39/SUM($B$32,$B$34,$B$35,$B$36,$B$38,$B$39)*100),0,B39/SUM($B$32,$B$34,$B$35,$B$36,$B$38,$B$39)*100)</f>
        <v>19.9712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1645</v>
      </c>
      <c r="C44" s="34" t="s">
        <v>111</v>
      </c>
      <c r="D44" s="174"/>
    </row>
    <row r="45" spans="1:7">
      <c r="A45" s="171" t="s">
        <v>72</v>
      </c>
      <c r="B45" s="33" t="str">
        <f t="shared" si="0"/>
        <v>-</v>
      </c>
      <c r="C45" s="34" t="s">
        <v>111</v>
      </c>
      <c r="D45" s="174"/>
    </row>
    <row r="46" spans="1:7">
      <c r="A46" s="171" t="s">
        <v>73</v>
      </c>
      <c r="B46" s="33">
        <f t="shared" si="0"/>
        <v>110.23316062176164</v>
      </c>
      <c r="C46" s="34" t="s">
        <v>111</v>
      </c>
      <c r="D46" s="174"/>
    </row>
    <row r="47" spans="1:7">
      <c r="A47" s="171" t="s">
        <v>74</v>
      </c>
      <c r="B47" s="33">
        <f t="shared" si="0"/>
        <v>595.259067357513</v>
      </c>
      <c r="C47" s="34" t="s">
        <v>111</v>
      </c>
      <c r="D47" s="174"/>
    </row>
    <row r="48" spans="1:7">
      <c r="A48" s="171" t="s">
        <v>75</v>
      </c>
      <c r="B48" s="33">
        <f t="shared" si="0"/>
        <v>145.50777202072538</v>
      </c>
      <c r="C48" s="33">
        <f>B48*10</f>
        <v>1455.0777202072538</v>
      </c>
      <c r="D48" s="234"/>
    </row>
    <row r="49" spans="1:6">
      <c r="A49" s="171" t="s">
        <v>76</v>
      </c>
      <c r="B49" s="33" t="str">
        <f t="shared" si="0"/>
        <v>-</v>
      </c>
      <c r="C49" s="34" t="s">
        <v>111</v>
      </c>
      <c r="D49" s="234"/>
    </row>
    <row r="50" spans="1:6">
      <c r="A50" s="171" t="s">
        <v>77</v>
      </c>
      <c r="B50" s="33">
        <f t="shared" si="0"/>
        <v>4.8999999999999915</v>
      </c>
      <c r="C50" s="33">
        <f>B50*2</f>
        <v>9.7999999999999829</v>
      </c>
      <c r="D50" s="234"/>
    </row>
    <row r="51" spans="1:6">
      <c r="A51" s="171" t="s">
        <v>78</v>
      </c>
      <c r="B51" s="33">
        <f t="shared" si="0"/>
        <v>624.1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7255.6702800000003</v>
      </c>
      <c r="C5" s="17">
        <f>IF(ISERROR('Eigen informatie GS &amp; warmtenet'!B58),0,'Eigen informatie GS &amp; warmtenet'!B58)</f>
        <v>0</v>
      </c>
      <c r="D5" s="30">
        <f>SUM(D6:D12)</f>
        <v>6828.6504675644446</v>
      </c>
      <c r="E5" s="17">
        <f>SUM(E6:E12)</f>
        <v>64.372693708239055</v>
      </c>
      <c r="F5" s="17">
        <f>SUM(F6:F12)</f>
        <v>1012.2538315184586</v>
      </c>
      <c r="G5" s="18"/>
      <c r="H5" s="17"/>
      <c r="I5" s="17"/>
      <c r="J5" s="17">
        <f>SUM(J6:J12)</f>
        <v>0</v>
      </c>
      <c r="K5" s="17"/>
      <c r="L5" s="17"/>
      <c r="M5" s="17"/>
      <c r="N5" s="17">
        <f>SUM(N6:N12)</f>
        <v>443.01901094589277</v>
      </c>
      <c r="O5" s="17">
        <f>B38*B39*B40</f>
        <v>0</v>
      </c>
      <c r="P5" s="17">
        <f>B46*B47*B48/1000-B46*B47*B48/1000/B49</f>
        <v>0</v>
      </c>
      <c r="R5" s="32"/>
    </row>
    <row r="6" spans="1:18">
      <c r="A6" s="32" t="s">
        <v>54</v>
      </c>
      <c r="B6" s="37">
        <f>B26</f>
        <v>2637.7220000000002</v>
      </c>
      <c r="C6" s="33"/>
      <c r="D6" s="37">
        <f>IF(ISERROR(TER_kantoor_gas_kWh/1000),0,TER_kantoor_gas_kWh/1000)*0.902</f>
        <v>1765.3296257561026</v>
      </c>
      <c r="E6" s="33">
        <f>$C$26*'E Balans VL '!I12/100/3.6*1000000</f>
        <v>7.64186764269237</v>
      </c>
      <c r="F6" s="33">
        <f>$C$26*('E Balans VL '!L12+'E Balans VL '!N12)/100/3.6*1000000</f>
        <v>298.53201687866249</v>
      </c>
      <c r="G6" s="34"/>
      <c r="H6" s="33"/>
      <c r="I6" s="33"/>
      <c r="J6" s="33">
        <f>$C$26*('E Balans VL '!D12+'E Balans VL '!E12)/100/3.6*1000000</f>
        <v>0</v>
      </c>
      <c r="K6" s="33"/>
      <c r="L6" s="33"/>
      <c r="M6" s="33"/>
      <c r="N6" s="33">
        <f>$C$26*'E Balans VL '!Y12/100/3.6*1000000</f>
        <v>26.401653659652826</v>
      </c>
      <c r="O6" s="33"/>
      <c r="P6" s="33"/>
      <c r="R6" s="32"/>
    </row>
    <row r="7" spans="1:18">
      <c r="A7" s="32" t="s">
        <v>53</v>
      </c>
      <c r="B7" s="37">
        <f t="shared" ref="B7:B12" si="0">B27</f>
        <v>440.60990000000004</v>
      </c>
      <c r="C7" s="33"/>
      <c r="D7" s="37">
        <f>IF(ISERROR(TER_horeca_gas_kWh/1000),0,TER_horeca_gas_kWh/1000)*0.902</f>
        <v>315.88818451620136</v>
      </c>
      <c r="E7" s="33">
        <f>$C$27*'E Balans VL '!I9/100/3.6*1000000</f>
        <v>18.495572562269466</v>
      </c>
      <c r="F7" s="33">
        <f>$C$27*('E Balans VL '!L9+'E Balans VL '!N9)/100/3.6*1000000</f>
        <v>94.674072571994884</v>
      </c>
      <c r="G7" s="34"/>
      <c r="H7" s="33"/>
      <c r="I7" s="33"/>
      <c r="J7" s="33">
        <f>$C$27*('E Balans VL '!D9+'E Balans VL '!E9)/100/3.6*1000000</f>
        <v>0</v>
      </c>
      <c r="K7" s="33"/>
      <c r="L7" s="33"/>
      <c r="M7" s="33"/>
      <c r="N7" s="33">
        <f>$C$27*'E Balans VL '!Y9/100/3.6*1000000</f>
        <v>0.11354131795663809</v>
      </c>
      <c r="O7" s="33"/>
      <c r="P7" s="33"/>
      <c r="R7" s="32"/>
    </row>
    <row r="8" spans="1:18">
      <c r="A8" s="6" t="s">
        <v>52</v>
      </c>
      <c r="B8" s="37">
        <f t="shared" si="0"/>
        <v>1876.0550000000001</v>
      </c>
      <c r="C8" s="33"/>
      <c r="D8" s="37">
        <f>IF(ISERROR(TER_handel_gas_kWh/1000),0,TER_handel_gas_kWh/1000)*0.902</f>
        <v>526.74847909835012</v>
      </c>
      <c r="E8" s="33">
        <f>$C$28*'E Balans VL '!I13/100/3.6*1000000</f>
        <v>20.150392096191336</v>
      </c>
      <c r="F8" s="33">
        <f>$C$28*('E Balans VL '!L13+'E Balans VL '!N13)/100/3.6*1000000</f>
        <v>242.87081189282273</v>
      </c>
      <c r="G8" s="34"/>
      <c r="H8" s="33"/>
      <c r="I8" s="33"/>
      <c r="J8" s="33">
        <f>$C$28*('E Balans VL '!D13+'E Balans VL '!E13)/100/3.6*1000000</f>
        <v>0</v>
      </c>
      <c r="K8" s="33"/>
      <c r="L8" s="33"/>
      <c r="M8" s="33"/>
      <c r="N8" s="33">
        <f>$C$28*'E Balans VL '!Y13/100/3.6*1000000</f>
        <v>15.218660597056921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344.02359999999999</v>
      </c>
      <c r="C10" s="33"/>
      <c r="D10" s="37">
        <f>IF(ISERROR(TER_ander_gas_kWh/1000),0,TER_ander_gas_kWh/1000)*0.902</f>
        <v>466.75041109619286</v>
      </c>
      <c r="E10" s="33">
        <f>$C$30*'E Balans VL '!I14/100/3.6*1000000</f>
        <v>1.1789869498832799</v>
      </c>
      <c r="F10" s="33">
        <f>$C$30*('E Balans VL '!L14+'E Balans VL '!N14)/100/3.6*1000000</f>
        <v>76.840892767628958</v>
      </c>
      <c r="G10" s="34"/>
      <c r="H10" s="33"/>
      <c r="I10" s="33"/>
      <c r="J10" s="33">
        <f>$C$30*('E Balans VL '!D14+'E Balans VL '!E14)/100/3.6*1000000</f>
        <v>0</v>
      </c>
      <c r="K10" s="33"/>
      <c r="L10" s="33"/>
      <c r="M10" s="33"/>
      <c r="N10" s="33">
        <f>$C$30*'E Balans VL '!Y14/100/3.6*1000000</f>
        <v>242.33210320419036</v>
      </c>
      <c r="O10" s="33"/>
      <c r="P10" s="33"/>
      <c r="R10" s="32"/>
    </row>
    <row r="11" spans="1:18">
      <c r="A11" s="32" t="s">
        <v>55</v>
      </c>
      <c r="B11" s="37">
        <f t="shared" si="0"/>
        <v>94.612780000000001</v>
      </c>
      <c r="C11" s="33"/>
      <c r="D11" s="37">
        <f>IF(ISERROR(TER_onderwijs_gas_kWh/1000),0,TER_onderwijs_gas_kWh/1000)*0.902</f>
        <v>477.07108208382624</v>
      </c>
      <c r="E11" s="33">
        <f>$C$31*'E Balans VL '!I11/100/3.6*1000000</f>
        <v>6.5402900969699168E-2</v>
      </c>
      <c r="F11" s="33">
        <f>$C$31*('E Balans VL '!L11+'E Balans VL '!N11)/100/3.6*1000000</f>
        <v>24.766877489218643</v>
      </c>
      <c r="G11" s="34"/>
      <c r="H11" s="33"/>
      <c r="I11" s="33"/>
      <c r="J11" s="33">
        <f>$C$31*('E Balans VL '!D11+'E Balans VL '!E11)/100/3.6*1000000</f>
        <v>0</v>
      </c>
      <c r="K11" s="33"/>
      <c r="L11" s="33"/>
      <c r="M11" s="33"/>
      <c r="N11" s="33">
        <f>$C$31*'E Balans VL '!Y11/100/3.6*1000000</f>
        <v>9.4178964002028243E-2</v>
      </c>
      <c r="O11" s="33"/>
      <c r="P11" s="33"/>
      <c r="R11" s="32"/>
    </row>
    <row r="12" spans="1:18">
      <c r="A12" s="32" t="s">
        <v>260</v>
      </c>
      <c r="B12" s="37">
        <f t="shared" si="0"/>
        <v>1862.6469999999999</v>
      </c>
      <c r="C12" s="33"/>
      <c r="D12" s="37">
        <f>IF(ISERROR(TER_rest_gas_kWh/1000),0,TER_rest_gas_kWh/1000)*0.902</f>
        <v>3276.8626850137716</v>
      </c>
      <c r="E12" s="33">
        <f>$C$32*'E Balans VL '!I8/100/3.6*1000000</f>
        <v>16.840471556232895</v>
      </c>
      <c r="F12" s="33">
        <f>$C$32*('E Balans VL '!L8+'E Balans VL '!N8)/100/3.6*1000000</f>
        <v>274.56915991813094</v>
      </c>
      <c r="G12" s="34"/>
      <c r="H12" s="33"/>
      <c r="I12" s="33"/>
      <c r="J12" s="33">
        <f>$C$32*('E Balans VL '!D8+'E Balans VL '!E8)/100/3.6*1000000</f>
        <v>0</v>
      </c>
      <c r="K12" s="33"/>
      <c r="L12" s="33"/>
      <c r="M12" s="33"/>
      <c r="N12" s="33">
        <f>$C$32*'E Balans VL '!Y8/100/3.6*1000000</f>
        <v>158.85887320303405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7255.6702800000003</v>
      </c>
      <c r="C16" s="21">
        <f t="shared" ca="1" si="1"/>
        <v>0</v>
      </c>
      <c r="D16" s="21">
        <f t="shared" ca="1" si="1"/>
        <v>6828.6504675644446</v>
      </c>
      <c r="E16" s="21">
        <f t="shared" si="1"/>
        <v>64.372693708239055</v>
      </c>
      <c r="F16" s="21">
        <f t="shared" ca="1" si="1"/>
        <v>1012.2538315184586</v>
      </c>
      <c r="G16" s="21">
        <f t="shared" si="1"/>
        <v>0</v>
      </c>
      <c r="H16" s="21">
        <f t="shared" si="1"/>
        <v>0</v>
      </c>
      <c r="I16" s="21">
        <f t="shared" si="1"/>
        <v>0</v>
      </c>
      <c r="J16" s="21">
        <f t="shared" si="1"/>
        <v>0</v>
      </c>
      <c r="K16" s="21">
        <f t="shared" si="1"/>
        <v>0</v>
      </c>
      <c r="L16" s="21">
        <f t="shared" ca="1" si="1"/>
        <v>0</v>
      </c>
      <c r="M16" s="21">
        <f t="shared" si="1"/>
        <v>0</v>
      </c>
      <c r="N16" s="21">
        <f t="shared" ca="1" si="1"/>
        <v>443.01901094589277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0.21253591176015343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1542.0904983908479</v>
      </c>
      <c r="C20" s="23">
        <f t="shared" ref="C20:P20" ca="1" si="2">C16*C18</f>
        <v>0</v>
      </c>
      <c r="D20" s="23">
        <f t="shared" ca="1" si="2"/>
        <v>1379.3873944480179</v>
      </c>
      <c r="E20" s="23">
        <f t="shared" si="2"/>
        <v>14.612601471770265</v>
      </c>
      <c r="F20" s="23">
        <f t="shared" ca="1" si="2"/>
        <v>270.27177301542844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2637.7220000000002</v>
      </c>
      <c r="C26" s="39">
        <f>IF(ISERROR(B26*3.6/1000000/'E Balans VL '!Z12*100),0,B26*3.6/1000000/'E Balans VL '!Z12*100)</f>
        <v>5.7940613242001733E-2</v>
      </c>
      <c r="D26" s="237" t="s">
        <v>692</v>
      </c>
      <c r="F26" s="6"/>
    </row>
    <row r="27" spans="1:18">
      <c r="A27" s="231" t="s">
        <v>53</v>
      </c>
      <c r="B27" s="33">
        <f>IF(ISERROR(TER_horeca_ele_kWh/1000),0,TER_horeca_ele_kWh/1000)</f>
        <v>440.60990000000004</v>
      </c>
      <c r="C27" s="39">
        <f>IF(ISERROR(B27*3.6/1000000/'E Balans VL '!Z9*100),0,B27*3.6/1000000/'E Balans VL '!Z9*100)</f>
        <v>3.5407397516358068E-2</v>
      </c>
      <c r="D27" s="237" t="s">
        <v>692</v>
      </c>
      <c r="F27" s="6"/>
    </row>
    <row r="28" spans="1:18">
      <c r="A28" s="171" t="s">
        <v>52</v>
      </c>
      <c r="B28" s="33">
        <f>IF(ISERROR(TER_handel_ele_kWh/1000),0,TER_handel_ele_kWh/1000)</f>
        <v>1876.0550000000001</v>
      </c>
      <c r="C28" s="39">
        <f>IF(ISERROR(B28*3.6/1000000/'E Balans VL '!Z13*100),0,B28*3.6/1000000/'E Balans VL '!Z13*100)</f>
        <v>5.5473635710458075E-2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344.02359999999999</v>
      </c>
      <c r="C30" s="39">
        <f>IF(ISERROR(B30*3.6/1000000/'E Balans VL '!Z14*100),0,B30*3.6/1000000/'E Balans VL '!Z14*100)</f>
        <v>2.6017916786219494E-2</v>
      </c>
      <c r="D30" s="237" t="s">
        <v>692</v>
      </c>
      <c r="F30" s="6"/>
    </row>
    <row r="31" spans="1:18">
      <c r="A31" s="231" t="s">
        <v>55</v>
      </c>
      <c r="B31" s="33">
        <f>IF(ISERROR(TER_onderwijs_ele_kWh/1000),0,TER_onderwijs_ele_kWh/1000)</f>
        <v>94.612780000000001</v>
      </c>
      <c r="C31" s="39">
        <f>IF(ISERROR(B31*3.6/1000000/'E Balans VL '!Z11*100),0,B31*3.6/1000000/'E Balans VL '!Z11*100)</f>
        <v>1.9639416786602172E-2</v>
      </c>
      <c r="D31" s="237" t="s">
        <v>692</v>
      </c>
    </row>
    <row r="32" spans="1:18">
      <c r="A32" s="231" t="s">
        <v>260</v>
      </c>
      <c r="B32" s="33">
        <f>IF(ISERROR(TER_rest_ele_kWh/1000),0,TER_rest_ele_kWh/1000)</f>
        <v>1862.6469999999999</v>
      </c>
      <c r="C32" s="39">
        <f>IF(ISERROR(B32*3.6/1000000/'E Balans VL '!Z8*100),0,B32*3.6/1000000/'E Balans VL '!Z8*100)</f>
        <v>1.5691705216877357E-2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39798.858699999997</v>
      </c>
      <c r="C5" s="17">
        <f>IF(ISERROR('Eigen informatie GS &amp; warmtenet'!B59),0,'Eigen informatie GS &amp; warmtenet'!B59)</f>
        <v>0</v>
      </c>
      <c r="D5" s="30">
        <f>SUM(D6:D15)</f>
        <v>134504.89688746363</v>
      </c>
      <c r="E5" s="17">
        <f>SUM(E6:E15)</f>
        <v>1769.9301853234738</v>
      </c>
      <c r="F5" s="17">
        <f>SUM(F6:F15)</f>
        <v>24939.369178112272</v>
      </c>
      <c r="G5" s="18"/>
      <c r="H5" s="17"/>
      <c r="I5" s="17"/>
      <c r="J5" s="17">
        <f>SUM(J6:J15)</f>
        <v>346.02982555398597</v>
      </c>
      <c r="K5" s="17"/>
      <c r="L5" s="17"/>
      <c r="M5" s="17"/>
      <c r="N5" s="17">
        <f>SUM(N6:N15)</f>
        <v>10631.745130549574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364.75349999999997</v>
      </c>
      <c r="C8" s="33"/>
      <c r="D8" s="37">
        <f>IF( ISERROR(IND_metaal_Gas_kWH/1000),0,IND_metaal_Gas_kWH/1000)*0.902</f>
        <v>0</v>
      </c>
      <c r="E8" s="33">
        <f>C30*'E Balans VL '!I18/100/3.6*1000000</f>
        <v>9.1285034950995865</v>
      </c>
      <c r="F8" s="33">
        <f>C30*'E Balans VL '!L18/100/3.6*1000000+C30*'E Balans VL '!N18/100/3.6*1000000</f>
        <v>114.31556127721873</v>
      </c>
      <c r="G8" s="34"/>
      <c r="H8" s="33"/>
      <c r="I8" s="33"/>
      <c r="J8" s="40">
        <f>C30*'E Balans VL '!D18/100/3.6*1000000+C30*'E Balans VL '!E18/100/3.6*1000000</f>
        <v>0</v>
      </c>
      <c r="K8" s="33"/>
      <c r="L8" s="33"/>
      <c r="M8" s="33"/>
      <c r="N8" s="33">
        <f>C30*'E Balans VL '!Y18/100/3.6*1000000</f>
        <v>9.1635545378782179</v>
      </c>
      <c r="O8" s="33"/>
      <c r="P8" s="33"/>
      <c r="R8" s="32"/>
    </row>
    <row r="9" spans="1:18">
      <c r="A9" s="6" t="s">
        <v>33</v>
      </c>
      <c r="B9" s="37">
        <f t="shared" si="0"/>
        <v>653.74840000000006</v>
      </c>
      <c r="C9" s="33"/>
      <c r="D9" s="37">
        <f>IF( ISERROR(IND_andere_gas_kWh/1000),0,IND_andere_gas_kWh/1000)*0.902</f>
        <v>303.47647383365478</v>
      </c>
      <c r="E9" s="33">
        <f>C31*'E Balans VL '!I19/100/3.6*1000000</f>
        <v>179.75399647302947</v>
      </c>
      <c r="F9" s="33">
        <f>C31*'E Balans VL '!L19/100/3.6*1000000+C31*'E Balans VL '!N19/100/3.6*1000000</f>
        <v>515.26749958936398</v>
      </c>
      <c r="G9" s="34"/>
      <c r="H9" s="33"/>
      <c r="I9" s="33"/>
      <c r="J9" s="40">
        <f>C31*'E Balans VL '!D19/100/3.6*1000000+C31*'E Balans VL '!E19/100/3.6*1000000</f>
        <v>0</v>
      </c>
      <c r="K9" s="33"/>
      <c r="L9" s="33"/>
      <c r="M9" s="33"/>
      <c r="N9" s="33">
        <f>C31*'E Balans VL '!Y19/100/3.6*1000000</f>
        <v>211.63561315014402</v>
      </c>
      <c r="O9" s="33"/>
      <c r="P9" s="33"/>
      <c r="R9" s="32"/>
    </row>
    <row r="10" spans="1:18">
      <c r="A10" s="6" t="s">
        <v>41</v>
      </c>
      <c r="B10" s="37">
        <f t="shared" si="0"/>
        <v>9340.6679999999997</v>
      </c>
      <c r="C10" s="33"/>
      <c r="D10" s="37">
        <f>IF( ISERROR(IND_voed_gas_kWh/1000),0,IND_voed_gas_kWh/1000)*0.902</f>
        <v>0</v>
      </c>
      <c r="E10" s="33">
        <f>C32*'E Balans VL '!I20/100/3.6*1000000</f>
        <v>95.222964456636703</v>
      </c>
      <c r="F10" s="33">
        <f>C32*'E Balans VL '!L20/100/3.6*1000000+C32*'E Balans VL '!N20/100/3.6*1000000</f>
        <v>17644.463431761022</v>
      </c>
      <c r="G10" s="34"/>
      <c r="H10" s="33"/>
      <c r="I10" s="33"/>
      <c r="J10" s="40">
        <f>C32*'E Balans VL '!D20/100/3.6*1000000+C32*'E Balans VL '!E20/100/3.6*1000000</f>
        <v>223.55274804406591</v>
      </c>
      <c r="K10" s="33"/>
      <c r="L10" s="33"/>
      <c r="M10" s="33"/>
      <c r="N10" s="33">
        <f>C32*'E Balans VL '!Y20/100/3.6*1000000</f>
        <v>4923.6079490213087</v>
      </c>
      <c r="O10" s="33"/>
      <c r="P10" s="33"/>
      <c r="R10" s="32"/>
    </row>
    <row r="11" spans="1:18">
      <c r="A11" s="6" t="s">
        <v>40</v>
      </c>
      <c r="B11" s="37">
        <f t="shared" si="0"/>
        <v>246.02179999999998</v>
      </c>
      <c r="C11" s="33"/>
      <c r="D11" s="37">
        <f>IF( ISERROR(IND_textiel_gas_kWh/1000),0,IND_textiel_gas_kWh/1000)*0.902</f>
        <v>0</v>
      </c>
      <c r="E11" s="33">
        <f>C33*'E Balans VL '!I21/100/3.6*1000000</f>
        <v>0.65207812817054145</v>
      </c>
      <c r="F11" s="33">
        <f>C33*'E Balans VL '!L21/100/3.6*1000000+C33*'E Balans VL '!N21/100/3.6*1000000</f>
        <v>10.987587378384429</v>
      </c>
      <c r="G11" s="34"/>
      <c r="H11" s="33"/>
      <c r="I11" s="33"/>
      <c r="J11" s="40">
        <f>C33*'E Balans VL '!D21/100/3.6*1000000+C33*'E Balans VL '!E21/100/3.6*1000000</f>
        <v>0</v>
      </c>
      <c r="K11" s="33"/>
      <c r="L11" s="33"/>
      <c r="M11" s="33"/>
      <c r="N11" s="33">
        <f>C33*'E Balans VL '!Y21/100/3.6*1000000</f>
        <v>2.3185795982572182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29193.667000000001</v>
      </c>
      <c r="C15" s="33"/>
      <c r="D15" s="37">
        <f>IF( ISERROR(IND_rest_gas_kWh/1000),0,IND_rest_gas_kWh/1000)*0.902</f>
        <v>134201.42041362997</v>
      </c>
      <c r="E15" s="33">
        <f>C37*'E Balans VL '!I15/100/3.6*1000000</f>
        <v>1485.1726427705375</v>
      </c>
      <c r="F15" s="33">
        <f>C37*'E Balans VL '!L15/100/3.6*1000000+C37*'E Balans VL '!N15/100/3.6*1000000</f>
        <v>6654.3350981062831</v>
      </c>
      <c r="G15" s="34"/>
      <c r="H15" s="33"/>
      <c r="I15" s="33"/>
      <c r="J15" s="40">
        <f>C37*'E Balans VL '!D15/100/3.6*1000000+C37*'E Balans VL '!E15/100/3.6*1000000</f>
        <v>122.47707750992006</v>
      </c>
      <c r="K15" s="33"/>
      <c r="L15" s="33"/>
      <c r="M15" s="33"/>
      <c r="N15" s="33">
        <f>C37*'E Balans VL '!Y15/100/3.6*1000000</f>
        <v>5485.0194342419863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39798.858699999997</v>
      </c>
      <c r="C18" s="21">
        <f>C5+C16</f>
        <v>0</v>
      </c>
      <c r="D18" s="21">
        <f>MAX((D5+D16),0)</f>
        <v>134504.89688746363</v>
      </c>
      <c r="E18" s="21">
        <f>MAX((E5+E16),0)</f>
        <v>1769.9301853234738</v>
      </c>
      <c r="F18" s="21">
        <f>MAX((F5+F16),0)</f>
        <v>24939.369178112272</v>
      </c>
      <c r="G18" s="21"/>
      <c r="H18" s="21"/>
      <c r="I18" s="21"/>
      <c r="J18" s="21">
        <f>MAX((J5+J16),0)</f>
        <v>346.02982555398597</v>
      </c>
      <c r="K18" s="21"/>
      <c r="L18" s="21">
        <f>MAX((L5+L16),0)</f>
        <v>0</v>
      </c>
      <c r="M18" s="21"/>
      <c r="N18" s="21">
        <f>MAX((N5+N16),0)</f>
        <v>10631.745130549574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0.21253591176015343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8458.6867208180138</v>
      </c>
      <c r="C22" s="23">
        <f ca="1">C18*C20</f>
        <v>0</v>
      </c>
      <c r="D22" s="23">
        <f>D18*D20</f>
        <v>27169.989171267654</v>
      </c>
      <c r="E22" s="23">
        <f>E18*E20</f>
        <v>401.77415206842858</v>
      </c>
      <c r="F22" s="23">
        <f>F18*F20</f>
        <v>6658.8115705559767</v>
      </c>
      <c r="G22" s="23"/>
      <c r="H22" s="23"/>
      <c r="I22" s="23"/>
      <c r="J22" s="23">
        <f>J18*J20</f>
        <v>122.49455824611103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364.75349999999997</v>
      </c>
      <c r="C30" s="39">
        <f>IF(ISERROR(B30*3.6/1000000/'E Balans VL '!Z18*100),0,B30*3.6/1000000/'E Balans VL '!Z18*100)</f>
        <v>5.1053334455326491E-2</v>
      </c>
      <c r="D30" s="237" t="s">
        <v>692</v>
      </c>
    </row>
    <row r="31" spans="1:18">
      <c r="A31" s="6" t="s">
        <v>33</v>
      </c>
      <c r="B31" s="37">
        <f>IF( ISERROR(IND_ander_ele_kWh/1000),0,IND_ander_ele_kWh/1000)</f>
        <v>653.74840000000006</v>
      </c>
      <c r="C31" s="39">
        <f>IF(ISERROR(B31*3.6/1000000/'E Balans VL '!Z19*100),0,B31*3.6/1000000/'E Balans VL '!Z19*100)</f>
        <v>2.8614461414942109E-2</v>
      </c>
      <c r="D31" s="237" t="s">
        <v>692</v>
      </c>
    </row>
    <row r="32" spans="1:18">
      <c r="A32" s="171" t="s">
        <v>41</v>
      </c>
      <c r="B32" s="37">
        <f>IF( ISERROR(IND_voed_ele_kWh/1000),0,IND_voed_ele_kWh/1000)</f>
        <v>9340.6679999999997</v>
      </c>
      <c r="C32" s="39">
        <f>IF(ISERROR(B32*3.6/1000000/'E Balans VL '!Z20*100),0,B32*3.6/1000000/'E Balans VL '!Z20*100)</f>
        <v>2.3124392085159058</v>
      </c>
      <c r="D32" s="237" t="s">
        <v>692</v>
      </c>
    </row>
    <row r="33" spans="1:5">
      <c r="A33" s="171" t="s">
        <v>40</v>
      </c>
      <c r="B33" s="37">
        <f>IF( ISERROR(IND_textiel_ele_kWh/1000),0,IND_textiel_ele_kWh/1000)</f>
        <v>246.02179999999998</v>
      </c>
      <c r="C33" s="39">
        <f>IF(ISERROR(B33*3.6/1000000/'E Balans VL '!Z21*100),0,B33*3.6/1000000/'E Balans VL '!Z21*100)</f>
        <v>2.7722323146066395E-2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29193.667000000001</v>
      </c>
      <c r="C37" s="39">
        <f>IF(ISERROR(B37*3.6/1000000/'E Balans VL '!Z15*100),0,B37*3.6/1000000/'E Balans VL '!Z15*100)</f>
        <v>0.21646604263770491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1248.6538999999998</v>
      </c>
      <c r="C5" s="17">
        <f>'Eigen informatie GS &amp; warmtenet'!B60</f>
        <v>0</v>
      </c>
      <c r="D5" s="30">
        <f>IF(ISERROR(SUM(LB_lb_gas_kWh,LB_rest_gas_kWh)/1000),0,SUM(LB_lb_gas_kWh,LB_rest_gas_kWh)/1000)*0.902</f>
        <v>22891.57457379434</v>
      </c>
      <c r="E5" s="17">
        <f>B17*'E Balans VL '!I25/3.6*1000000/100</f>
        <v>11.565555406127043</v>
      </c>
      <c r="F5" s="17">
        <f>B17*('E Balans VL '!L25/3.6*1000000+'E Balans VL '!N25/3.6*1000000)/100</f>
        <v>3168.072812623845</v>
      </c>
      <c r="G5" s="18"/>
      <c r="H5" s="17"/>
      <c r="I5" s="17"/>
      <c r="J5" s="17">
        <f>('E Balans VL '!D25+'E Balans VL '!E25)/3.6*1000000*landbouw!B17/100</f>
        <v>191.43257788819469</v>
      </c>
      <c r="K5" s="17"/>
      <c r="L5" s="17">
        <f>L6*(-1)</f>
        <v>0</v>
      </c>
      <c r="M5" s="17"/>
      <c r="N5" s="17">
        <f>N6*(-1)</f>
        <v>0</v>
      </c>
      <c r="O5" s="17"/>
      <c r="P5" s="17"/>
      <c r="R5" s="32"/>
    </row>
    <row r="6" spans="1:18">
      <c r="A6" s="16" t="s">
        <v>494</v>
      </c>
      <c r="B6" s="17" t="s">
        <v>211</v>
      </c>
      <c r="C6" s="17">
        <f>'lokale energieproductie'!O92+'lokale energieproductie'!O61</f>
        <v>12857.142857142857</v>
      </c>
      <c r="D6" s="310">
        <f>('lokale energieproductie'!P61+'lokale energieproductie'!P92)*(-1)</f>
        <v>-25714.285714285717</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1248.6538999999998</v>
      </c>
      <c r="C8" s="21">
        <f>C5+C6</f>
        <v>12857.142857142857</v>
      </c>
      <c r="D8" s="21">
        <f>MAX((D5+D6),0)</f>
        <v>0</v>
      </c>
      <c r="E8" s="21">
        <f>MAX((E5+E6),0)</f>
        <v>11.565555406127043</v>
      </c>
      <c r="F8" s="21">
        <f>MAX((F5+F6),0)</f>
        <v>3168.072812623845</v>
      </c>
      <c r="G8" s="21"/>
      <c r="H8" s="21"/>
      <c r="I8" s="21"/>
      <c r="J8" s="21">
        <f>MAX((J5+J6),0)</f>
        <v>191.43257788819469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0.21253591176015343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265.38379510937142</v>
      </c>
      <c r="C12" s="23">
        <f ca="1">C8*C10</f>
        <v>3055.4621848739503</v>
      </c>
      <c r="D12" s="23">
        <f>D8*D10</f>
        <v>0</v>
      </c>
      <c r="E12" s="23">
        <f>E8*E10</f>
        <v>2.625381077190839</v>
      </c>
      <c r="F12" s="23">
        <f>F8*F10</f>
        <v>845.87544097056673</v>
      </c>
      <c r="G12" s="23"/>
      <c r="H12" s="23"/>
      <c r="I12" s="23"/>
      <c r="J12" s="23">
        <f>J8*J10</f>
        <v>67.76713257242092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0.17753210854096127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238.45737104656584</v>
      </c>
      <c r="C26" s="247">
        <f>B26*'GWP N2O_CH4'!B5</f>
        <v>5007.604791977883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135.45891041749294</v>
      </c>
      <c r="C27" s="247">
        <f>B27*'GWP N2O_CH4'!B5</f>
        <v>2844.6371187673517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3.5704767346176851</v>
      </c>
      <c r="C28" s="247">
        <f>B28*'GWP N2O_CH4'!B4</f>
        <v>1106.8477877314824</v>
      </c>
      <c r="D28" s="50"/>
    </row>
    <row r="29" spans="1:4">
      <c r="A29" s="41" t="s">
        <v>277</v>
      </c>
      <c r="B29" s="247">
        <f>B34*'ha_N2O bodem landbouw'!B4</f>
        <v>6.3880945974237493</v>
      </c>
      <c r="C29" s="247">
        <f>B29*'GWP N2O_CH4'!B4</f>
        <v>1980.3093252013623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1.4327370771569745E-3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1.3088281787945775E-5</v>
      </c>
      <c r="C5" s="464" t="s">
        <v>211</v>
      </c>
      <c r="D5" s="449">
        <f>SUM(D6:D11)</f>
        <v>3.687164935573549E-5</v>
      </c>
      <c r="E5" s="449">
        <f>SUM(E6:E11)</f>
        <v>2.3246524066067715E-4</v>
      </c>
      <c r="F5" s="462" t="s">
        <v>211</v>
      </c>
      <c r="G5" s="449">
        <f>SUM(G6:G11)</f>
        <v>0.10635522850663456</v>
      </c>
      <c r="H5" s="449">
        <f>SUM(H6:H11)</f>
        <v>1.3887563107332683E-2</v>
      </c>
      <c r="I5" s="464" t="s">
        <v>211</v>
      </c>
      <c r="J5" s="464" t="s">
        <v>211</v>
      </c>
      <c r="K5" s="464" t="s">
        <v>211</v>
      </c>
      <c r="L5" s="464" t="s">
        <v>211</v>
      </c>
      <c r="M5" s="449">
        <f>SUM(M6:M11)</f>
        <v>6.5796665035436318E-3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9.3781464862145063E-6</v>
      </c>
      <c r="C6" s="450"/>
      <c r="D6" s="893">
        <f>vkm_2011_GW_PW*SUMIFS(TableVerdeelsleutelVkm[CNG],TableVerdeelsleutelVkm[Voertuigtype],"Lichte voertuigen")*SUMIFS(TableECFTransport[EnergieConsumptieFactor (PJ per km)],TableECFTransport[Index],CONCATENATE($A6,"_CNG_CNG"))</f>
        <v>2.1692685313771655E-5</v>
      </c>
      <c r="E6" s="893">
        <f>vkm_2011_GW_PW*SUMIFS(TableVerdeelsleutelVkm[LPG],TableVerdeelsleutelVkm[Voertuigtype],"Lichte voertuigen")*SUMIFS(TableECFTransport[EnergieConsumptieFactor (PJ per km)],TableECFTransport[Index],CONCATENATE($A6,"_LPG_LPG"))</f>
        <v>1.4124966691755574E-4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2.9343573298961409E-2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8.271346909917307E-3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1.9520193656596533E-3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4.0398823234587551E-2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1.3815663869422658E-5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2.3373009150428978E-3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3.7101353017312689E-6</v>
      </c>
      <c r="C8" s="450"/>
      <c r="D8" s="452">
        <f>vkm_2011_NGW_PW*SUMIFS(TableVerdeelsleutelVkm[CNG],TableVerdeelsleutelVkm[Voertuigtype],"Lichte voertuigen")*SUMIFS(TableECFTransport[EnergieConsumptieFactor (PJ per km)],TableECFTransport[Index],CONCATENATE($A8,"_CNG_CNG"))</f>
        <v>1.5178964041963835E-5</v>
      </c>
      <c r="E8" s="452">
        <f>vkm_2011_NGW_PW*SUMIFS(TableVerdeelsleutelVkm[LPG],TableVerdeelsleutelVkm[Voertuigtype],"Lichte voertuigen")*SUMIFS(TableECFTransport[EnergieConsumptieFactor (PJ per km)],TableECFTransport[Index],CONCATENATE($A8,"_LPG_LPG"))</f>
        <v>9.1215573743121399E-5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1.7713930419350755E-2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5.5962850691505103E-3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1.1969483456219917E-3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1.8898901553734845E-2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6.1154643954427567E-6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1.0933978772190889E-3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3.6356338299849371</v>
      </c>
      <c r="C14" s="21"/>
      <c r="D14" s="21">
        <f t="shared" ref="D14:M14" si="0">((D5)*10^9/3600)+D12</f>
        <v>10.242124821037637</v>
      </c>
      <c r="E14" s="21">
        <f t="shared" si="0"/>
        <v>64.573677961299211</v>
      </c>
      <c r="F14" s="21"/>
      <c r="G14" s="21">
        <f t="shared" si="0"/>
        <v>29543.119029620713</v>
      </c>
      <c r="H14" s="21">
        <f t="shared" si="0"/>
        <v>3857.6564187035228</v>
      </c>
      <c r="I14" s="21"/>
      <c r="J14" s="21"/>
      <c r="K14" s="21"/>
      <c r="L14" s="21"/>
      <c r="M14" s="21">
        <f t="shared" si="0"/>
        <v>1827.685139873231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0.21253591176015343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0.77270275088190732</v>
      </c>
      <c r="C18" s="23"/>
      <c r="D18" s="23">
        <f t="shared" ref="D18:M18" si="1">D14*D16</f>
        <v>2.0689092138496026</v>
      </c>
      <c r="E18" s="23">
        <f t="shared" si="1"/>
        <v>14.658224897214922</v>
      </c>
      <c r="F18" s="23"/>
      <c r="G18" s="23">
        <f t="shared" si="1"/>
        <v>7888.0127809087307</v>
      </c>
      <c r="H18" s="23">
        <f t="shared" si="1"/>
        <v>960.55644825717718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5.7642969989135954E-4</v>
      </c>
      <c r="H50" s="321">
        <f t="shared" si="2"/>
        <v>0</v>
      </c>
      <c r="I50" s="321">
        <f t="shared" si="2"/>
        <v>0</v>
      </c>
      <c r="J50" s="321">
        <f t="shared" si="2"/>
        <v>0</v>
      </c>
      <c r="K50" s="321">
        <f t="shared" si="2"/>
        <v>0</v>
      </c>
      <c r="L50" s="321">
        <f t="shared" si="2"/>
        <v>0</v>
      </c>
      <c r="M50" s="321">
        <f t="shared" si="2"/>
        <v>3.2872105401455169E-5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5.7642969989135954E-4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3.2872105401455169E-5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160.1193610809332</v>
      </c>
      <c r="H54" s="21">
        <f t="shared" si="3"/>
        <v>0</v>
      </c>
      <c r="I54" s="21">
        <f t="shared" si="3"/>
        <v>0</v>
      </c>
      <c r="J54" s="21">
        <f t="shared" si="3"/>
        <v>0</v>
      </c>
      <c r="K54" s="21">
        <f t="shared" si="3"/>
        <v>0</v>
      </c>
      <c r="L54" s="21">
        <f t="shared" si="3"/>
        <v>0</v>
      </c>
      <c r="M54" s="21">
        <f t="shared" si="3"/>
        <v>9.1311403892931029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0.21253591176015343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42.751869408609167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7948.9262800000006</v>
      </c>
      <c r="D10" s="1025">
        <f ca="1">tertiair!C16</f>
        <v>0</v>
      </c>
      <c r="E10" s="1025">
        <f ca="1">tertiair!D16</f>
        <v>6828.6504675644446</v>
      </c>
      <c r="F10" s="1025">
        <f>tertiair!E16</f>
        <v>64.372693708239055</v>
      </c>
      <c r="G10" s="1025">
        <f ca="1">tertiair!F16</f>
        <v>1012.2538315184586</v>
      </c>
      <c r="H10" s="1025">
        <f>tertiair!G16</f>
        <v>0</v>
      </c>
      <c r="I10" s="1025">
        <f>tertiair!H16</f>
        <v>0</v>
      </c>
      <c r="J10" s="1025">
        <f>tertiair!I16</f>
        <v>0</v>
      </c>
      <c r="K10" s="1025">
        <f>tertiair!J16</f>
        <v>0</v>
      </c>
      <c r="L10" s="1025">
        <f>tertiair!K16</f>
        <v>0</v>
      </c>
      <c r="M10" s="1025">
        <f ca="1">tertiair!L16</f>
        <v>0</v>
      </c>
      <c r="N10" s="1025">
        <f>tertiair!M16</f>
        <v>0</v>
      </c>
      <c r="O10" s="1025">
        <f ca="1">tertiair!N16</f>
        <v>443.01901094589277</v>
      </c>
      <c r="P10" s="1025">
        <f>tertiair!O16</f>
        <v>0</v>
      </c>
      <c r="Q10" s="1026">
        <f>tertiair!P16</f>
        <v>0</v>
      </c>
      <c r="R10" s="701">
        <f ca="1">SUM(C10:Q10)</f>
        <v>16297.222283737037</v>
      </c>
      <c r="S10" s="67"/>
    </row>
    <row r="11" spans="1:19" s="474" customFormat="1">
      <c r="A11" s="810" t="s">
        <v>225</v>
      </c>
      <c r="B11" s="815"/>
      <c r="C11" s="1025">
        <f>huishoudens!B8</f>
        <v>13982.457220199783</v>
      </c>
      <c r="D11" s="1025">
        <f>huishoudens!C8</f>
        <v>0</v>
      </c>
      <c r="E11" s="1025">
        <f>huishoudens!D8</f>
        <v>20166.163251488724</v>
      </c>
      <c r="F11" s="1025">
        <f>huishoudens!E8</f>
        <v>1644.7333723345864</v>
      </c>
      <c r="G11" s="1025">
        <f>huishoudens!F8</f>
        <v>15363.148881522302</v>
      </c>
      <c r="H11" s="1025">
        <f>huishoudens!G8</f>
        <v>0</v>
      </c>
      <c r="I11" s="1025">
        <f>huishoudens!H8</f>
        <v>0</v>
      </c>
      <c r="J11" s="1025">
        <f>huishoudens!I8</f>
        <v>0</v>
      </c>
      <c r="K11" s="1025">
        <f>huishoudens!J8</f>
        <v>172.35369638638713</v>
      </c>
      <c r="L11" s="1025">
        <f>huishoudens!K8</f>
        <v>0</v>
      </c>
      <c r="M11" s="1025">
        <f>huishoudens!L8</f>
        <v>0</v>
      </c>
      <c r="N11" s="1025">
        <f>huishoudens!M8</f>
        <v>0</v>
      </c>
      <c r="O11" s="1025">
        <f>huishoudens!N8</f>
        <v>8233.1802259352171</v>
      </c>
      <c r="P11" s="1025">
        <f>huishoudens!O8</f>
        <v>140.70000000000002</v>
      </c>
      <c r="Q11" s="1026">
        <f>huishoudens!P8</f>
        <v>209.73333333333335</v>
      </c>
      <c r="R11" s="701">
        <f>SUM(C11:Q11)</f>
        <v>59912.469981200338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39798.858699999997</v>
      </c>
      <c r="D13" s="1025">
        <f>industrie!C18</f>
        <v>0</v>
      </c>
      <c r="E13" s="1025">
        <f>industrie!D18</f>
        <v>134504.89688746363</v>
      </c>
      <c r="F13" s="1025">
        <f>industrie!E18</f>
        <v>1769.9301853234738</v>
      </c>
      <c r="G13" s="1025">
        <f>industrie!F18</f>
        <v>24939.369178112272</v>
      </c>
      <c r="H13" s="1025">
        <f>industrie!G18</f>
        <v>0</v>
      </c>
      <c r="I13" s="1025">
        <f>industrie!H18</f>
        <v>0</v>
      </c>
      <c r="J13" s="1025">
        <f>industrie!I18</f>
        <v>0</v>
      </c>
      <c r="K13" s="1025">
        <f>industrie!J18</f>
        <v>346.02982555398597</v>
      </c>
      <c r="L13" s="1025">
        <f>industrie!K18</f>
        <v>0</v>
      </c>
      <c r="M13" s="1025">
        <f>industrie!L18</f>
        <v>0</v>
      </c>
      <c r="N13" s="1025">
        <f>industrie!M18</f>
        <v>0</v>
      </c>
      <c r="O13" s="1025">
        <f>industrie!N18</f>
        <v>10631.745130549574</v>
      </c>
      <c r="P13" s="1025">
        <f>industrie!O18</f>
        <v>0</v>
      </c>
      <c r="Q13" s="1026">
        <f>industrie!P18</f>
        <v>0</v>
      </c>
      <c r="R13" s="701">
        <f>SUM(C13:Q13)</f>
        <v>211990.82990700292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61730.242200199777</v>
      </c>
      <c r="D16" s="733">
        <f t="shared" ref="D16:R16" ca="1" si="0">SUM(D9:D15)</f>
        <v>0</v>
      </c>
      <c r="E16" s="733">
        <f t="shared" ca="1" si="0"/>
        <v>161499.7106065168</v>
      </c>
      <c r="F16" s="733">
        <f t="shared" si="0"/>
        <v>3479.0362513662994</v>
      </c>
      <c r="G16" s="733">
        <f t="shared" ca="1" si="0"/>
        <v>41314.771891153032</v>
      </c>
      <c r="H16" s="733">
        <f t="shared" si="0"/>
        <v>0</v>
      </c>
      <c r="I16" s="733">
        <f t="shared" si="0"/>
        <v>0</v>
      </c>
      <c r="J16" s="733">
        <f t="shared" si="0"/>
        <v>0</v>
      </c>
      <c r="K16" s="733">
        <f t="shared" si="0"/>
        <v>518.38352194037316</v>
      </c>
      <c r="L16" s="733">
        <f t="shared" si="0"/>
        <v>0</v>
      </c>
      <c r="M16" s="733">
        <f t="shared" ca="1" si="0"/>
        <v>0</v>
      </c>
      <c r="N16" s="733">
        <f t="shared" si="0"/>
        <v>0</v>
      </c>
      <c r="O16" s="733">
        <f t="shared" ca="1" si="0"/>
        <v>19307.944367430682</v>
      </c>
      <c r="P16" s="733">
        <f t="shared" si="0"/>
        <v>140.70000000000002</v>
      </c>
      <c r="Q16" s="733">
        <f t="shared" si="0"/>
        <v>209.73333333333335</v>
      </c>
      <c r="R16" s="733">
        <f t="shared" ca="1" si="0"/>
        <v>288200.52217194031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160.1193610809332</v>
      </c>
      <c r="I19" s="1025">
        <f>transport!H54</f>
        <v>0</v>
      </c>
      <c r="J19" s="1025">
        <f>transport!I54</f>
        <v>0</v>
      </c>
      <c r="K19" s="1025">
        <f>transport!J54</f>
        <v>0</v>
      </c>
      <c r="L19" s="1025">
        <f>transport!K54</f>
        <v>0</v>
      </c>
      <c r="M19" s="1025">
        <f>transport!L54</f>
        <v>0</v>
      </c>
      <c r="N19" s="1025">
        <f>transport!M54</f>
        <v>9.1311403892931029</v>
      </c>
      <c r="O19" s="1025">
        <f>transport!N54</f>
        <v>0</v>
      </c>
      <c r="P19" s="1025">
        <f>transport!O54</f>
        <v>0</v>
      </c>
      <c r="Q19" s="1026">
        <f>transport!P54</f>
        <v>0</v>
      </c>
      <c r="R19" s="701">
        <f>SUM(C19:Q19)</f>
        <v>169.25050147022631</v>
      </c>
      <c r="S19" s="67"/>
    </row>
    <row r="20" spans="1:19" s="474" customFormat="1">
      <c r="A20" s="810" t="s">
        <v>307</v>
      </c>
      <c r="B20" s="815"/>
      <c r="C20" s="1025">
        <f>transport!B14</f>
        <v>3.6356338299849371</v>
      </c>
      <c r="D20" s="1025">
        <f>transport!C14</f>
        <v>0</v>
      </c>
      <c r="E20" s="1025">
        <f>transport!D14</f>
        <v>10.242124821037637</v>
      </c>
      <c r="F20" s="1025">
        <f>transport!E14</f>
        <v>64.573677961299211</v>
      </c>
      <c r="G20" s="1025">
        <f>transport!F14</f>
        <v>0</v>
      </c>
      <c r="H20" s="1025">
        <f>transport!G14</f>
        <v>29543.119029620713</v>
      </c>
      <c r="I20" s="1025">
        <f>transport!H14</f>
        <v>3857.6564187035228</v>
      </c>
      <c r="J20" s="1025">
        <f>transport!I14</f>
        <v>0</v>
      </c>
      <c r="K20" s="1025">
        <f>transport!J14</f>
        <v>0</v>
      </c>
      <c r="L20" s="1025">
        <f>transport!K14</f>
        <v>0</v>
      </c>
      <c r="M20" s="1025">
        <f>transport!L14</f>
        <v>0</v>
      </c>
      <c r="N20" s="1025">
        <f>transport!M14</f>
        <v>1827.685139873231</v>
      </c>
      <c r="O20" s="1025">
        <f>transport!N14</f>
        <v>0</v>
      </c>
      <c r="P20" s="1025">
        <f>transport!O14</f>
        <v>0</v>
      </c>
      <c r="Q20" s="1026">
        <f>transport!P14</f>
        <v>0</v>
      </c>
      <c r="R20" s="701">
        <f>SUM(C20:Q20)</f>
        <v>35306.91202480979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3.6356338299849371</v>
      </c>
      <c r="D22" s="813">
        <f t="shared" ref="D22:R22" si="1">SUM(D18:D21)</f>
        <v>0</v>
      </c>
      <c r="E22" s="813">
        <f t="shared" si="1"/>
        <v>10.242124821037637</v>
      </c>
      <c r="F22" s="813">
        <f t="shared" si="1"/>
        <v>64.573677961299211</v>
      </c>
      <c r="G22" s="813">
        <f t="shared" si="1"/>
        <v>0</v>
      </c>
      <c r="H22" s="813">
        <f t="shared" si="1"/>
        <v>29703.238390701645</v>
      </c>
      <c r="I22" s="813">
        <f t="shared" si="1"/>
        <v>3857.6564187035228</v>
      </c>
      <c r="J22" s="813">
        <f t="shared" si="1"/>
        <v>0</v>
      </c>
      <c r="K22" s="813">
        <f t="shared" si="1"/>
        <v>0</v>
      </c>
      <c r="L22" s="813">
        <f t="shared" si="1"/>
        <v>0</v>
      </c>
      <c r="M22" s="813">
        <f t="shared" si="1"/>
        <v>0</v>
      </c>
      <c r="N22" s="813">
        <f t="shared" si="1"/>
        <v>1836.8162802625241</v>
      </c>
      <c r="O22" s="813">
        <f t="shared" si="1"/>
        <v>0</v>
      </c>
      <c r="P22" s="813">
        <f t="shared" si="1"/>
        <v>0</v>
      </c>
      <c r="Q22" s="813">
        <f t="shared" si="1"/>
        <v>0</v>
      </c>
      <c r="R22" s="813">
        <f t="shared" si="1"/>
        <v>35476.162526280015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1248.6538999999998</v>
      </c>
      <c r="D24" s="1025">
        <f>+landbouw!C8</f>
        <v>12857.142857142857</v>
      </c>
      <c r="E24" s="1025">
        <f>+landbouw!D8</f>
        <v>0</v>
      </c>
      <c r="F24" s="1025">
        <f>+landbouw!E8</f>
        <v>11.565555406127043</v>
      </c>
      <c r="G24" s="1025">
        <f>+landbouw!F8</f>
        <v>3168.072812623845</v>
      </c>
      <c r="H24" s="1025">
        <f>+landbouw!G8</f>
        <v>0</v>
      </c>
      <c r="I24" s="1025">
        <f>+landbouw!H8</f>
        <v>0</v>
      </c>
      <c r="J24" s="1025">
        <f>+landbouw!I8</f>
        <v>0</v>
      </c>
      <c r="K24" s="1025">
        <f>+landbouw!J8</f>
        <v>191.43257788819469</v>
      </c>
      <c r="L24" s="1025">
        <f>+landbouw!K8</f>
        <v>0</v>
      </c>
      <c r="M24" s="1025">
        <f>+landbouw!L8</f>
        <v>0</v>
      </c>
      <c r="N24" s="1025">
        <f>+landbouw!M8</f>
        <v>0</v>
      </c>
      <c r="O24" s="1025">
        <f>+landbouw!N8</f>
        <v>0</v>
      </c>
      <c r="P24" s="1025">
        <f>+landbouw!O8</f>
        <v>0</v>
      </c>
      <c r="Q24" s="1026">
        <f>+landbouw!P8</f>
        <v>0</v>
      </c>
      <c r="R24" s="701">
        <f>SUM(C24:Q24)</f>
        <v>17476.867703061023</v>
      </c>
      <c r="S24" s="67"/>
    </row>
    <row r="25" spans="1:19" s="474" customFormat="1" ht="15" thickBot="1">
      <c r="A25" s="832" t="s">
        <v>864</v>
      </c>
      <c r="B25" s="1028"/>
      <c r="C25" s="1029">
        <f>IF(Onbekend_ele_kWh="---",0,Onbekend_ele_kWh)/1000+IF(REST_rest_ele_kWh="---",0,REST_rest_ele_kWh)/1000</f>
        <v>924.66650000000004</v>
      </c>
      <c r="D25" s="1029"/>
      <c r="E25" s="1029">
        <f>IF(onbekend_gas_kWh="---",0,onbekend_gas_kWh)/1000+IF(REST_rest_gas_kWh="---",0,REST_rest_gas_kWh)/1000</f>
        <v>645.12663801630708</v>
      </c>
      <c r="F25" s="1029"/>
      <c r="G25" s="1029"/>
      <c r="H25" s="1029"/>
      <c r="I25" s="1029"/>
      <c r="J25" s="1029"/>
      <c r="K25" s="1029"/>
      <c r="L25" s="1029"/>
      <c r="M25" s="1029"/>
      <c r="N25" s="1029"/>
      <c r="O25" s="1029"/>
      <c r="P25" s="1029"/>
      <c r="Q25" s="1030"/>
      <c r="R25" s="701">
        <f>SUM(C25:Q25)</f>
        <v>1569.7931380163072</v>
      </c>
      <c r="S25" s="67"/>
    </row>
    <row r="26" spans="1:19" s="474" customFormat="1" ht="15.75" thickBot="1">
      <c r="A26" s="706" t="s">
        <v>865</v>
      </c>
      <c r="B26" s="818"/>
      <c r="C26" s="813">
        <f>SUM(C24:C25)</f>
        <v>2173.3203999999996</v>
      </c>
      <c r="D26" s="813">
        <f t="shared" ref="D26:R26" si="2">SUM(D24:D25)</f>
        <v>12857.142857142857</v>
      </c>
      <c r="E26" s="813">
        <f t="shared" si="2"/>
        <v>645.12663801630708</v>
      </c>
      <c r="F26" s="813">
        <f t="shared" si="2"/>
        <v>11.565555406127043</v>
      </c>
      <c r="G26" s="813">
        <f t="shared" si="2"/>
        <v>3168.072812623845</v>
      </c>
      <c r="H26" s="813">
        <f t="shared" si="2"/>
        <v>0</v>
      </c>
      <c r="I26" s="813">
        <f t="shared" si="2"/>
        <v>0</v>
      </c>
      <c r="J26" s="813">
        <f t="shared" si="2"/>
        <v>0</v>
      </c>
      <c r="K26" s="813">
        <f t="shared" si="2"/>
        <v>191.43257788819469</v>
      </c>
      <c r="L26" s="813">
        <f t="shared" si="2"/>
        <v>0</v>
      </c>
      <c r="M26" s="813">
        <f t="shared" si="2"/>
        <v>0</v>
      </c>
      <c r="N26" s="813">
        <f t="shared" si="2"/>
        <v>0</v>
      </c>
      <c r="O26" s="813">
        <f t="shared" si="2"/>
        <v>0</v>
      </c>
      <c r="P26" s="813">
        <f t="shared" si="2"/>
        <v>0</v>
      </c>
      <c r="Q26" s="813">
        <f t="shared" si="2"/>
        <v>0</v>
      </c>
      <c r="R26" s="813">
        <f t="shared" si="2"/>
        <v>19046.66084107733</v>
      </c>
      <c r="S26" s="67"/>
    </row>
    <row r="27" spans="1:19" s="474" customFormat="1" ht="17.25" thickTop="1" thickBot="1">
      <c r="A27" s="707" t="s">
        <v>116</v>
      </c>
      <c r="B27" s="806"/>
      <c r="C27" s="708">
        <f ca="1">C22+C16+C26</f>
        <v>63907.198234029762</v>
      </c>
      <c r="D27" s="708">
        <f t="shared" ref="D27:R27" ca="1" si="3">D22+D16+D26</f>
        <v>12857.142857142857</v>
      </c>
      <c r="E27" s="708">
        <f t="shared" ca="1" si="3"/>
        <v>162155.07936935415</v>
      </c>
      <c r="F27" s="708">
        <f t="shared" si="3"/>
        <v>3555.1754847337261</v>
      </c>
      <c r="G27" s="708">
        <f t="shared" ca="1" si="3"/>
        <v>44482.844703776878</v>
      </c>
      <c r="H27" s="708">
        <f t="shared" si="3"/>
        <v>29703.238390701645</v>
      </c>
      <c r="I27" s="708">
        <f t="shared" si="3"/>
        <v>3857.6564187035228</v>
      </c>
      <c r="J27" s="708">
        <f t="shared" si="3"/>
        <v>0</v>
      </c>
      <c r="K27" s="708">
        <f t="shared" si="3"/>
        <v>709.81609982856787</v>
      </c>
      <c r="L27" s="708">
        <f t="shared" si="3"/>
        <v>0</v>
      </c>
      <c r="M27" s="708">
        <f t="shared" ca="1" si="3"/>
        <v>0</v>
      </c>
      <c r="N27" s="708">
        <f t="shared" si="3"/>
        <v>1836.8162802625241</v>
      </c>
      <c r="O27" s="708">
        <f t="shared" ca="1" si="3"/>
        <v>19307.944367430682</v>
      </c>
      <c r="P27" s="708">
        <f t="shared" si="3"/>
        <v>140.70000000000002</v>
      </c>
      <c r="Q27" s="708">
        <f t="shared" si="3"/>
        <v>209.73333333333335</v>
      </c>
      <c r="R27" s="708">
        <f t="shared" ca="1" si="3"/>
        <v>342723.34553929768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1689.4322944340447</v>
      </c>
      <c r="D40" s="1025">
        <f ca="1">tertiair!C20</f>
        <v>0</v>
      </c>
      <c r="E40" s="1025">
        <f ca="1">tertiair!D20</f>
        <v>1379.3873944480179</v>
      </c>
      <c r="F40" s="1025">
        <f>tertiair!E20</f>
        <v>14.612601471770265</v>
      </c>
      <c r="G40" s="1025">
        <f ca="1">tertiair!F20</f>
        <v>270.27177301542844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3353.7040633692613</v>
      </c>
    </row>
    <row r="41" spans="1:18">
      <c r="A41" s="823" t="s">
        <v>225</v>
      </c>
      <c r="B41" s="830"/>
      <c r="C41" s="1025">
        <f ca="1">huishoudens!B12</f>
        <v>2971.7742939425016</v>
      </c>
      <c r="D41" s="1025">
        <f ca="1">huishoudens!C12</f>
        <v>0</v>
      </c>
      <c r="E41" s="1025">
        <f>huishoudens!D12</f>
        <v>4073.5649768007224</v>
      </c>
      <c r="F41" s="1025">
        <f>huishoudens!E12</f>
        <v>373.35447551995111</v>
      </c>
      <c r="G41" s="1025">
        <f>huishoudens!F12</f>
        <v>4101.960751366455</v>
      </c>
      <c r="H41" s="1025">
        <f>huishoudens!G12</f>
        <v>0</v>
      </c>
      <c r="I41" s="1025">
        <f>huishoudens!H12</f>
        <v>0</v>
      </c>
      <c r="J41" s="1025">
        <f>huishoudens!I12</f>
        <v>0</v>
      </c>
      <c r="K41" s="1025">
        <f>huishoudens!J12</f>
        <v>61.013208520781042</v>
      </c>
      <c r="L41" s="1025">
        <f>huishoudens!K12</f>
        <v>0</v>
      </c>
      <c r="M41" s="1025">
        <f>huishoudens!L12</f>
        <v>0</v>
      </c>
      <c r="N41" s="1025">
        <f>huishoudens!M12</f>
        <v>0</v>
      </c>
      <c r="O41" s="1025">
        <f>huishoudens!N12</f>
        <v>0</v>
      </c>
      <c r="P41" s="1025">
        <f>huishoudens!O12</f>
        <v>0</v>
      </c>
      <c r="Q41" s="775">
        <f>huishoudens!P12</f>
        <v>0</v>
      </c>
      <c r="R41" s="851">
        <f t="shared" ca="1" si="4"/>
        <v>11581.667706150411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8458.6867208180138</v>
      </c>
      <c r="D43" s="1025">
        <f ca="1">industrie!C22</f>
        <v>0</v>
      </c>
      <c r="E43" s="1025">
        <f>industrie!D22</f>
        <v>27169.989171267654</v>
      </c>
      <c r="F43" s="1025">
        <f>industrie!E22</f>
        <v>401.77415206842858</v>
      </c>
      <c r="G43" s="1025">
        <f>industrie!F22</f>
        <v>6658.8115705559767</v>
      </c>
      <c r="H43" s="1025">
        <f>industrie!G22</f>
        <v>0</v>
      </c>
      <c r="I43" s="1025">
        <f>industrie!H22</f>
        <v>0</v>
      </c>
      <c r="J43" s="1025">
        <f>industrie!I22</f>
        <v>0</v>
      </c>
      <c r="K43" s="1025">
        <f>industrie!J22</f>
        <v>122.49455824611103</v>
      </c>
      <c r="L43" s="1025">
        <f>industrie!K22</f>
        <v>0</v>
      </c>
      <c r="M43" s="1025">
        <f>industrie!L22</f>
        <v>0</v>
      </c>
      <c r="N43" s="1025">
        <f>industrie!M22</f>
        <v>0</v>
      </c>
      <c r="O43" s="1025">
        <f>industrie!N22</f>
        <v>0</v>
      </c>
      <c r="P43" s="1025">
        <f>industrie!O22</f>
        <v>0</v>
      </c>
      <c r="Q43" s="775">
        <f>industrie!P22</f>
        <v>0</v>
      </c>
      <c r="R43" s="850">
        <f t="shared" ca="1" si="4"/>
        <v>42811.756172956178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13119.89330919456</v>
      </c>
      <c r="D46" s="733">
        <f t="shared" ref="D46:Q46" ca="1" si="5">SUM(D39:D45)</f>
        <v>0</v>
      </c>
      <c r="E46" s="733">
        <f t="shared" ca="1" si="5"/>
        <v>32622.941542516397</v>
      </c>
      <c r="F46" s="733">
        <f t="shared" si="5"/>
        <v>789.74122906014998</v>
      </c>
      <c r="G46" s="733">
        <f t="shared" ca="1" si="5"/>
        <v>11031.044094937861</v>
      </c>
      <c r="H46" s="733">
        <f t="shared" si="5"/>
        <v>0</v>
      </c>
      <c r="I46" s="733">
        <f t="shared" si="5"/>
        <v>0</v>
      </c>
      <c r="J46" s="733">
        <f t="shared" si="5"/>
        <v>0</v>
      </c>
      <c r="K46" s="733">
        <f t="shared" si="5"/>
        <v>183.50776676689208</v>
      </c>
      <c r="L46" s="733">
        <f t="shared" si="5"/>
        <v>0</v>
      </c>
      <c r="M46" s="733">
        <f t="shared" ca="1" si="5"/>
        <v>0</v>
      </c>
      <c r="N46" s="733">
        <f t="shared" si="5"/>
        <v>0</v>
      </c>
      <c r="O46" s="733">
        <f t="shared" ca="1" si="5"/>
        <v>0</v>
      </c>
      <c r="P46" s="733">
        <f t="shared" si="5"/>
        <v>0</v>
      </c>
      <c r="Q46" s="733">
        <f t="shared" si="5"/>
        <v>0</v>
      </c>
      <c r="R46" s="733">
        <f ca="1">SUM(R39:R45)</f>
        <v>57747.127942475854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42.751869408609167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42.751869408609167</v>
      </c>
    </row>
    <row r="50" spans="1:18">
      <c r="A50" s="826" t="s">
        <v>307</v>
      </c>
      <c r="B50" s="836"/>
      <c r="C50" s="704">
        <f ca="1">transport!B18</f>
        <v>0.77270275088190732</v>
      </c>
      <c r="D50" s="704">
        <f>transport!C18</f>
        <v>0</v>
      </c>
      <c r="E50" s="704">
        <f>transport!D18</f>
        <v>2.0689092138496026</v>
      </c>
      <c r="F50" s="704">
        <f>transport!E18</f>
        <v>14.658224897214922</v>
      </c>
      <c r="G50" s="704">
        <f>transport!F18</f>
        <v>0</v>
      </c>
      <c r="H50" s="704">
        <f>transport!G18</f>
        <v>7888.0127809087307</v>
      </c>
      <c r="I50" s="704">
        <f>transport!H18</f>
        <v>960.55644825717718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8866.0690660278542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0.77270275088190732</v>
      </c>
      <c r="D52" s="733">
        <f t="shared" ref="D52:Q52" ca="1" si="6">SUM(D48:D51)</f>
        <v>0</v>
      </c>
      <c r="E52" s="733">
        <f t="shared" si="6"/>
        <v>2.0689092138496026</v>
      </c>
      <c r="F52" s="733">
        <f t="shared" si="6"/>
        <v>14.658224897214922</v>
      </c>
      <c r="G52" s="733">
        <f t="shared" si="6"/>
        <v>0</v>
      </c>
      <c r="H52" s="733">
        <f t="shared" si="6"/>
        <v>7930.7646503173401</v>
      </c>
      <c r="I52" s="733">
        <f t="shared" si="6"/>
        <v>960.55644825717718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8908.8209354364626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265.38379510937142</v>
      </c>
      <c r="D54" s="704">
        <f ca="1">+landbouw!C12</f>
        <v>3055.4621848739503</v>
      </c>
      <c r="E54" s="704">
        <f>+landbouw!D12</f>
        <v>0</v>
      </c>
      <c r="F54" s="704">
        <f>+landbouw!E12</f>
        <v>2.625381077190839</v>
      </c>
      <c r="G54" s="704">
        <f>+landbouw!F12</f>
        <v>845.87544097056673</v>
      </c>
      <c r="H54" s="704">
        <f>+landbouw!G12</f>
        <v>0</v>
      </c>
      <c r="I54" s="704">
        <f>+landbouw!H12</f>
        <v>0</v>
      </c>
      <c r="J54" s="704">
        <f>+landbouw!I12</f>
        <v>0</v>
      </c>
      <c r="K54" s="704">
        <f>+landbouw!J12</f>
        <v>67.76713257242092</v>
      </c>
      <c r="L54" s="704">
        <f>+landbouw!K12</f>
        <v>0</v>
      </c>
      <c r="M54" s="704">
        <f>+landbouw!L12</f>
        <v>0</v>
      </c>
      <c r="N54" s="704">
        <f>+landbouw!M12</f>
        <v>0</v>
      </c>
      <c r="O54" s="704">
        <f>+landbouw!N12</f>
        <v>0</v>
      </c>
      <c r="P54" s="704">
        <f>+landbouw!O12</f>
        <v>0</v>
      </c>
      <c r="Q54" s="705">
        <f>+landbouw!P12</f>
        <v>0</v>
      </c>
      <c r="R54" s="732">
        <f ca="1">SUM(C54:Q54)</f>
        <v>4237.1139346035006</v>
      </c>
    </row>
    <row r="55" spans="1:18" ht="15" thickBot="1">
      <c r="A55" s="826" t="s">
        <v>864</v>
      </c>
      <c r="B55" s="836"/>
      <c r="C55" s="704">
        <f ca="1">C25*'EF ele_warmte'!B12</f>
        <v>196.52483765156992</v>
      </c>
      <c r="D55" s="704"/>
      <c r="E55" s="704">
        <f>E25*EF_CO2_aardgas</f>
        <v>130.31558087929403</v>
      </c>
      <c r="F55" s="704"/>
      <c r="G55" s="704"/>
      <c r="H55" s="704"/>
      <c r="I55" s="704"/>
      <c r="J55" s="704"/>
      <c r="K55" s="704"/>
      <c r="L55" s="704"/>
      <c r="M55" s="704"/>
      <c r="N55" s="704"/>
      <c r="O55" s="704"/>
      <c r="P55" s="704"/>
      <c r="Q55" s="705"/>
      <c r="R55" s="732">
        <f ca="1">SUM(C55:Q55)</f>
        <v>326.84041853086399</v>
      </c>
    </row>
    <row r="56" spans="1:18" ht="15.75" thickBot="1">
      <c r="A56" s="824" t="s">
        <v>865</v>
      </c>
      <c r="B56" s="837"/>
      <c r="C56" s="733">
        <f ca="1">SUM(C54:C55)</f>
        <v>461.90863276094137</v>
      </c>
      <c r="D56" s="733">
        <f t="shared" ref="D56:Q56" ca="1" si="7">SUM(D54:D55)</f>
        <v>3055.4621848739503</v>
      </c>
      <c r="E56" s="733">
        <f t="shared" si="7"/>
        <v>130.31558087929403</v>
      </c>
      <c r="F56" s="733">
        <f t="shared" si="7"/>
        <v>2.625381077190839</v>
      </c>
      <c r="G56" s="733">
        <f t="shared" si="7"/>
        <v>845.87544097056673</v>
      </c>
      <c r="H56" s="733">
        <f t="shared" si="7"/>
        <v>0</v>
      </c>
      <c r="I56" s="733">
        <f t="shared" si="7"/>
        <v>0</v>
      </c>
      <c r="J56" s="733">
        <f t="shared" si="7"/>
        <v>0</v>
      </c>
      <c r="K56" s="733">
        <f t="shared" si="7"/>
        <v>67.76713257242092</v>
      </c>
      <c r="L56" s="733">
        <f t="shared" si="7"/>
        <v>0</v>
      </c>
      <c r="M56" s="733">
        <f t="shared" si="7"/>
        <v>0</v>
      </c>
      <c r="N56" s="733">
        <f t="shared" si="7"/>
        <v>0</v>
      </c>
      <c r="O56" s="733">
        <f t="shared" si="7"/>
        <v>0</v>
      </c>
      <c r="P56" s="733">
        <f t="shared" si="7"/>
        <v>0</v>
      </c>
      <c r="Q56" s="734">
        <f t="shared" si="7"/>
        <v>0</v>
      </c>
      <c r="R56" s="735">
        <f ca="1">SUM(R54:R55)</f>
        <v>4563.9543531343643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13582.574644706385</v>
      </c>
      <c r="D61" s="741">
        <f t="shared" ref="D61:Q61" ca="1" si="8">D46+D52+D56</f>
        <v>3055.4621848739503</v>
      </c>
      <c r="E61" s="741">
        <f t="shared" ca="1" si="8"/>
        <v>32755.326032609541</v>
      </c>
      <c r="F61" s="741">
        <f t="shared" si="8"/>
        <v>807.02483503455574</v>
      </c>
      <c r="G61" s="741">
        <f t="shared" ca="1" si="8"/>
        <v>11876.919535908428</v>
      </c>
      <c r="H61" s="741">
        <f t="shared" si="8"/>
        <v>7930.7646503173401</v>
      </c>
      <c r="I61" s="741">
        <f t="shared" si="8"/>
        <v>960.55644825717718</v>
      </c>
      <c r="J61" s="741">
        <f t="shared" si="8"/>
        <v>0</v>
      </c>
      <c r="K61" s="741">
        <f t="shared" si="8"/>
        <v>251.27489933931298</v>
      </c>
      <c r="L61" s="741">
        <f t="shared" si="8"/>
        <v>0</v>
      </c>
      <c r="M61" s="741">
        <f t="shared" ca="1" si="8"/>
        <v>0</v>
      </c>
      <c r="N61" s="741">
        <f t="shared" si="8"/>
        <v>0</v>
      </c>
      <c r="O61" s="741">
        <f t="shared" ca="1" si="8"/>
        <v>0</v>
      </c>
      <c r="P61" s="741">
        <f t="shared" si="8"/>
        <v>0</v>
      </c>
      <c r="Q61" s="741">
        <f t="shared" si="8"/>
        <v>0</v>
      </c>
      <c r="R61" s="741">
        <f ca="1">R46+R52+R56</f>
        <v>71219.903231046686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0.21253591176015346</v>
      </c>
      <c r="D63" s="782">
        <f t="shared" ca="1" si="9"/>
        <v>0.23764705882352946</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3125.518979302984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9000</v>
      </c>
      <c r="D76" s="1046">
        <f>'lokale energieproductie'!C8</f>
        <v>10588.235294117649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2138.8235294117653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3125.518979302984</v>
      </c>
      <c r="C78" s="756">
        <f>SUM(C72:C77)</f>
        <v>9000</v>
      </c>
      <c r="D78" s="757">
        <f t="shared" ref="D78:H78" si="10">SUM(D76:D77)</f>
        <v>10588.235294117649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2138.8235294117653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12857.142857142857</v>
      </c>
      <c r="D87" s="778">
        <f>'lokale energieproductie'!C17</f>
        <v>15126.050420168069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3055.4621848739503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12857.142857142857</v>
      </c>
      <c r="D90" s="756">
        <f t="shared" ref="D90:H90" si="12">SUM(D87:D89)</f>
        <v>15126.050420168069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3055.4621848739503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3125.518979302984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9000</v>
      </c>
      <c r="C8" s="571">
        <f>B101</f>
        <v>10588.235294117649</v>
      </c>
      <c r="D8" s="1056"/>
      <c r="E8" s="1056">
        <f>E101</f>
        <v>0</v>
      </c>
      <c r="F8" s="1057"/>
      <c r="G8" s="572"/>
      <c r="H8" s="1056">
        <f>I101</f>
        <v>0</v>
      </c>
      <c r="I8" s="1056">
        <f>G101+F101</f>
        <v>0</v>
      </c>
      <c r="J8" s="1056">
        <f>H101+D101+C101</f>
        <v>0</v>
      </c>
      <c r="K8" s="1056"/>
      <c r="L8" s="1056"/>
      <c r="M8" s="1056"/>
      <c r="N8" s="573"/>
      <c r="O8" s="574">
        <f>C8*$C$12+D8*$D$12+E8*$E$12+F8*$F$12+G8*$G$12+H8*$H$12+I8*$I$12+J8*$J$12</f>
        <v>2138.8235294117653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12125.518979302984</v>
      </c>
      <c r="C10" s="584">
        <f t="shared" ref="C10:L10" si="0">SUM(C8:C9)</f>
        <v>10588.235294117649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2138.8235294117653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12857.142857142857</v>
      </c>
      <c r="C17" s="596">
        <f>B102</f>
        <v>15126.050420168069</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3055.4621848739503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12857.142857142857</v>
      </c>
      <c r="C20" s="583">
        <f>SUM(C17:C19)</f>
        <v>15126.050420168069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3055.4621848739503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37010</v>
      </c>
      <c r="C28" s="797">
        <v>8780</v>
      </c>
      <c r="D28" s="654" t="s">
        <v>907</v>
      </c>
      <c r="E28" s="653" t="s">
        <v>908</v>
      </c>
      <c r="F28" s="653" t="s">
        <v>909</v>
      </c>
      <c r="G28" s="653" t="s">
        <v>910</v>
      </c>
      <c r="H28" s="653" t="s">
        <v>911</v>
      </c>
      <c r="I28" s="653" t="s">
        <v>908</v>
      </c>
      <c r="J28" s="796">
        <v>39853</v>
      </c>
      <c r="K28" s="796">
        <v>39875</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2000</v>
      </c>
      <c r="N58" s="611">
        <f>SUM(N28:N57)</f>
        <v>9000</v>
      </c>
      <c r="O58" s="611">
        <f t="shared" ref="O58:W58" si="2">SUM(O28:O57)</f>
        <v>12857.142857142857</v>
      </c>
      <c r="P58" s="611">
        <f t="shared" si="2"/>
        <v>25714.285714285717</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2000</v>
      </c>
      <c r="N61" s="616">
        <f t="shared" si="4"/>
        <v>9000</v>
      </c>
      <c r="O61" s="616">
        <f t="shared" si="4"/>
        <v>12857.142857142857</v>
      </c>
      <c r="P61" s="616">
        <f t="shared" si="4"/>
        <v>25714.285714285717</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10588.235294117649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15126.050420168069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13982.457220199783</v>
      </c>
      <c r="C4" s="478">
        <f>huishoudens!C8</f>
        <v>0</v>
      </c>
      <c r="D4" s="478">
        <f>huishoudens!D8</f>
        <v>20166.163251488724</v>
      </c>
      <c r="E4" s="478">
        <f>huishoudens!E8</f>
        <v>1644.7333723345864</v>
      </c>
      <c r="F4" s="478">
        <f>huishoudens!F8</f>
        <v>15363.148881522302</v>
      </c>
      <c r="G4" s="478">
        <f>huishoudens!G8</f>
        <v>0</v>
      </c>
      <c r="H4" s="478">
        <f>huishoudens!H8</f>
        <v>0</v>
      </c>
      <c r="I4" s="478">
        <f>huishoudens!I8</f>
        <v>0</v>
      </c>
      <c r="J4" s="478">
        <f>huishoudens!J8</f>
        <v>172.35369638638713</v>
      </c>
      <c r="K4" s="478">
        <f>huishoudens!K8</f>
        <v>0</v>
      </c>
      <c r="L4" s="478">
        <f>huishoudens!L8</f>
        <v>0</v>
      </c>
      <c r="M4" s="478">
        <f>huishoudens!M8</f>
        <v>0</v>
      </c>
      <c r="N4" s="478">
        <f>huishoudens!N8</f>
        <v>8233.1802259352171</v>
      </c>
      <c r="O4" s="478">
        <f>huishoudens!O8</f>
        <v>140.70000000000002</v>
      </c>
      <c r="P4" s="479">
        <f>huishoudens!P8</f>
        <v>209.73333333333335</v>
      </c>
      <c r="Q4" s="480">
        <f>SUM(B4:P4)</f>
        <v>59912.469981200338</v>
      </c>
    </row>
    <row r="5" spans="1:17">
      <c r="A5" s="477" t="s">
        <v>156</v>
      </c>
      <c r="B5" s="478">
        <f ca="1">tertiair!B16</f>
        <v>7255.6702800000003</v>
      </c>
      <c r="C5" s="478">
        <f ca="1">tertiair!C16</f>
        <v>0</v>
      </c>
      <c r="D5" s="478">
        <f ca="1">tertiair!D16</f>
        <v>6828.6504675644446</v>
      </c>
      <c r="E5" s="478">
        <f>tertiair!E16</f>
        <v>64.372693708239055</v>
      </c>
      <c r="F5" s="478">
        <f ca="1">tertiair!F16</f>
        <v>1012.2538315184586</v>
      </c>
      <c r="G5" s="478">
        <f>tertiair!G16</f>
        <v>0</v>
      </c>
      <c r="H5" s="478">
        <f>tertiair!H16</f>
        <v>0</v>
      </c>
      <c r="I5" s="478">
        <f>tertiair!I16</f>
        <v>0</v>
      </c>
      <c r="J5" s="478">
        <f>tertiair!J16</f>
        <v>0</v>
      </c>
      <c r="K5" s="478">
        <f>tertiair!K16</f>
        <v>0</v>
      </c>
      <c r="L5" s="478">
        <f ca="1">tertiair!L16</f>
        <v>0</v>
      </c>
      <c r="M5" s="478">
        <f>tertiair!M16</f>
        <v>0</v>
      </c>
      <c r="N5" s="478">
        <f ca="1">tertiair!N16</f>
        <v>443.01901094589277</v>
      </c>
      <c r="O5" s="478">
        <f>tertiair!O16</f>
        <v>0</v>
      </c>
      <c r="P5" s="479">
        <f>tertiair!P16</f>
        <v>0</v>
      </c>
      <c r="Q5" s="477">
        <f t="shared" ref="Q5:Q14" ca="1" si="0">SUM(B5:P5)</f>
        <v>15603.966283737036</v>
      </c>
    </row>
    <row r="6" spans="1:17">
      <c r="A6" s="477" t="s">
        <v>194</v>
      </c>
      <c r="B6" s="478">
        <f>'openbare verlichting'!B8</f>
        <v>693.25599999999997</v>
      </c>
      <c r="C6" s="478"/>
      <c r="D6" s="478"/>
      <c r="E6" s="478"/>
      <c r="F6" s="478"/>
      <c r="G6" s="478"/>
      <c r="H6" s="478"/>
      <c r="I6" s="478"/>
      <c r="J6" s="478"/>
      <c r="K6" s="478"/>
      <c r="L6" s="478"/>
      <c r="M6" s="478"/>
      <c r="N6" s="478"/>
      <c r="O6" s="478"/>
      <c r="P6" s="479"/>
      <c r="Q6" s="477">
        <f t="shared" si="0"/>
        <v>693.25599999999997</v>
      </c>
    </row>
    <row r="7" spans="1:17">
      <c r="A7" s="477" t="s">
        <v>112</v>
      </c>
      <c r="B7" s="478">
        <f>landbouw!B8</f>
        <v>1248.6538999999998</v>
      </c>
      <c r="C7" s="478">
        <f>landbouw!C8</f>
        <v>12857.142857142857</v>
      </c>
      <c r="D7" s="478">
        <f>landbouw!D8</f>
        <v>0</v>
      </c>
      <c r="E7" s="478">
        <f>landbouw!E8</f>
        <v>11.565555406127043</v>
      </c>
      <c r="F7" s="478">
        <f>landbouw!F8</f>
        <v>3168.072812623845</v>
      </c>
      <c r="G7" s="478">
        <f>landbouw!G8</f>
        <v>0</v>
      </c>
      <c r="H7" s="478">
        <f>landbouw!H8</f>
        <v>0</v>
      </c>
      <c r="I7" s="478">
        <f>landbouw!I8</f>
        <v>0</v>
      </c>
      <c r="J7" s="478">
        <f>landbouw!J8</f>
        <v>191.43257788819469</v>
      </c>
      <c r="K7" s="478">
        <f>landbouw!K8</f>
        <v>0</v>
      </c>
      <c r="L7" s="478">
        <f>landbouw!L8</f>
        <v>0</v>
      </c>
      <c r="M7" s="478">
        <f>landbouw!M8</f>
        <v>0</v>
      </c>
      <c r="N7" s="478">
        <f>landbouw!N8</f>
        <v>0</v>
      </c>
      <c r="O7" s="478">
        <f>landbouw!O8</f>
        <v>0</v>
      </c>
      <c r="P7" s="479">
        <f>landbouw!P8</f>
        <v>0</v>
      </c>
      <c r="Q7" s="477">
        <f t="shared" si="0"/>
        <v>17476.867703061023</v>
      </c>
    </row>
    <row r="8" spans="1:17">
      <c r="A8" s="477" t="s">
        <v>650</v>
      </c>
      <c r="B8" s="478">
        <f>industrie!B18</f>
        <v>39798.858699999997</v>
      </c>
      <c r="C8" s="478">
        <f>industrie!C18</f>
        <v>0</v>
      </c>
      <c r="D8" s="478">
        <f>industrie!D18</f>
        <v>134504.89688746363</v>
      </c>
      <c r="E8" s="478">
        <f>industrie!E18</f>
        <v>1769.9301853234738</v>
      </c>
      <c r="F8" s="478">
        <f>industrie!F18</f>
        <v>24939.369178112272</v>
      </c>
      <c r="G8" s="478">
        <f>industrie!G18</f>
        <v>0</v>
      </c>
      <c r="H8" s="478">
        <f>industrie!H18</f>
        <v>0</v>
      </c>
      <c r="I8" s="478">
        <f>industrie!I18</f>
        <v>0</v>
      </c>
      <c r="J8" s="478">
        <f>industrie!J18</f>
        <v>346.02982555398597</v>
      </c>
      <c r="K8" s="478">
        <f>industrie!K18</f>
        <v>0</v>
      </c>
      <c r="L8" s="478">
        <f>industrie!L18</f>
        <v>0</v>
      </c>
      <c r="M8" s="478">
        <f>industrie!M18</f>
        <v>0</v>
      </c>
      <c r="N8" s="478">
        <f>industrie!N18</f>
        <v>10631.745130549574</v>
      </c>
      <c r="O8" s="478">
        <f>industrie!O18</f>
        <v>0</v>
      </c>
      <c r="P8" s="479">
        <f>industrie!P18</f>
        <v>0</v>
      </c>
      <c r="Q8" s="477">
        <f t="shared" si="0"/>
        <v>211990.82990700292</v>
      </c>
    </row>
    <row r="9" spans="1:17" s="483" customFormat="1">
      <c r="A9" s="481" t="s">
        <v>571</v>
      </c>
      <c r="B9" s="482">
        <f>transport!B14</f>
        <v>3.6356338299849371</v>
      </c>
      <c r="C9" s="482">
        <f>transport!C14</f>
        <v>0</v>
      </c>
      <c r="D9" s="482">
        <f>transport!D14</f>
        <v>10.242124821037637</v>
      </c>
      <c r="E9" s="482">
        <f>transport!E14</f>
        <v>64.573677961299211</v>
      </c>
      <c r="F9" s="482">
        <f>transport!F14</f>
        <v>0</v>
      </c>
      <c r="G9" s="482">
        <f>transport!G14</f>
        <v>29543.119029620713</v>
      </c>
      <c r="H9" s="482">
        <f>transport!H14</f>
        <v>3857.6564187035228</v>
      </c>
      <c r="I9" s="482">
        <f>transport!I14</f>
        <v>0</v>
      </c>
      <c r="J9" s="482">
        <f>transport!J14</f>
        <v>0</v>
      </c>
      <c r="K9" s="482">
        <f>transport!K14</f>
        <v>0</v>
      </c>
      <c r="L9" s="482">
        <f>transport!L14</f>
        <v>0</v>
      </c>
      <c r="M9" s="482">
        <f>transport!M14</f>
        <v>1827.685139873231</v>
      </c>
      <c r="N9" s="482">
        <f>transport!N14</f>
        <v>0</v>
      </c>
      <c r="O9" s="482">
        <f>transport!O14</f>
        <v>0</v>
      </c>
      <c r="P9" s="482">
        <f>transport!P14</f>
        <v>0</v>
      </c>
      <c r="Q9" s="481">
        <f>SUM(B9:P9)</f>
        <v>35306.91202480979</v>
      </c>
    </row>
    <row r="10" spans="1:17">
      <c r="A10" s="477" t="s">
        <v>561</v>
      </c>
      <c r="B10" s="478">
        <f>transport!B54</f>
        <v>0</v>
      </c>
      <c r="C10" s="478">
        <f>transport!C54</f>
        <v>0</v>
      </c>
      <c r="D10" s="478">
        <f>transport!D54</f>
        <v>0</v>
      </c>
      <c r="E10" s="478">
        <f>transport!E54</f>
        <v>0</v>
      </c>
      <c r="F10" s="478">
        <f>transport!F54</f>
        <v>0</v>
      </c>
      <c r="G10" s="478">
        <f>transport!G54</f>
        <v>160.1193610809332</v>
      </c>
      <c r="H10" s="478">
        <f>transport!H54</f>
        <v>0</v>
      </c>
      <c r="I10" s="478">
        <f>transport!I54</f>
        <v>0</v>
      </c>
      <c r="J10" s="478">
        <f>transport!J54</f>
        <v>0</v>
      </c>
      <c r="K10" s="478">
        <f>transport!K54</f>
        <v>0</v>
      </c>
      <c r="L10" s="478">
        <f>transport!L54</f>
        <v>0</v>
      </c>
      <c r="M10" s="478">
        <f>transport!M54</f>
        <v>9.1311403892931029</v>
      </c>
      <c r="N10" s="478">
        <f>transport!N54</f>
        <v>0</v>
      </c>
      <c r="O10" s="478">
        <f>transport!O54</f>
        <v>0</v>
      </c>
      <c r="P10" s="479">
        <f>transport!P54</f>
        <v>0</v>
      </c>
      <c r="Q10" s="477">
        <f t="shared" si="0"/>
        <v>169.25050147022631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924.66650000000004</v>
      </c>
      <c r="C14" s="485"/>
      <c r="D14" s="485">
        <f>'SEAP template'!E25</f>
        <v>645.12663801630708</v>
      </c>
      <c r="E14" s="485"/>
      <c r="F14" s="485"/>
      <c r="G14" s="485"/>
      <c r="H14" s="485"/>
      <c r="I14" s="485"/>
      <c r="J14" s="485"/>
      <c r="K14" s="485"/>
      <c r="L14" s="485"/>
      <c r="M14" s="485"/>
      <c r="N14" s="485"/>
      <c r="O14" s="485"/>
      <c r="P14" s="486"/>
      <c r="Q14" s="477">
        <f t="shared" si="0"/>
        <v>1569.7931380163072</v>
      </c>
    </row>
    <row r="15" spans="1:17" s="487" customFormat="1">
      <c r="A15" s="1051" t="s">
        <v>565</v>
      </c>
      <c r="B15" s="991">
        <f ca="1">SUM(B4:B14)</f>
        <v>63907.198234029769</v>
      </c>
      <c r="C15" s="991">
        <f t="shared" ref="C15:Q15" ca="1" si="1">SUM(C4:C14)</f>
        <v>12857.142857142857</v>
      </c>
      <c r="D15" s="991">
        <f t="shared" ca="1" si="1"/>
        <v>162155.07936935415</v>
      </c>
      <c r="E15" s="991">
        <f t="shared" si="1"/>
        <v>3555.1754847337256</v>
      </c>
      <c r="F15" s="991">
        <f t="shared" ca="1" si="1"/>
        <v>44482.844703776878</v>
      </c>
      <c r="G15" s="991">
        <f t="shared" si="1"/>
        <v>29703.238390701645</v>
      </c>
      <c r="H15" s="991">
        <f t="shared" si="1"/>
        <v>3857.6564187035228</v>
      </c>
      <c r="I15" s="991">
        <f t="shared" si="1"/>
        <v>0</v>
      </c>
      <c r="J15" s="991">
        <f t="shared" si="1"/>
        <v>709.81609982856776</v>
      </c>
      <c r="K15" s="991">
        <f t="shared" si="1"/>
        <v>0</v>
      </c>
      <c r="L15" s="991">
        <f t="shared" ca="1" si="1"/>
        <v>0</v>
      </c>
      <c r="M15" s="991">
        <f t="shared" si="1"/>
        <v>1836.8162802625241</v>
      </c>
      <c r="N15" s="991">
        <f t="shared" ca="1" si="1"/>
        <v>19307.944367430682</v>
      </c>
      <c r="O15" s="991">
        <f t="shared" si="1"/>
        <v>140.70000000000002</v>
      </c>
      <c r="P15" s="991">
        <f t="shared" si="1"/>
        <v>209.73333333333335</v>
      </c>
      <c r="Q15" s="991">
        <f t="shared" ca="1" si="1"/>
        <v>342723.34553929768</v>
      </c>
    </row>
    <row r="17" spans="1:17">
      <c r="A17" s="488" t="s">
        <v>566</v>
      </c>
      <c r="B17" s="787">
        <f ca="1">huishoudens!B10</f>
        <v>0.21253591176015343</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2971.7742939425016</v>
      </c>
      <c r="C22" s="478">
        <f t="shared" ref="C22:C32" ca="1" si="3">C4*$C$17</f>
        <v>0</v>
      </c>
      <c r="D22" s="478">
        <f t="shared" ref="D22:D32" si="4">D4*$D$17</f>
        <v>4073.5649768007224</v>
      </c>
      <c r="E22" s="478">
        <f t="shared" ref="E22:E32" si="5">E4*$E$17</f>
        <v>373.35447551995111</v>
      </c>
      <c r="F22" s="478">
        <f t="shared" ref="F22:F32" si="6">F4*$F$17</f>
        <v>4101.960751366455</v>
      </c>
      <c r="G22" s="478">
        <f t="shared" ref="G22:G32" si="7">G4*$G$17</f>
        <v>0</v>
      </c>
      <c r="H22" s="478">
        <f t="shared" ref="H22:H32" si="8">H4*$H$17</f>
        <v>0</v>
      </c>
      <c r="I22" s="478">
        <f t="shared" ref="I22:I32" si="9">I4*$I$17</f>
        <v>0</v>
      </c>
      <c r="J22" s="478">
        <f t="shared" ref="J22:J32" si="10">J4*$J$17</f>
        <v>61.013208520781042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11581.667706150411</v>
      </c>
    </row>
    <row r="23" spans="1:17">
      <c r="A23" s="477" t="s">
        <v>156</v>
      </c>
      <c r="B23" s="478">
        <f t="shared" ca="1" si="2"/>
        <v>1542.0904983908479</v>
      </c>
      <c r="C23" s="478">
        <f t="shared" ca="1" si="3"/>
        <v>0</v>
      </c>
      <c r="D23" s="478">
        <f t="shared" ca="1" si="4"/>
        <v>1379.3873944480179</v>
      </c>
      <c r="E23" s="478">
        <f t="shared" si="5"/>
        <v>14.612601471770265</v>
      </c>
      <c r="F23" s="478">
        <f t="shared" ca="1" si="6"/>
        <v>270.27177301542844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3206.3622673260647</v>
      </c>
    </row>
    <row r="24" spans="1:17">
      <c r="A24" s="477" t="s">
        <v>194</v>
      </c>
      <c r="B24" s="478">
        <f t="shared" ca="1" si="2"/>
        <v>147.34179604319692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147.34179604319692</v>
      </c>
    </row>
    <row r="25" spans="1:17">
      <c r="A25" s="477" t="s">
        <v>112</v>
      </c>
      <c r="B25" s="478">
        <f t="shared" ca="1" si="2"/>
        <v>265.38379510937142</v>
      </c>
      <c r="C25" s="478">
        <f t="shared" ca="1" si="3"/>
        <v>3055.4621848739503</v>
      </c>
      <c r="D25" s="478">
        <f t="shared" si="4"/>
        <v>0</v>
      </c>
      <c r="E25" s="478">
        <f t="shared" si="5"/>
        <v>2.625381077190839</v>
      </c>
      <c r="F25" s="478">
        <f t="shared" si="6"/>
        <v>845.87544097056673</v>
      </c>
      <c r="G25" s="478">
        <f t="shared" si="7"/>
        <v>0</v>
      </c>
      <c r="H25" s="478">
        <f t="shared" si="8"/>
        <v>0</v>
      </c>
      <c r="I25" s="478">
        <f t="shared" si="9"/>
        <v>0</v>
      </c>
      <c r="J25" s="478">
        <f t="shared" si="10"/>
        <v>67.76713257242092</v>
      </c>
      <c r="K25" s="478">
        <f t="shared" si="11"/>
        <v>0</v>
      </c>
      <c r="L25" s="478">
        <f t="shared" si="12"/>
        <v>0</v>
      </c>
      <c r="M25" s="478">
        <f t="shared" si="13"/>
        <v>0</v>
      </c>
      <c r="N25" s="478">
        <f t="shared" si="14"/>
        <v>0</v>
      </c>
      <c r="O25" s="478">
        <f t="shared" si="15"/>
        <v>0</v>
      </c>
      <c r="P25" s="479">
        <f t="shared" si="16"/>
        <v>0</v>
      </c>
      <c r="Q25" s="477">
        <f t="shared" ca="1" si="17"/>
        <v>4237.1139346035006</v>
      </c>
    </row>
    <row r="26" spans="1:17">
      <c r="A26" s="477" t="s">
        <v>650</v>
      </c>
      <c r="B26" s="478">
        <f t="shared" ca="1" si="2"/>
        <v>8458.6867208180138</v>
      </c>
      <c r="C26" s="478">
        <f t="shared" ca="1" si="3"/>
        <v>0</v>
      </c>
      <c r="D26" s="478">
        <f t="shared" si="4"/>
        <v>27169.989171267654</v>
      </c>
      <c r="E26" s="478">
        <f t="shared" si="5"/>
        <v>401.77415206842858</v>
      </c>
      <c r="F26" s="478">
        <f t="shared" si="6"/>
        <v>6658.8115705559767</v>
      </c>
      <c r="G26" s="478">
        <f t="shared" si="7"/>
        <v>0</v>
      </c>
      <c r="H26" s="478">
        <f t="shared" si="8"/>
        <v>0</v>
      </c>
      <c r="I26" s="478">
        <f t="shared" si="9"/>
        <v>0</v>
      </c>
      <c r="J26" s="478">
        <f t="shared" si="10"/>
        <v>122.49455824611103</v>
      </c>
      <c r="K26" s="478">
        <f t="shared" si="11"/>
        <v>0</v>
      </c>
      <c r="L26" s="478">
        <f t="shared" si="12"/>
        <v>0</v>
      </c>
      <c r="M26" s="478">
        <f t="shared" si="13"/>
        <v>0</v>
      </c>
      <c r="N26" s="478">
        <f t="shared" si="14"/>
        <v>0</v>
      </c>
      <c r="O26" s="478">
        <f t="shared" si="15"/>
        <v>0</v>
      </c>
      <c r="P26" s="479">
        <f t="shared" si="16"/>
        <v>0</v>
      </c>
      <c r="Q26" s="477">
        <f t="shared" ca="1" si="17"/>
        <v>42811.756172956178</v>
      </c>
    </row>
    <row r="27" spans="1:17" s="483" customFormat="1">
      <c r="A27" s="481" t="s">
        <v>571</v>
      </c>
      <c r="B27" s="781">
        <f t="shared" ca="1" si="2"/>
        <v>0.77270275088190732</v>
      </c>
      <c r="C27" s="482">
        <f t="shared" ca="1" si="3"/>
        <v>0</v>
      </c>
      <c r="D27" s="482">
        <f t="shared" si="4"/>
        <v>2.0689092138496026</v>
      </c>
      <c r="E27" s="482">
        <f t="shared" si="5"/>
        <v>14.658224897214922</v>
      </c>
      <c r="F27" s="482">
        <f t="shared" si="6"/>
        <v>0</v>
      </c>
      <c r="G27" s="482">
        <f t="shared" si="7"/>
        <v>7888.0127809087307</v>
      </c>
      <c r="H27" s="482">
        <f t="shared" si="8"/>
        <v>960.55644825717718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8866.0690660278542</v>
      </c>
    </row>
    <row r="28" spans="1:17">
      <c r="A28" s="477" t="s">
        <v>561</v>
      </c>
      <c r="B28" s="478">
        <f t="shared" ca="1" si="2"/>
        <v>0</v>
      </c>
      <c r="C28" s="478">
        <f t="shared" ca="1" si="3"/>
        <v>0</v>
      </c>
      <c r="D28" s="478">
        <f t="shared" si="4"/>
        <v>0</v>
      </c>
      <c r="E28" s="478">
        <f t="shared" si="5"/>
        <v>0</v>
      </c>
      <c r="F28" s="478">
        <f t="shared" si="6"/>
        <v>0</v>
      </c>
      <c r="G28" s="478">
        <f t="shared" si="7"/>
        <v>42.751869408609167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42.751869408609167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196.52483765156992</v>
      </c>
      <c r="C32" s="478">
        <f t="shared" ca="1" si="3"/>
        <v>0</v>
      </c>
      <c r="D32" s="478">
        <f t="shared" si="4"/>
        <v>130.31558087929403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326.84041853086399</v>
      </c>
    </row>
    <row r="33" spans="1:17" s="487" customFormat="1">
      <c r="A33" s="1051" t="s">
        <v>565</v>
      </c>
      <c r="B33" s="991">
        <f ca="1">SUM(B22:B32)</f>
        <v>13582.574644706385</v>
      </c>
      <c r="C33" s="991">
        <f t="shared" ref="C33:Q33" ca="1" si="18">SUM(C22:C32)</f>
        <v>3055.4621848739503</v>
      </c>
      <c r="D33" s="991">
        <f t="shared" ca="1" si="18"/>
        <v>32755.326032609541</v>
      </c>
      <c r="E33" s="991">
        <f t="shared" si="18"/>
        <v>807.02483503455574</v>
      </c>
      <c r="F33" s="991">
        <f t="shared" ca="1" si="18"/>
        <v>11876.919535908426</v>
      </c>
      <c r="G33" s="991">
        <f t="shared" si="18"/>
        <v>7930.7646503173401</v>
      </c>
      <c r="H33" s="991">
        <f t="shared" si="18"/>
        <v>960.55644825717718</v>
      </c>
      <c r="I33" s="991">
        <f t="shared" si="18"/>
        <v>0</v>
      </c>
      <c r="J33" s="991">
        <f t="shared" si="18"/>
        <v>251.27489933931298</v>
      </c>
      <c r="K33" s="991">
        <f t="shared" si="18"/>
        <v>0</v>
      </c>
      <c r="L33" s="991">
        <f t="shared" ca="1" si="18"/>
        <v>0</v>
      </c>
      <c r="M33" s="991">
        <f t="shared" si="18"/>
        <v>0</v>
      </c>
      <c r="N33" s="991">
        <f t="shared" ca="1" si="18"/>
        <v>0</v>
      </c>
      <c r="O33" s="991">
        <f t="shared" si="18"/>
        <v>0</v>
      </c>
      <c r="P33" s="991">
        <f t="shared" si="18"/>
        <v>0</v>
      </c>
      <c r="Q33" s="991">
        <f t="shared" ca="1" si="18"/>
        <v>71219.903231046672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3125.518979302984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9000</v>
      </c>
      <c r="D8" s="1068">
        <f>'SEAP template'!D76</f>
        <v>10588.235294117649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2138.8235294117653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3125.518979302984</v>
      </c>
      <c r="C10" s="1072">
        <f>SUM(C4:C9)</f>
        <v>9000</v>
      </c>
      <c r="D10" s="1072">
        <f t="shared" ref="D10:H10" si="0">SUM(D8:D9)</f>
        <v>10588.235294117649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2138.8235294117653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0.21253591176015343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12857.142857142857</v>
      </c>
      <c r="D17" s="1069">
        <f>'SEAP template'!D87</f>
        <v>15126.050420168069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3055.4621848739503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12857.142857142857</v>
      </c>
      <c r="D20" s="1072">
        <f t="shared" ref="D20:H20" si="2">SUM(D17:D19)</f>
        <v>15126.050420168069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3055.4621848739503</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0.21253591176015343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2019-08-12T08:09:02Z</dcterms:modified>
</cp:coreProperties>
</file>