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D20" s="1"/>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L90" i="14"/>
  <c r="L18" i="59"/>
  <c r="L20" s="1"/>
  <c r="O10"/>
  <c r="E20"/>
  <c r="L10" i="18"/>
  <c r="L78" i="14"/>
  <c r="E89"/>
  <c r="E19" i="59" s="1"/>
  <c r="K78" i="14"/>
  <c r="B17" i="18"/>
  <c r="B20" s="1"/>
  <c r="L10" i="59"/>
  <c r="D22" i="14"/>
  <c r="L22"/>
  <c r="E10" i="59"/>
  <c r="F13" i="15"/>
  <c r="H90" i="14"/>
  <c r="H18" i="59"/>
  <c r="H20" s="1"/>
  <c r="N10"/>
  <c r="K20"/>
  <c r="C98" i="18"/>
  <c r="P22" i="14"/>
  <c r="D14" i="48"/>
  <c r="K10" i="18"/>
  <c r="H9"/>
  <c r="M77" i="14" s="1"/>
  <c r="Q22"/>
  <c r="I77"/>
  <c r="I9" i="59" s="1"/>
  <c r="B13" i="15"/>
  <c r="B10" i="18"/>
  <c r="N13" i="15"/>
  <c r="L13"/>
  <c r="F77" i="14"/>
  <c r="F9" i="59" s="1"/>
  <c r="I101" i="18"/>
  <c r="H8" s="1"/>
  <c r="E101"/>
  <c r="E8" s="1"/>
  <c r="F101"/>
  <c r="H101"/>
  <c r="D101"/>
  <c r="G101"/>
  <c r="C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H78" i="14"/>
  <c r="H9" i="59"/>
  <c r="H10" s="1"/>
  <c r="Q14" i="48"/>
  <c r="Q89" i="14"/>
  <c r="P19" i="59" s="1"/>
  <c r="O9" i="18"/>
  <c r="O90" i="14"/>
  <c r="O18" i="59"/>
  <c r="O20" s="1"/>
  <c r="N90" i="14"/>
  <c r="N18" i="59"/>
  <c r="N20" s="1"/>
  <c r="B89" i="14"/>
  <c r="B19" i="59" s="1"/>
  <c r="J17" i="18"/>
  <c r="I8"/>
  <c r="I76" i="14" s="1"/>
  <c r="I8" i="59" s="1"/>
  <c r="I10" s="1"/>
  <c r="C77" i="14"/>
  <c r="C9" i="59" s="1"/>
  <c r="J87" i="14"/>
  <c r="J20" i="18"/>
  <c r="H20"/>
  <c r="M87" i="14"/>
  <c r="F76"/>
  <c r="E10" i="18"/>
  <c r="C20"/>
  <c r="O17"/>
  <c r="O20" s="1"/>
  <c r="D87" i="14"/>
  <c r="D17" i="59" s="1"/>
  <c r="D20" s="1"/>
  <c r="H10" i="18"/>
  <c r="M76" i="14"/>
  <c r="B88"/>
  <c r="B18" i="59" s="1"/>
  <c r="I17" i="18"/>
  <c r="D76" i="14"/>
  <c r="D8" i="59" s="1"/>
  <c r="D10" s="1"/>
  <c r="C10" i="18"/>
  <c r="J8"/>
  <c r="C88" i="14"/>
  <c r="C18" i="59" s="1"/>
  <c r="B77" i="14"/>
  <c r="B9" i="59" s="1"/>
  <c r="E20" i="18"/>
  <c r="F87" i="14"/>
  <c r="Q88"/>
  <c r="P18" i="59" s="1"/>
  <c r="H14" i="15"/>
  <c r="H16" s="1"/>
  <c r="G14"/>
  <c r="G16" s="1"/>
  <c r="M78" i="14" l="1"/>
  <c r="M8" i="59"/>
  <c r="M10" s="1"/>
  <c r="M90" i="14"/>
  <c r="M17" i="59"/>
  <c r="M20" s="1"/>
  <c r="F78" i="14"/>
  <c r="F8" i="59"/>
  <c r="F10" s="1"/>
  <c r="O8" i="18"/>
  <c r="O10" s="1"/>
  <c r="I10"/>
  <c r="G5" i="48"/>
  <c r="H10" i="14"/>
  <c r="H16" s="1"/>
  <c r="J90"/>
  <c r="J17" i="59"/>
  <c r="J20" s="1"/>
  <c r="H5" i="48"/>
  <c r="I10" i="14"/>
  <c r="I16" s="1"/>
  <c r="F90"/>
  <c r="F17" i="59"/>
  <c r="F20" s="1"/>
  <c r="Q76" i="14"/>
  <c r="D78"/>
  <c r="I78"/>
  <c r="B76"/>
  <c r="J10" i="18"/>
  <c r="J76" i="14"/>
  <c r="I87"/>
  <c r="I17" i="59" s="1"/>
  <c r="I20" s="1"/>
  <c r="I20" i="18"/>
  <c r="Q87" i="14"/>
  <c r="D90"/>
  <c r="C87"/>
  <c r="A31" i="23"/>
  <c r="A32"/>
  <c r="A33"/>
  <c r="Q90" i="14" l="1"/>
  <c r="B17" i="6" s="1"/>
  <c r="P17" i="59"/>
  <c r="P20" s="1"/>
  <c r="Q78" i="14"/>
  <c r="B9" i="6" s="1"/>
  <c r="P8" i="59"/>
  <c r="P10" s="1"/>
  <c r="J78" i="14"/>
  <c r="J8" i="59"/>
  <c r="J10" s="1"/>
  <c r="C90" i="14"/>
  <c r="C17" i="59"/>
  <c r="C20" s="1"/>
  <c r="B78" i="14"/>
  <c r="B8" i="59"/>
  <c r="B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4" i="48"/>
  <c r="J27"/>
  <c r="J32"/>
  <c r="J30"/>
  <c r="J29"/>
  <c r="J28"/>
  <c r="J31"/>
  <c r="Q11" i="14"/>
  <c r="P4" i="48"/>
  <c r="O4"/>
  <c r="P11" i="14"/>
  <c r="I28" i="48"/>
  <c r="I22"/>
  <c r="I26"/>
  <c r="I32"/>
  <c r="I29"/>
  <c r="I31"/>
  <c r="I27"/>
  <c r="I24"/>
  <c r="I25"/>
  <c r="I30"/>
  <c r="D4"/>
  <c r="D22" s="1"/>
  <c r="E11" i="14"/>
  <c r="D11"/>
  <c r="C4" i="48"/>
  <c r="C11" i="14"/>
  <c r="B4" i="48"/>
  <c r="F30"/>
  <c r="F24"/>
  <c r="F32"/>
  <c r="F29"/>
  <c r="F31"/>
  <c r="F27"/>
  <c r="F28"/>
  <c r="N24"/>
  <c r="N32"/>
  <c r="N29"/>
  <c r="N31"/>
  <c r="N30"/>
  <c r="N28"/>
  <c r="N27"/>
  <c r="C19" i="14"/>
  <c r="B10" i="48"/>
  <c r="K28"/>
  <c r="K32"/>
  <c r="K25"/>
  <c r="K31"/>
  <c r="K24"/>
  <c r="K29"/>
  <c r="K26"/>
  <c r="K22"/>
  <c r="K27"/>
  <c r="K30"/>
  <c r="H29"/>
  <c r="H28"/>
  <c r="H32"/>
  <c r="H26"/>
  <c r="H24"/>
  <c r="H25"/>
  <c r="H22"/>
  <c r="H30"/>
  <c r="H23"/>
  <c r="G30"/>
  <c r="G24"/>
  <c r="G25"/>
  <c r="G29"/>
  <c r="G32"/>
  <c r="G22"/>
  <c r="G26"/>
  <c r="G23"/>
  <c r="E32"/>
  <c r="E24"/>
  <c r="E28"/>
  <c r="E31"/>
  <c r="E29"/>
  <c r="E30"/>
  <c r="M32"/>
  <c r="M22"/>
  <c r="M26"/>
  <c r="M25"/>
  <c r="M24"/>
  <c r="M30"/>
  <c r="M29"/>
  <c r="M23"/>
  <c r="L10" i="14"/>
  <c r="L16" s="1"/>
  <c r="L27" s="1"/>
  <c r="K5" i="48"/>
  <c r="D30"/>
  <c r="D31"/>
  <c r="D24"/>
  <c r="D29"/>
  <c r="D28"/>
  <c r="D32"/>
  <c r="L32"/>
  <c r="L28"/>
  <c r="L27"/>
  <c r="L29"/>
  <c r="L30"/>
  <c r="L24"/>
  <c r="L22"/>
  <c r="L31"/>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P8" i="48"/>
  <c r="P26" s="1"/>
  <c r="Q13" i="14"/>
  <c r="K23" i="48"/>
  <c r="K15"/>
  <c r="P22"/>
  <c r="J10" i="14"/>
  <c r="J16" s="1"/>
  <c r="J27" s="1"/>
  <c r="J63" s="1"/>
  <c r="I5" i="48"/>
  <c r="C22" i="14"/>
  <c r="O22" i="48"/>
  <c r="F20" i="14"/>
  <c r="F22" s="1"/>
  <c r="E9" i="48"/>
  <c r="E27" s="1"/>
  <c r="K24" i="14"/>
  <c r="K26" s="1"/>
  <c r="J7" i="48"/>
  <c r="J25" s="1"/>
  <c r="C20" i="14"/>
  <c r="B9" i="48"/>
  <c r="D10" i="14"/>
  <c r="K33" i="48"/>
  <c r="J12" i="17"/>
  <c r="K54" i="14" s="1"/>
  <c r="K56" s="1"/>
  <c r="L46"/>
  <c r="L61" s="1"/>
  <c r="G13" i="48"/>
  <c r="H18" i="14"/>
  <c r="H13" i="48"/>
  <c r="H31" s="1"/>
  <c r="I18" i="14"/>
  <c r="E20"/>
  <c r="E22" s="1"/>
  <c r="D9" i="48"/>
  <c r="D27" s="1"/>
  <c r="P10" i="14"/>
  <c r="O5" i="48"/>
  <c r="O23" s="1"/>
  <c r="G11" i="14"/>
  <c r="F4" i="48"/>
  <c r="F22" s="1"/>
  <c r="Q16" i="14"/>
  <c r="Q27" s="1"/>
  <c r="L63"/>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R11" s="1"/>
  <c r="E4" i="48"/>
  <c r="N20" i="14"/>
  <c r="M9" i="48"/>
  <c r="M10"/>
  <c r="M28" s="1"/>
  <c r="N19" i="14"/>
  <c r="O22" i="16"/>
  <c r="P43" i="14" s="1"/>
  <c r="P13"/>
  <c r="P16" s="1"/>
  <c r="P27" s="1"/>
  <c r="P63" s="1"/>
  <c r="O8" i="48"/>
  <c r="G14" i="22"/>
  <c r="P15" i="48"/>
  <c r="P33"/>
  <c r="H19" i="14"/>
  <c r="R19" s="1"/>
  <c r="G10" i="48"/>
  <c r="N22" i="14"/>
  <c r="N27" s="1"/>
  <c r="P46"/>
  <c r="P61" s="1"/>
  <c r="O11"/>
  <c r="N4" i="48"/>
  <c r="N22" s="1"/>
  <c r="Q13"/>
  <c r="G31"/>
  <c r="K11" i="14"/>
  <c r="J4" i="48"/>
  <c r="I23"/>
  <c r="I33" s="1"/>
  <c r="I15"/>
  <c r="R18" i="14"/>
  <c r="E7" i="48"/>
  <c r="E25" s="1"/>
  <c r="F24" i="14"/>
  <c r="F26" s="1"/>
  <c r="Q63"/>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I22" s="1"/>
  <c r="I27" s="1"/>
  <c r="O26" i="48"/>
  <c r="O33" s="1"/>
  <c r="O15"/>
  <c r="E22"/>
  <c r="Q4"/>
  <c r="J22"/>
  <c r="G9"/>
  <c r="H20" i="14"/>
  <c r="G28" i="48"/>
  <c r="Q10"/>
  <c r="M27"/>
  <c r="M33" s="1"/>
  <c r="M15"/>
  <c r="J5"/>
  <c r="J23" s="1"/>
  <c r="K10"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46" s="1"/>
  <c r="K61" s="1"/>
  <c r="K63" s="1"/>
  <c r="K13"/>
  <c r="J8" i="48"/>
  <c r="J26" s="1"/>
  <c r="H27"/>
  <c r="H33" s="1"/>
  <c r="H15"/>
  <c r="J15"/>
  <c r="K16" i="14"/>
  <c r="K27" s="1"/>
  <c r="J33" i="48"/>
  <c r="F13" i="14"/>
  <c r="E8" i="48"/>
  <c r="E26" s="1"/>
  <c r="G27"/>
  <c r="G33" s="1"/>
  <c r="G15"/>
  <c r="Q9"/>
  <c r="H22" i="14"/>
  <c r="H27" s="1"/>
  <c r="H63" s="1"/>
  <c r="R20"/>
  <c r="R22" s="1"/>
  <c r="F16"/>
  <c r="F27" s="1"/>
  <c r="I63"/>
  <c r="E33" i="48"/>
  <c r="E22" i="16"/>
  <c r="F43" i="14" s="1"/>
  <c r="F46" s="1"/>
  <c r="F61" s="1"/>
  <c r="F63" s="1"/>
  <c r="E15" i="48"/>
  <c r="O13" i="14"/>
  <c r="N8" i="48"/>
  <c r="N26" s="1"/>
  <c r="F8"/>
  <c r="G13" i="14"/>
  <c r="R13" l="1"/>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<sst xmlns="http://schemas.openxmlformats.org/spreadsheetml/2006/main" count="2428" uniqueCount="914">
  <si>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</si>
  <si>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</si>
  <si>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</si>
  <si>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</si>
  <si>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</si>
  <si>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</si>
  <si>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</si>
  <si>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</si>
  <si>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</si>
  <si>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</si>
  <si>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</si>
  <si>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</si>
  <si>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</si>
  <si>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</si>
  <si>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</si>
  <si>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</si>
  <si>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</si>
  <si>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</si>
  <si>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</si>
  <si>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</si>
  <si>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</si>
  <si>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</si>
  <si>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</si>
  <si>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</si>
  <si>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</si>
  <si>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</si>
  <si>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</si>
  <si>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</si>
  <si>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</si>
  <si>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</si>
  <si>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</si>
  <si>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</si>
  <si>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</si>
  <si>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</si>
  <si>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</si>
  <si>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</si>
  <si>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</si>
  <si>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</si>
  <si>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</si>
  <si>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</si>
  <si>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</si>
  <si>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</si>
  <si>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</si>
  <si>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</si>
  <si>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</si>
  <si>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</si>
  <si>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</si>
  <si>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</si>
  <si>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</si>
  <si>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</si>
  <si>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</si>
  <si>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</si>
  <si>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</si>
  <si>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</si>
  <si>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</si>
  <si>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</si>
  <si>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</si>
  <si>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</si>
  <si>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</si>
  <si>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</si>
  <si>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</si>
  <si>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</si>
  <si>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</si>
  <si>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</si>
  <si>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</si>
  <si>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</si>
  <si>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</si>
  <si>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</si>
  <si>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</si>
  <si>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</si>
  <si>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</si>
  <si>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</si>
  <si>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</si>
  <si>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</si>
  <si>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</si>
  <si>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</si>
  <si>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</si>
  <si>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</si>
  <si>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</si>
  <si>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</si>
  <si>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</si>
  <si>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</si>
  <si>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</si>
  <si>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</si>
  <si>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</si>
  <si>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</si>
  <si>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</si>
  <si>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</si>
  <si>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</si>
  <si>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</si>
  <si>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</si>
  <si>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</si>
  <si>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</si>
  <si>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</si>
  <si>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</si>
  <si>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</si>
  <si>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</si>
  <si>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</si>
  <si>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</si>
  <si>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</si>
  <si>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</si>
  <si>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</si>
  <si>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</si>
  <si>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</si>
  <si>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</si>
  <si>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</si>
  <si>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</si>
  <si>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</si>
  <si>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</si>
  <si>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</si>
  <si>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</si>
  <si>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</si>
  <si>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</si>
  <si>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</si>
  <si>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</si>
  <si>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</si>
  <si>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</si>
  <si>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</si>
  <si>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</si>
  <si>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</si>
  <si>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</si>
  <si>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</si>
  <si>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</si>
  <si>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</si>
  <si>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</si>
  <si>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</si>
  <si>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</si>
  <si>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</si>
  <si>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</si>
  <si>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</si>
  <si>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</si>
  <si>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</si>
  <si>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</si>
  <si>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</si>
  <si>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</si>
  <si>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</si>
  <si>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</si>
  <si>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</si>
  <si>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</si>
  <si>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</si>
  <si>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</si>
  <si>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</si>
  <si>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</si>
  <si>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</si>
  <si>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</si>
  <si>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</si>
  <si>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</si>
  <si>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</si>
  <si>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</si>
  <si>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</si>
  <si>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</si>
  <si>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</si>
  <si>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</si>
  <si>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</si>
  <si>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</si>
  <si>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</si>
  <si>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</si>
  <si>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</si>
  <si>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</si>
  <si>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</si>
  <si>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</si>
  <si>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</si>
  <si>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</si>
  <si>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</si>
  <si>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</si>
  <si>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</si>
  <si>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</si>
  <si>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</si>
  <si>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</si>
  <si>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</si>
  <si>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</si>
  <si>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</si>
  <si>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</si>
  <si>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</si>
  <si>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</si>
  <si>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</si>
  <si>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</si>
  <si>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</si>
  <si>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</si>
  <si>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</si>
  <si>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</si>
  <si>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</si>
  <si>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</si>
  <si>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</si>
  <si>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</si>
  <si>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</si>
  <si>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</si>
  <si>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</si>
  <si>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</si>
  <si>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</si>
  <si>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</si>
  <si>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</si>
  <si>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</si>
  <si>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</si>
  <si>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</si>
  <si>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</si>
  <si>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</si>
  <si>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</si>
  <si>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</si>
  <si>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</si>
  <si>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</si>
  <si>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</si>
  <si>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</si>
  <si>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</si>
  <si>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</si>
  <si>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</si>
  <si>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</si>
  <si>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</si>
  <si>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</si>
  <si>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</si>
  <si>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</si>
  <si>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</si>
  <si>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</si>
  <si>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</si>
  <si>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</si>
  <si>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</si>
  <si>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</si>
  <si>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</si>
  <si>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</si>
  <si>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</si>
  <si>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</si>
  <si>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</si>
  <si>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</si>
  <si>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</si>
  <si>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</si>
  <si>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</si>
  <si>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</si>
  <si>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</si>
  <si>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</si>
  <si>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</si>
  <si>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</si>
  <si>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</si>
  <si>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</si>
  <si>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</si>
  <si>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</si>
  <si>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</si>
  <si>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</si>
  <si>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</si>
  <si>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</si>
  <si>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</si>
  <si>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</si>
  <si>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</si>
  <si>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</si>
  <si>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</si>
  <si>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</si>
  <si>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</si>
  <si>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</si>
  <si>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</si>
  <si>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</si>
  <si>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</si>
  <si>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</si>
  <si>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</si>
  <si>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</si>
  <si>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</si>
  <si>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</si>
  <si>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</si>
  <si>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</si>
  <si>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</si>
  <si>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</si>
  <si>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</si>
  <si>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</si>
  <si>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</si>
  <si>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</si>
  <si>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</si>
  <si>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</si>
  <si>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</si>
  <si>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</si>
  <si>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</si>
  <si>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</si>
  <si>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</si>
  <si>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</si>
  <si>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</si>
  <si>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</si>
  <si>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</si>
  <si>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</si>
  <si>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</si>
  <si>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</si>
  <si>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</si>
  <si>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</si>
  <si>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</si>
  <si>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</si>
  <si>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</si>
  <si>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</si>
  <si>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</si>
  <si>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</si>
  <si>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</si>
  <si>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</si>
  <si>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</si>
  <si>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</si>
  <si>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</si>
  <si>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</si>
  <si>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</si>
  <si>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</si>
  <si>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</si>
  <si>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</si>
  <si>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</si>
  <si>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</si>
  <si>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</si>
  <si>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</si>
  <si>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</si>
  <si>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</si>
  <si>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</si>
  <si>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</si>
  <si>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</si>
  <si>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</si>
  <si>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</si>
  <si>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</si>
  <si>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</si>
  <si>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</si>
  <si>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</si>
  <si>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</si>
  <si>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</si>
  <si>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</si>
  <si>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</si>
  <si>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</si>
  <si>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</si>
  <si>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</si>
  <si>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</si>
  <si>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</si>
  <si>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</si>
  <si>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</si>
  <si>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</si>
  <si>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</si>
  <si>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</si>
  <si>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</si>
  <si>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</si>
  <si>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</si>
  <si>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</si>
  <si>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</si>
  <si>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</si>
  <si>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</si>
  <si>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</si>
  <si>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</si>
  <si>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</si>
  <si>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</si>
  <si>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</si>
  <si>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</si>
  <si>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</si>
  <si>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</si>
  <si>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</si>
  <si>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</si>
  <si>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</si>
  <si>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</si>
  <si>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</si>
  <si>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</si>
  <si>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</si>
  <si>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</si>
  <si>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</si>
  <si>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</si>
  <si>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</si>
  <si>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</si>
  <si>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</si>
  <si>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</si>
  <si>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</si>
  <si>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</si>
  <si>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</si>
  <si>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</si>
  <si>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</si>
  <si>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</si>
  <si>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</si>
  <si>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</si>
  <si>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</si>
  <si>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</si>
  <si>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</si>
  <si>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</si>
  <si>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</si>
  <si>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</si>
  <si>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</si>
  <si>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</si>
  <si>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</si>
  <si>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</si>
  <si>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</si>
  <si>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</si>
  <si>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</si>
  <si>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</si>
  <si>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</si>
  <si>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</si>
  <si>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</si>
  <si>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</si>
  <si>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</si>
  <si>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</si>
  <si>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</si>
  <si>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</si>
  <si>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</si>
  <si>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</si>
  <si>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</si>
  <si>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</si>
  <si>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</si>
  <si>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</si>
  <si>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</si>
  <si>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</si>
  <si>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</si>
  <si>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</si>
  <si>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</si>
  <si>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</si>
  <si>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</si>
  <si>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</si>
  <si>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</si>
  <si>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</si>
  <si>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</si>
  <si>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</si>
  <si>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</si>
  <si>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</si>
  <si>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</si>
  <si>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</si>
  <si>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</si>
  <si>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</si>
  <si>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</si>
  <si>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</si>
  <si>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</si>
  <si>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</si>
  <si>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</si>
  <si>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</si>
  <si>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</si>
  <si>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</si>
  <si>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</si>
  <si>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</si>
  <si>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</si>
  <si>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</si>
  <si>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</si>
  <si>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</si>
  <si>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</si>
  <si>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</si>
  <si>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</si>
  <si>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</si>
  <si>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</si>
  <si>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</si>
  <si>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</si>
  <si>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</si>
  <si>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</si>
  <si>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</si>
  <si>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</si>
  <si>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</si>
  <si>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</si>
  <si>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</si>
  <si>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</si>
  <si>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</si>
  <si>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</si>
  <si>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</si>
  <si>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</si>
  <si>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</si>
  <si>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</si>
  <si>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</si>
  <si>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</si>
  <si>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</si>
  <si>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</si>
  <si>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</si>
  <si>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</si>
  <si>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</si>
  <si>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</si>
  <si>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</si>
  <si>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</si>
  <si>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</si>
  <si>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</si>
  <si>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</si>
  <si>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</si>
  <si>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</si>
  <si>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</si>
  <si>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</si>
  <si>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</si>
  <si>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</si>
  <si>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</si>
  <si>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</si>
  <si>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</si>
  <si>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</si>
  <si>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</si>
  <si>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</si>
  <si>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</si>
  <si>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</si>
  <si>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</si>
  <si>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</si>
  <si>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</si>
  <si>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</si>
  <si>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</si>
  <si>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</si>
  <si>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</si>
  <si>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</si>
  <si>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</si>
  <si>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</si>
  <si>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</si>
  <si>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</si>
  <si>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</si>
  <si>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</si>
  <si>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</si>
  <si>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</si>
  <si>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</si>
  <si>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</si>
  <si>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</si>
  <si>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</si>
  <si>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</si>
  <si>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</si>
  <si>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</si>
  <si>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</si>
  <si>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</si>
  <si>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</si>
  <si>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</si>
  <si>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</si>
  <si>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</si>
  <si>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</si>
  <si>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</si>
  <si>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</si>
  <si>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</si>
  <si>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</si>
  <si>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</si>
  <si>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</si>
  <si>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</si>
  <si>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</si>
  <si>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</si>
  <si>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</si>
  <si>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</si>
  <si>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</si>
  <si>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</si>
  <si>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</si>
  <si>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</si>
  <si>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</si>
  <si>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</si>
  <si>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</si>
  <si>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</si>
  <si>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</si>
  <si>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</si>
  <si>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</si>
  <si>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</si>
  <si>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</si>
  <si>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</si>
  <si>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</si>
  <si>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</si>
  <si>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</si>
  <si>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</si>
  <si>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</si>
  <si>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</si>
  <si>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</si>
  <si>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</si>
  <si>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</si>
  <si>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</si>
  <si>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</si>
  <si>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</si>
  <si>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</si>
  <si>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</si>
  <si>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</si>
  <si>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</si>
  <si>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</si>
  <si>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</si>
  <si>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</si>
  <si>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</si>
  <si>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</si>
  <si>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</si>
  <si>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</si>
  <si>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</si>
  <si>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</si>
  <si>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</si>
  <si>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</si>
  <si>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</si>
  <si>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</si>
  <si>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</si>
  <si>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</si>
  <si>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</si>
  <si>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</si>
  <si>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</si>
  <si>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</si>
  <si>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</si>
  <si>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</si>
  <si>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</si>
  <si>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</si>
  <si>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</si>
  <si>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</si>
  <si>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</si>
  <si>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</si>
  <si>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</si>
  <si>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</si>
  <si>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</si>
  <si>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</si>
  <si>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</si>
  <si>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</si>
  <si>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</si>
  <si>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</si>
  <si>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</si>
  <si>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</si>
  <si>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</si>
  <si>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</si>
  <si>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</si>
  <si>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</si>
  <si>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</si>
  <si>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</si>
  <si>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</si>
  <si>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</si>
  <si>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</si>
  <si>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</si>
  <si>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</si>
  <si>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</si>
  <si>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</si>
  <si>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</si>
  <si>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</si>
  <si>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</si>
  <si>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</si>
  <si>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</si>
  <si>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</si>
  <si>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</si>
  <si>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</si>
  <si>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</si>
  <si>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</si>
  <si>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</si>
  <si>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</si>
  <si>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</si>
  <si>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</si>
  <si>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</si>
  <si>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</si>
  <si>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</si>
  <si>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</si>
  <si>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</si>
  <si>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</si>
  <si>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</si>
  <si>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</si>
  <si>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</si>
  <si>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</si>
  <si>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</si>
  <si>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</si>
  <si>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</si>
  <si>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</si>
  <si>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</si>
  <si>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</si>
  <si>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</si>
  <si>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</si>
  <si>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</si>
  <si>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</si>
  <si>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</si>
  <si>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</si>
  <si>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</si>
  <si>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</si>
  <si>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</si>
  <si>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</si>
  <si>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</si>
  <si>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</si>
  <si>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</si>
  <si>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</si>
  <si>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</si>
  <si>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</si>
  <si>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</si>
  <si>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</si>
  <si>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</si>
  <si>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</si>
  <si>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</si>
  <si>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</si>
  <si>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</si>
  <si>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</si>
  <si>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</si>
  <si>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</si>
  <si>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</si>
  <si>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</si>
  <si>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</si>
  <si>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</si>
  <si>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</si>
  <si>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</si>
  <si>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</si>
  <si>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</si>
  <si>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</si>
  <si>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</si>
  <si>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</si>
  <si>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</si>
  <si>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</si>
  <si>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</si>
  <si>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</si>
  <si>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</si>
  <si>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</si>
  <si>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</si>
  <si>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</si>
  <si>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</si>
  <si>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</si>
  <si>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</si>
  <si>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</si>
  <si>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</si>
  <si>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</si>
  <si>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</si>
  <si>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</si>
  <si>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</si>
  <si>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</si>
  <si>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</si>
  <si>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</si>
  <si>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</si>
  <si>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</si>
  <si>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</si>
  <si>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</si>
  <si>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</si>
  <si>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</si>
  <si>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</si>
  <si>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</si>
  <si>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</si>
  <si>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</si>
  <si>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</si>
  <si>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</si>
  <si>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</si>
  <si>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</si>
  <si>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</si>
  <si>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</si>
  <si>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</si>
  <si>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</si>
  <si>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</si>
  <si>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</si>
  <si>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</si>
  <si>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</si>
  <si>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</si>
  <si>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</si>
  <si>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</si>
  <si>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</si>
  <si>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</si>
  <si>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</si>
  <si>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</si>
  <si>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</si>
  <si>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</si>
  <si>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</si>
  <si>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</si>
  <si>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</si>
  <si>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</si>
  <si>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</si>
  <si>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</si>
  <si>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</si>
  <si>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</si>
  <si>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</si>
  <si>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</si>
  <si>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</si>
  <si>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</si>
  <si>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</si>
  <si>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</si>
  <si>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</si>
  <si>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</si>
  <si>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</si>
  <si>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</si>
  <si>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</si>
  <si>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</si>
  <si>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</si>
  <si>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</si>
  <si>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</si>
  <si>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</si>
  <si>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</si>
  <si>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</si>
  <si>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</si>
  <si>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</si>
  <si>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</si>
  <si>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</si>
  <si>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</si>
  <si>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</si>
  <si>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</si>
  <si>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</si>
  <si>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</si>
  <si>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</si>
  <si>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</si>
  <si>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</si>
  <si>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</si>
  <si>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</si>
  <si>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</si>
  <si>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</si>
  <si>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</si>
  <si>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</si>
  <si>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</si>
  <si>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</si>
  <si>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</si>
  <si>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</si>
  <si>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</si>
  <si>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</si>
  <si>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</si>
  <si>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</si>
  <si>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</si>
  <si>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</si>
  <si>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</si>
  <si>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</si>
  <si>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</si>
  <si>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</si>
  <si>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</si>
  <si>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</si>
  <si>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</si>
  <si>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</si>
  <si>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</si>
  <si>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</si>
  <si>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</si>
  <si>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</si>
  <si>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</si>
  <si>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</si>
  <si>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</si>
  <si>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</si>
  <si>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</si>
  <si>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</si>
  <si>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</si>
  <si>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</si>
  <si>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</si>
  <si>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</si>
  <si>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</si>
  <si>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</si>
  <si>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</si>
  <si>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</si>
  <si>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</si>
  <si>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</si>
  <si>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</si>
  <si>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</si>
  <si>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</si>
  <si>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</si>
  <si>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</si>
  <si>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</si>
  <si>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</si>
  <si>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</si>
  <si>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</si>
  <si>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</si>
  <si>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</si>
  <si>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</si>
  <si>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</si>
  <si>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</si>
  <si>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</si>
  <si>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</si>
  <si>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</si>
  <si>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</si>
  <si>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</si>
  <si>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</si>
  <si>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</si>
  <si>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</si>
  <si>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</si>
  <si>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</si>
  <si>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</si>
  <si>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</si>
  <si>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</si>
  <si>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</si>
  <si>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</si>
  <si>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</si>
  <si>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</si>
  <si>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</si>
  <si>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</si>
  <si>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</si>
  <si>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</si>
  <si>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</si>
  <si>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</si>
  <si>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</si>
  <si>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</si>
  <si>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</si>
  <si>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</si>
  <si>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</si>
  <si>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</si>
  <si>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</si>
  <si>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</si>
  <si>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</si>
  <si>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</si>
  <si>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</si>
  <si>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</si>
  <si>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</si>
  <si>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</si>
  <si>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</si>
  <si>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</si>
  <si>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</si>
  <si>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</si>
  <si>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</si>
  <si>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</si>
  <si>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</si>
  <si>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</si>
  <si>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</si>
  <si>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</si>
  <si>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</si>
  <si>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</si>
  <si>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</si>
  <si>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</si>
  <si>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</si>
  <si>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</si>
  <si>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</si>
  <si>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</si>
  <si>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</si>
  <si>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</si>
  <si>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</si>
  <si>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</si>
  <si>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</si>
  <si>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</si>
  <si>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</si>
  <si>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</si>
  <si>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</si>
  <si>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</si>
  <si>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</si>
  <si>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</si>
  <si>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</si>
  <si>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</si>
  <si>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</si>
  <si>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</si>
  <si>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</si>
  <si>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</si>
  <si>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</si>
  <si>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</si>
  <si>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</si>
  <si>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</si>
  <si>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</si>
  <si>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</si>
  <si>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</si>
  <si>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</si>
  <si>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</si>
  <si>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</si>
  <si>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</si>
  <si>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</si>
  <si>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</si>
  <si>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</si>
  <si>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</si>
  <si>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</si>
  <si>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</si>
  <si>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</si>
  <si>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</si>
  <si>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</si>
  <si>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</si>
  <si>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</si>
  <si>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36012</t>
  </si>
  <si>
    <t>MOORSLEDE</t>
  </si>
  <si>
    <t>Paarden&amp;pony's 200 - 600 kg</t>
  </si>
  <si>
    <t>Paarden&amp;pony's &lt; 200 kg</t>
  </si>
  <si>
    <t>referentietaak LNE (2017); Jaarverslag De Lijn (2014)</t>
  </si>
  <si>
    <t>op basis van VEA (maart 2018) en Inventaris Hernieuwbare Energiebronnen (juni 2018)</t>
  </si>
  <si>
    <t>VEA (maart 2016)</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</si>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</sst>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88118.015969576634</c:v>
                </c:pt>
                <c:pt idx="1">
                  <c:v>43843.879630177144</c:v>
                </c:pt>
                <c:pt idx="2">
                  <c:v>1044.029</c:v>
                </c:pt>
                <c:pt idx="3">
                  <c:v>9025.3078727636221</c:v>
                </c:pt>
                <c:pt idx="4">
                  <c:v>47936.285723267501</c:v>
                </c:pt>
                <c:pt idx="5">
                  <c:v>38348.661227071891</c:v>
                </c:pt>
                <c:pt idx="6">
                  <c:v>1252.2553971092455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88118.015969576634</c:v>
                </c:pt>
                <c:pt idx="1">
                  <c:v>43843.879630177144</c:v>
                </c:pt>
                <c:pt idx="2">
                  <c:v>1044.029</c:v>
                </c:pt>
                <c:pt idx="3">
                  <c:v>9025.3078727636221</c:v>
                </c:pt>
                <c:pt idx="4">
                  <c:v>47936.285723267501</c:v>
                </c:pt>
                <c:pt idx="5">
                  <c:v>38348.661227071891</c:v>
                </c:pt>
                <c:pt idx="6">
                  <c:v>1252.2553971092455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15640.279272578422</c:v>
                </c:pt>
                <c:pt idx="2">
                  <c:v>6664.5029433345717</c:v>
                </c:pt>
                <c:pt idx="3">
                  <c:v>190.36524367962434</c:v>
                </c:pt>
                <c:pt idx="4">
                  <c:v>2223.4051076329933</c:v>
                </c:pt>
                <c:pt idx="5">
                  <c:v>8951.9828328318472</c:v>
                </c:pt>
                <c:pt idx="6">
                  <c:v>9598.1389811766021</c:v>
                </c:pt>
                <c:pt idx="7">
                  <c:v>316.31374051118132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81664"/>
      </c:barChart>
      <c:catAx>
        <c:axId val="182365184"/>
        <c:scaling>
          <c:orientation val="minMax"/>
        </c:scaling>
        <c:axPos val="b"/>
        <c:numFmt formatCode="General" sourceLinked="0"/>
        <c:tickLblPos val="nextTo"/>
        <c:crossAx val="182481664"/>
        <c:crosses val="autoZero"/>
        <c:auto val="1"/>
        <c:lblAlgn val="ctr"/>
        <c:lblOffset val="100"/>
      </c:catAx>
      <c:valAx>
        <c:axId val="182481664"/>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15640.279272578422</c:v>
                </c:pt>
                <c:pt idx="2">
                  <c:v>6664.5029433345717</c:v>
                </c:pt>
                <c:pt idx="3">
                  <c:v>190.36524367962434</c:v>
                </c:pt>
                <c:pt idx="4">
                  <c:v>2223.4051076329933</c:v>
                </c:pt>
                <c:pt idx="5">
                  <c:v>8951.9828328318472</c:v>
                </c:pt>
                <c:pt idx="6">
                  <c:v>9598.1389811766021</c:v>
                </c:pt>
                <c:pt idx="7">
                  <c:v>316.31374051118132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36012</v>
      </c>
      <c r="B6" s="416"/>
      <c r="C6" s="417"/>
    </row>
    <row r="7" spans="1:7" s="414" customFormat="1" ht="15.75" customHeight="1">
      <c r="A7" s="418" t="str">
        <f>txtMunicipality</f>
        <v>MOORSLEDE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0.18233712251252057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0.18233712251252057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4508</v>
      </c>
      <c r="C9" s="342">
        <v>4751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2539</v>
      </c>
    </row>
    <row r="15" spans="1:6">
      <c r="A15" s="348" t="s">
        <v>184</v>
      </c>
      <c r="B15" s="334">
        <v>23</v>
      </c>
    </row>
    <row r="16" spans="1:6">
      <c r="A16" s="348" t="s">
        <v>6</v>
      </c>
      <c r="B16" s="334">
        <v>638</v>
      </c>
    </row>
    <row r="17" spans="1:6">
      <c r="A17" s="348" t="s">
        <v>7</v>
      </c>
      <c r="B17" s="334">
        <v>600</v>
      </c>
    </row>
    <row r="18" spans="1:6">
      <c r="A18" s="348" t="s">
        <v>8</v>
      </c>
      <c r="B18" s="334">
        <v>753</v>
      </c>
    </row>
    <row r="19" spans="1:6">
      <c r="A19" s="348" t="s">
        <v>9</v>
      </c>
      <c r="B19" s="334">
        <v>855</v>
      </c>
    </row>
    <row r="20" spans="1:6">
      <c r="A20" s="348" t="s">
        <v>10</v>
      </c>
      <c r="B20" s="334">
        <v>615</v>
      </c>
    </row>
    <row r="21" spans="1:6">
      <c r="A21" s="348" t="s">
        <v>11</v>
      </c>
      <c r="B21" s="334">
        <v>9596</v>
      </c>
    </row>
    <row r="22" spans="1:6">
      <c r="A22" s="348" t="s">
        <v>12</v>
      </c>
      <c r="B22" s="334">
        <v>27819</v>
      </c>
    </row>
    <row r="23" spans="1:6">
      <c r="A23" s="348" t="s">
        <v>13</v>
      </c>
      <c r="B23" s="334">
        <v>492</v>
      </c>
    </row>
    <row r="24" spans="1:6">
      <c r="A24" s="348" t="s">
        <v>14</v>
      </c>
      <c r="B24" s="334">
        <v>16</v>
      </c>
    </row>
    <row r="25" spans="1:6">
      <c r="A25" s="348" t="s">
        <v>15</v>
      </c>
      <c r="B25" s="334">
        <v>2673</v>
      </c>
    </row>
    <row r="26" spans="1:6">
      <c r="A26" s="348" t="s">
        <v>16</v>
      </c>
      <c r="B26" s="334">
        <v>208</v>
      </c>
    </row>
    <row r="27" spans="1:6">
      <c r="A27" s="348" t="s">
        <v>17</v>
      </c>
      <c r="B27" s="334">
        <v>8</v>
      </c>
    </row>
    <row r="28" spans="1:6" s="356" customFormat="1">
      <c r="A28" s="355" t="s">
        <v>18</v>
      </c>
      <c r="B28" s="355">
        <v>94039</v>
      </c>
    </row>
    <row r="29" spans="1:6">
      <c r="A29" s="355" t="s">
        <v>901</v>
      </c>
      <c r="B29" s="355">
        <v>120</v>
      </c>
      <c r="C29" s="356"/>
      <c r="D29" s="356"/>
      <c r="E29" s="356"/>
      <c r="F29" s="356"/>
    </row>
    <row r="30" spans="1:6">
      <c r="A30" s="341" t="s">
        <v>902</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24137.7</v>
      </c>
    </row>
    <row r="37" spans="1:6">
      <c r="A37" s="348" t="s">
        <v>25</v>
      </c>
      <c r="B37" s="348" t="s">
        <v>28</v>
      </c>
      <c r="C37" s="334">
        <v>0</v>
      </c>
      <c r="D37" s="334">
        <v>0</v>
      </c>
      <c r="E37" s="334">
        <v>0</v>
      </c>
      <c r="F37" s="334">
        <v>0</v>
      </c>
    </row>
    <row r="38" spans="1:6">
      <c r="A38" s="348" t="s">
        <v>25</v>
      </c>
      <c r="B38" s="348" t="s">
        <v>29</v>
      </c>
      <c r="C38" s="334">
        <v>0</v>
      </c>
      <c r="D38" s="334">
        <v>0</v>
      </c>
      <c r="E38" s="334">
        <v>4</v>
      </c>
      <c r="F38" s="334">
        <v>181228.3</v>
      </c>
    </row>
    <row r="39" spans="1:6">
      <c r="A39" s="348" t="s">
        <v>30</v>
      </c>
      <c r="B39" s="348" t="s">
        <v>31</v>
      </c>
      <c r="C39" s="334">
        <v>2864</v>
      </c>
      <c r="D39" s="334">
        <v>40948013.620460398</v>
      </c>
      <c r="E39" s="334">
        <v>4173</v>
      </c>
      <c r="F39" s="334">
        <v>15836379</v>
      </c>
    </row>
    <row r="40" spans="1:6">
      <c r="A40" s="348" t="s">
        <v>30</v>
      </c>
      <c r="B40" s="348" t="s">
        <v>29</v>
      </c>
      <c r="C40" s="334">
        <v>0</v>
      </c>
      <c r="D40" s="334">
        <v>0</v>
      </c>
      <c r="E40" s="334">
        <v>1</v>
      </c>
      <c r="F40" s="334">
        <v>4295</v>
      </c>
    </row>
    <row r="41" spans="1:6">
      <c r="A41" s="348" t="s">
        <v>32</v>
      </c>
      <c r="B41" s="348" t="s">
        <v>33</v>
      </c>
      <c r="C41" s="334">
        <v>54</v>
      </c>
      <c r="D41" s="334">
        <v>1035393.2129232</v>
      </c>
      <c r="E41" s="334">
        <v>98</v>
      </c>
      <c r="F41" s="334">
        <v>2118178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476748.53161453502</v>
      </c>
      <c r="E44" s="334">
        <v>17</v>
      </c>
      <c r="F44" s="334">
        <v>1095831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86386.861247184104</v>
      </c>
      <c r="E47" s="334">
        <v>3</v>
      </c>
      <c r="F47" s="334">
        <v>60267.47</v>
      </c>
    </row>
    <row r="48" spans="1:6">
      <c r="A48" s="348" t="s">
        <v>32</v>
      </c>
      <c r="B48" s="348" t="s">
        <v>29</v>
      </c>
      <c r="C48" s="334">
        <v>20</v>
      </c>
      <c r="D48" s="334">
        <v>16621212.445567699</v>
      </c>
      <c r="E48" s="334">
        <v>34</v>
      </c>
      <c r="F48" s="334">
        <v>16057367</v>
      </c>
    </row>
    <row r="49" spans="1:6">
      <c r="A49" s="348" t="s">
        <v>32</v>
      </c>
      <c r="B49" s="348" t="s">
        <v>40</v>
      </c>
      <c r="C49" s="334">
        <v>0</v>
      </c>
      <c r="D49" s="334">
        <v>0</v>
      </c>
      <c r="E49" s="334">
        <v>4</v>
      </c>
      <c r="F49" s="334">
        <v>388682.9</v>
      </c>
    </row>
    <row r="50" spans="1:6">
      <c r="A50" s="348" t="s">
        <v>32</v>
      </c>
      <c r="B50" s="348" t="s">
        <v>41</v>
      </c>
      <c r="C50" s="334">
        <v>5</v>
      </c>
      <c r="D50" s="334">
        <v>242595.42076517499</v>
      </c>
      <c r="E50" s="334">
        <v>7</v>
      </c>
      <c r="F50" s="334">
        <v>178784.9</v>
      </c>
    </row>
    <row r="51" spans="1:6">
      <c r="A51" s="348" t="s">
        <v>42</v>
      </c>
      <c r="B51" s="348" t="s">
        <v>43</v>
      </c>
      <c r="C51" s="334">
        <v>9</v>
      </c>
      <c r="D51" s="334">
        <v>223145.382233265</v>
      </c>
      <c r="E51" s="334">
        <v>132</v>
      </c>
      <c r="F51" s="334">
        <v>2172956</v>
      </c>
    </row>
    <row r="52" spans="1:6">
      <c r="A52" s="348" t="s">
        <v>42</v>
      </c>
      <c r="B52" s="348" t="s">
        <v>29</v>
      </c>
      <c r="C52" s="334">
        <v>4</v>
      </c>
      <c r="D52" s="334">
        <v>55259.576401235099</v>
      </c>
      <c r="E52" s="334">
        <v>8</v>
      </c>
      <c r="F52" s="334">
        <v>198597</v>
      </c>
    </row>
    <row r="53" spans="1:6">
      <c r="A53" s="348" t="s">
        <v>44</v>
      </c>
      <c r="B53" s="348" t="s">
        <v>45</v>
      </c>
      <c r="C53" s="334">
        <v>87</v>
      </c>
      <c r="D53" s="334">
        <v>1458721.29997198</v>
      </c>
      <c r="E53" s="334">
        <v>133</v>
      </c>
      <c r="F53" s="334">
        <v>727154.9</v>
      </c>
    </row>
    <row r="54" spans="1:6">
      <c r="A54" s="348" t="s">
        <v>46</v>
      </c>
      <c r="B54" s="348" t="s">
        <v>47</v>
      </c>
      <c r="C54" s="334">
        <v>0</v>
      </c>
      <c r="D54" s="334">
        <v>0</v>
      </c>
      <c r="E54" s="334">
        <v>1</v>
      </c>
      <c r="F54" s="334">
        <v>1044029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1336065.87934897</v>
      </c>
      <c r="E57" s="334">
        <v>63</v>
      </c>
      <c r="F57" s="334">
        <v>1346769</v>
      </c>
    </row>
    <row r="58" spans="1:6">
      <c r="A58" s="348" t="s">
        <v>49</v>
      </c>
      <c r="B58" s="348" t="s">
        <v>51</v>
      </c>
      <c r="C58" s="334">
        <v>18</v>
      </c>
      <c r="D58" s="334">
        <v>1696132.85014938</v>
      </c>
      <c r="E58" s="334">
        <v>15</v>
      </c>
      <c r="F58" s="334">
        <v>549284.69999999995</v>
      </c>
    </row>
    <row r="59" spans="1:6">
      <c r="A59" s="348" t="s">
        <v>49</v>
      </c>
      <c r="B59" s="348" t="s">
        <v>52</v>
      </c>
      <c r="C59" s="334">
        <v>46</v>
      </c>
      <c r="D59" s="334">
        <v>1220100.84513673</v>
      </c>
      <c r="E59" s="334">
        <v>126</v>
      </c>
      <c r="F59" s="334">
        <v>2942349</v>
      </c>
    </row>
    <row r="60" spans="1:6">
      <c r="A60" s="348" t="s">
        <v>49</v>
      </c>
      <c r="B60" s="348" t="s">
        <v>53</v>
      </c>
      <c r="C60" s="334">
        <v>51</v>
      </c>
      <c r="D60" s="334">
        <v>2404595.5430091498</v>
      </c>
      <c r="E60" s="334">
        <v>69</v>
      </c>
      <c r="F60" s="334">
        <v>1221540</v>
      </c>
    </row>
    <row r="61" spans="1:6">
      <c r="A61" s="348" t="s">
        <v>49</v>
      </c>
      <c r="B61" s="348" t="s">
        <v>54</v>
      </c>
      <c r="C61" s="334">
        <v>57</v>
      </c>
      <c r="D61" s="334">
        <v>1242551.17813782</v>
      </c>
      <c r="E61" s="334">
        <v>118</v>
      </c>
      <c r="F61" s="334">
        <v>1116066</v>
      </c>
    </row>
    <row r="62" spans="1:6">
      <c r="A62" s="348" t="s">
        <v>49</v>
      </c>
      <c r="B62" s="348" t="s">
        <v>55</v>
      </c>
      <c r="C62" s="334">
        <v>4</v>
      </c>
      <c r="D62" s="334">
        <v>212341.71156774901</v>
      </c>
      <c r="E62" s="334">
        <v>5</v>
      </c>
      <c r="F62" s="334">
        <v>99665.58</v>
      </c>
    </row>
    <row r="63" spans="1:6">
      <c r="A63" s="348" t="s">
        <v>49</v>
      </c>
      <c r="B63" s="348" t="s">
        <v>29</v>
      </c>
      <c r="C63" s="334">
        <v>80</v>
      </c>
      <c r="D63" s="334">
        <v>5573237.5690735402</v>
      </c>
      <c r="E63" s="334">
        <v>94</v>
      </c>
      <c r="F63" s="334">
        <v>5782374</v>
      </c>
    </row>
    <row r="64" spans="1:6">
      <c r="A64" s="348" t="s">
        <v>56</v>
      </c>
      <c r="B64" s="348" t="s">
        <v>57</v>
      </c>
      <c r="C64" s="334">
        <v>0</v>
      </c>
      <c r="D64" s="334">
        <v>0</v>
      </c>
      <c r="E64" s="334">
        <v>0</v>
      </c>
      <c r="F64" s="334">
        <v>0</v>
      </c>
    </row>
    <row r="65" spans="1:6">
      <c r="A65" s="348" t="s">
        <v>56</v>
      </c>
      <c r="B65" s="348" t="s">
        <v>29</v>
      </c>
      <c r="C65" s="334">
        <v>3</v>
      </c>
      <c r="D65" s="334">
        <v>51777.138555303398</v>
      </c>
      <c r="E65" s="334">
        <v>1</v>
      </c>
      <c r="F65" s="334">
        <v>7014.4120000000003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267862.61245151598</v>
      </c>
      <c r="E68" s="334">
        <v>23</v>
      </c>
      <c r="F68" s="334">
        <v>284296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7738468</v>
      </c>
      <c r="E73" s="476">
        <v>7331429.4879234172</v>
      </c>
    </row>
    <row r="74" spans="1:6">
      <c r="A74" s="348" t="s">
        <v>64</v>
      </c>
      <c r="B74" s="348" t="s">
        <v>714</v>
      </c>
      <c r="C74" s="1311" t="s">
        <v>716</v>
      </c>
      <c r="D74" s="476">
        <v>599188.73043070838</v>
      </c>
      <c r="E74" s="476">
        <v>574898.83952039108</v>
      </c>
    </row>
    <row r="75" spans="1:6">
      <c r="A75" s="348" t="s">
        <v>65</v>
      </c>
      <c r="B75" s="348" t="s">
        <v>713</v>
      </c>
      <c r="C75" s="1311" t="s">
        <v>717</v>
      </c>
      <c r="D75" s="476">
        <v>28767253</v>
      </c>
      <c r="E75" s="476">
        <v>27261487.205510322</v>
      </c>
    </row>
    <row r="76" spans="1:6">
      <c r="A76" s="348" t="s">
        <v>65</v>
      </c>
      <c r="B76" s="348" t="s">
        <v>714</v>
      </c>
      <c r="C76" s="1311" t="s">
        <v>718</v>
      </c>
      <c r="D76" s="476">
        <v>1729851.7304307085</v>
      </c>
      <c r="E76" s="476">
        <v>1686733.164862527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334632.53913858318</v>
      </c>
      <c r="C83" s="476">
        <v>337489.12159926997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2941.4664007676611</v>
      </c>
    </row>
    <row r="92" spans="1:6">
      <c r="A92" s="341" t="s">
        <v>69</v>
      </c>
      <c r="B92" s="342">
        <v>1318.5582410120167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1963</v>
      </c>
    </row>
    <row r="98" spans="1:6">
      <c r="A98" s="348" t="s">
        <v>72</v>
      </c>
      <c r="B98" s="334">
        <v>1</v>
      </c>
    </row>
    <row r="99" spans="1:6">
      <c r="A99" s="348" t="s">
        <v>73</v>
      </c>
      <c r="B99" s="334">
        <v>148</v>
      </c>
    </row>
    <row r="100" spans="1:6">
      <c r="A100" s="348" t="s">
        <v>74</v>
      </c>
      <c r="B100" s="334">
        <v>286</v>
      </c>
    </row>
    <row r="101" spans="1:6">
      <c r="A101" s="348" t="s">
        <v>75</v>
      </c>
      <c r="B101" s="334">
        <v>126</v>
      </c>
    </row>
    <row r="102" spans="1:6">
      <c r="A102" s="348" t="s">
        <v>76</v>
      </c>
      <c r="B102" s="334">
        <v>69</v>
      </c>
    </row>
    <row r="103" spans="1:6">
      <c r="A103" s="348" t="s">
        <v>77</v>
      </c>
      <c r="B103" s="334">
        <v>139</v>
      </c>
    </row>
    <row r="104" spans="1:6">
      <c r="A104" s="348" t="s">
        <v>78</v>
      </c>
      <c r="B104" s="334">
        <v>1292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141</v>
      </c>
    </row>
    <row r="130" spans="1:6">
      <c r="A130" s="348" t="s">
        <v>295</v>
      </c>
      <c r="B130" s="334">
        <v>3</v>
      </c>
    </row>
    <row r="131" spans="1:6">
      <c r="A131" s="348" t="s">
        <v>296</v>
      </c>
      <c r="B131" s="334">
        <v>2</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62574.040088370835</v>
      </c>
      <c r="C3" s="43" t="s">
        <v>170</v>
      </c>
      <c r="D3" s="43"/>
      <c r="E3" s="154"/>
      <c r="F3" s="43"/>
      <c r="G3" s="43"/>
      <c r="H3" s="43"/>
      <c r="I3" s="43"/>
      <c r="J3" s="43"/>
      <c r="K3" s="96"/>
    </row>
    <row r="4" spans="1:11">
      <c r="A4" s="384" t="s">
        <v>171</v>
      </c>
      <c r="B4" s="49">
        <f>IF(ISERROR('SEAP template'!B78+'SEAP template'!C78),0,'SEAP template'!B78+'SEAP template'!C78)</f>
        <v>10947.024641779677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0.18233712251252057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9552.8571428571431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1044.029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1044.029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0.18233712251252057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190.36524367962434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15840.674000000001</v>
      </c>
      <c r="C5" s="17">
        <f>IF(ISERROR('Eigen informatie GS &amp; warmtenet'!B57),0,'Eigen informatie GS &amp; warmtenet'!B57)</f>
        <v>0</v>
      </c>
      <c r="D5" s="30">
        <f>(SUM(HH_hh_gas_kWh,HH_rest_gas_kWh)/1000)*0.902</f>
        <v>36935.108285655282</v>
      </c>
      <c r="E5" s="17">
        <f>B46*B57</f>
        <v>4333.6579056617666</v>
      </c>
      <c r="F5" s="17">
        <f>B51*B62</f>
        <v>11842.991390643134</v>
      </c>
      <c r="G5" s="18"/>
      <c r="H5" s="17"/>
      <c r="I5" s="17"/>
      <c r="J5" s="17">
        <f>B50*B61+C50*C61</f>
        <v>1720.0195414886418</v>
      </c>
      <c r="K5" s="17"/>
      <c r="L5" s="17"/>
      <c r="M5" s="17"/>
      <c r="N5" s="17">
        <f>B48*B59+C48*C59</f>
        <v>13991.415112026822</v>
      </c>
      <c r="O5" s="17">
        <f>B69*B70*B71</f>
        <v>226.68333333333334</v>
      </c>
      <c r="P5" s="17">
        <f>B77*B78*B79/1000-B77*B78*B79/1000/B80</f>
        <v>286</v>
      </c>
    </row>
    <row r="6" spans="1:16">
      <c r="A6" s="16" t="s">
        <v>631</v>
      </c>
      <c r="B6" s="789">
        <f>kWh_PV_kleiner_dan_10kW</f>
        <v>2941.4664007676611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18782.140400767661</v>
      </c>
      <c r="C8" s="21">
        <f>C5</f>
        <v>0</v>
      </c>
      <c r="D8" s="21">
        <f>D5</f>
        <v>36935.108285655282</v>
      </c>
      <c r="E8" s="21">
        <f>E5</f>
        <v>4333.6579056617666</v>
      </c>
      <c r="F8" s="21">
        <f>F5</f>
        <v>11842.991390643134</v>
      </c>
      <c r="G8" s="21"/>
      <c r="H8" s="21"/>
      <c r="I8" s="21"/>
      <c r="J8" s="21">
        <f>J5</f>
        <v>1720.0195414886418</v>
      </c>
      <c r="K8" s="21"/>
      <c r="L8" s="21">
        <f>L5</f>
        <v>0</v>
      </c>
      <c r="M8" s="21">
        <f>M5</f>
        <v>0</v>
      </c>
      <c r="N8" s="21">
        <f>N5</f>
        <v>13991.415112026822</v>
      </c>
      <c r="O8" s="21">
        <f>O5</f>
        <v>226.68333333333334</v>
      </c>
      <c r="P8" s="21">
        <f>P5</f>
        <v>286</v>
      </c>
    </row>
    <row r="9" spans="1:16">
      <c r="B9" s="19"/>
      <c r="C9" s="19"/>
      <c r="D9" s="258"/>
      <c r="E9" s="19"/>
      <c r="F9" s="19"/>
      <c r="G9" s="19"/>
      <c r="H9" s="19"/>
      <c r="I9" s="19"/>
      <c r="J9" s="19"/>
      <c r="K9" s="19"/>
      <c r="L9" s="19"/>
      <c r="M9" s="19"/>
      <c r="N9" s="19"/>
      <c r="O9" s="19"/>
      <c r="P9" s="19"/>
    </row>
    <row r="10" spans="1:16">
      <c r="A10" s="24" t="s">
        <v>214</v>
      </c>
      <c r="B10" s="25">
        <f ca="1">'EF ele_warmte'!B12</f>
        <v>0.18233712251252057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3424.6814353021355</v>
      </c>
      <c r="C12" s="23">
        <f ca="1">C10*C8</f>
        <v>0</v>
      </c>
      <c r="D12" s="23">
        <f>D8*D10</f>
        <v>7460.8918737023678</v>
      </c>
      <c r="E12" s="23">
        <f>E10*E8</f>
        <v>983.74034458522101</v>
      </c>
      <c r="F12" s="23">
        <f>F10*F8</f>
        <v>3162.078701301717</v>
      </c>
      <c r="G12" s="23"/>
      <c r="H12" s="23"/>
      <c r="I12" s="23"/>
      <c r="J12" s="23">
        <f>J10*J8</f>
        <v>608.88691768697913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1963</v>
      </c>
      <c r="C18" s="166" t="s">
        <v>111</v>
      </c>
      <c r="D18" s="228"/>
      <c r="E18" s="15"/>
    </row>
    <row r="19" spans="1:7">
      <c r="A19" s="171" t="s">
        <v>72</v>
      </c>
      <c r="B19" s="37">
        <f>aantalw2001_ander</f>
        <v>1</v>
      </c>
      <c r="C19" s="166" t="s">
        <v>111</v>
      </c>
      <c r="D19" s="229"/>
      <c r="E19" s="15"/>
    </row>
    <row r="20" spans="1:7">
      <c r="A20" s="171" t="s">
        <v>73</v>
      </c>
      <c r="B20" s="37">
        <f>aantalw2001_propaan</f>
        <v>148</v>
      </c>
      <c r="C20" s="167">
        <f>IF(ISERROR(B20/SUM($B$20,$B$21,$B$22)*100),0,B20/SUM($B$20,$B$21,$B$22)*100)</f>
        <v>26.428571428571431</v>
      </c>
      <c r="D20" s="229"/>
      <c r="E20" s="15"/>
    </row>
    <row r="21" spans="1:7">
      <c r="A21" s="171" t="s">
        <v>74</v>
      </c>
      <c r="B21" s="37">
        <f>aantalw2001_elektriciteit</f>
        <v>286</v>
      </c>
      <c r="C21" s="167">
        <f>IF(ISERROR(B21/SUM($B$20,$B$21,$B$22)*100),0,B21/SUM($B$20,$B$21,$B$22)*100)</f>
        <v>51.071428571428569</v>
      </c>
      <c r="D21" s="229"/>
      <c r="E21" s="15"/>
    </row>
    <row r="22" spans="1:7">
      <c r="A22" s="171" t="s">
        <v>75</v>
      </c>
      <c r="B22" s="37">
        <f>aantalw2001_hout</f>
        <v>126</v>
      </c>
      <c r="C22" s="167">
        <f>IF(ISERROR(B22/SUM($B$20,$B$21,$B$22)*100),0,B22/SUM($B$20,$B$21,$B$22)*100)</f>
        <v>22.5</v>
      </c>
      <c r="D22" s="229"/>
      <c r="E22" s="15"/>
    </row>
    <row r="23" spans="1:7">
      <c r="A23" s="171" t="s">
        <v>76</v>
      </c>
      <c r="B23" s="37">
        <f>aantalw2001_niet_gespec</f>
        <v>69</v>
      </c>
      <c r="C23" s="166" t="s">
        <v>111</v>
      </c>
      <c r="D23" s="228"/>
      <c r="E23" s="15"/>
    </row>
    <row r="24" spans="1:7">
      <c r="A24" s="171" t="s">
        <v>77</v>
      </c>
      <c r="B24" s="37">
        <f>aantalw2001_steenkool</f>
        <v>139</v>
      </c>
      <c r="C24" s="166" t="s">
        <v>111</v>
      </c>
      <c r="D24" s="229"/>
      <c r="E24" s="15"/>
    </row>
    <row r="25" spans="1:7">
      <c r="A25" s="171" t="s">
        <v>78</v>
      </c>
      <c r="B25" s="37">
        <f>aantalw2001_stookolie</f>
        <v>1292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4508</v>
      </c>
      <c r="C28" s="36"/>
      <c r="D28" s="228"/>
    </row>
    <row r="29" spans="1:7" s="15" customFormat="1">
      <c r="A29" s="230" t="s">
        <v>741</v>
      </c>
      <c r="B29" s="37">
        <f>SUM(HH_hh_gas_aantal,HH_rest_gas_aantal)</f>
        <v>2864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2864</v>
      </c>
      <c r="C32" s="167">
        <f>IF(ISERROR(B32/SUM($B$32,$B$34,$B$35,$B$36,$B$38,$B$39)*100),0,B32/SUM($B$32,$B$34,$B$35,$B$36,$B$38,$B$39)*100)</f>
        <v>63.74360115735589</v>
      </c>
      <c r="D32" s="233"/>
      <c r="G32" s="15"/>
    </row>
    <row r="33" spans="1:7">
      <c r="A33" s="171" t="s">
        <v>72</v>
      </c>
      <c r="B33" s="34" t="s">
        <v>111</v>
      </c>
      <c r="C33" s="167"/>
      <c r="D33" s="233"/>
      <c r="G33" s="15"/>
    </row>
    <row r="34" spans="1:7">
      <c r="A34" s="171" t="s">
        <v>73</v>
      </c>
      <c r="B34" s="33">
        <f>IF((($B$28-$B$32-$B$39-$B$77-$B$38)*C20/100)&lt;0,0,($B$28-$B$32-$B$39-$B$77-$B$38)*C20/100)</f>
        <v>290.45000000000005</v>
      </c>
      <c r="C34" s="167">
        <f>IF(ISERROR(B34/SUM($B$32,$B$34,$B$35,$B$36,$B$38,$B$39)*100),0,B34/SUM($B$32,$B$34,$B$35,$B$36,$B$38,$B$39)*100)</f>
        <v>6.4645003338526603</v>
      </c>
      <c r="D34" s="233"/>
      <c r="G34" s="15"/>
    </row>
    <row r="35" spans="1:7">
      <c r="A35" s="171" t="s">
        <v>74</v>
      </c>
      <c r="B35" s="33">
        <f>IF((($B$28-$B$32-$B$39-$B$77-$B$38)*C21/100)&lt;0,0,($B$28-$B$32-$B$39-$B$77-$B$38)*C21/100)</f>
        <v>561.27499999999998</v>
      </c>
      <c r="C35" s="167">
        <f>IF(ISERROR(B35/SUM($B$32,$B$34,$B$35,$B$36,$B$38,$B$39)*100),0,B35/SUM($B$32,$B$34,$B$35,$B$36,$B$38,$B$39)*100)</f>
        <v>12.492210104607167</v>
      </c>
      <c r="D35" s="233"/>
      <c r="G35" s="15"/>
    </row>
    <row r="36" spans="1:7">
      <c r="A36" s="171" t="s">
        <v>75</v>
      </c>
      <c r="B36" s="33">
        <f>IF((($B$28-$B$32-$B$39-$B$77-$B$38)*C22/100)&lt;0,0,($B$28-$B$32-$B$39-$B$77-$B$38)*C22/100)</f>
        <v>247.27500000000001</v>
      </c>
      <c r="C36" s="167">
        <f>IF(ISERROR(B36/SUM($B$32,$B$34,$B$35,$B$36,$B$38,$B$39)*100),0,B36/SUM($B$32,$B$34,$B$35,$B$36,$B$38,$B$39)*100)</f>
        <v>5.5035610950367246</v>
      </c>
      <c r="D36" s="233"/>
      <c r="G36" s="15"/>
    </row>
    <row r="37" spans="1:7">
      <c r="A37" s="171" t="s">
        <v>76</v>
      </c>
      <c r="B37" s="34" t="s">
        <v>111</v>
      </c>
      <c r="C37" s="167"/>
      <c r="D37" s="173"/>
      <c r="G37" s="15"/>
    </row>
    <row r="38" spans="1:7">
      <c r="A38" s="171" t="s">
        <v>77</v>
      </c>
      <c r="B38" s="33">
        <f>IF((B24-(B29-B18)*0.1)&lt;0,0,B24-(B29-B18)*0.1)</f>
        <v>48.899999999999991</v>
      </c>
      <c r="C38" s="167">
        <f>IF(ISERROR(B38/SUM($B$32,$B$34,$B$35,$B$36,$B$38,$B$39)*100),0,B38/SUM($B$32,$B$34,$B$35,$B$36,$B$38,$B$39)*100)</f>
        <v>1.0883596705987089</v>
      </c>
      <c r="D38" s="234"/>
      <c r="G38" s="15"/>
    </row>
    <row r="39" spans="1:7">
      <c r="A39" s="171" t="s">
        <v>78</v>
      </c>
      <c r="B39" s="33">
        <f>IF((B25-(B29-B18))&lt;0,0,B25-(B29-B18)*0.9)</f>
        <v>481.1</v>
      </c>
      <c r="C39" s="167">
        <f>IF(ISERROR(B39/SUM($B$32,$B$34,$B$35,$B$36,$B$38,$B$39)*100),0,B39/SUM($B$32,$B$34,$B$35,$B$36,$B$38,$B$39)*100)</f>
        <v>10.707767638548853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2864</v>
      </c>
      <c r="C44" s="34" t="s">
        <v>111</v>
      </c>
      <c r="D44" s="174"/>
    </row>
    <row r="45" spans="1:7">
      <c r="A45" s="171" t="s">
        <v>72</v>
      </c>
      <c r="B45" s="33" t="str">
        <f t="shared" si="0"/>
        <v>-</v>
      </c>
      <c r="C45" s="34" t="s">
        <v>111</v>
      </c>
      <c r="D45" s="174"/>
    </row>
    <row r="46" spans="1:7">
      <c r="A46" s="171" t="s">
        <v>73</v>
      </c>
      <c r="B46" s="33">
        <f t="shared" si="0"/>
        <v>290.45000000000005</v>
      </c>
      <c r="C46" s="34" t="s">
        <v>111</v>
      </c>
      <c r="D46" s="174"/>
    </row>
    <row r="47" spans="1:7">
      <c r="A47" s="171" t="s">
        <v>74</v>
      </c>
      <c r="B47" s="33">
        <f t="shared" si="0"/>
        <v>561.27499999999998</v>
      </c>
      <c r="C47" s="34" t="s">
        <v>111</v>
      </c>
      <c r="D47" s="174"/>
    </row>
    <row r="48" spans="1:7">
      <c r="A48" s="171" t="s">
        <v>75</v>
      </c>
      <c r="B48" s="33">
        <f t="shared" si="0"/>
        <v>247.27500000000001</v>
      </c>
      <c r="C48" s="33">
        <f>B48*10</f>
        <v>2472.75</v>
      </c>
      <c r="D48" s="234"/>
    </row>
    <row r="49" spans="1:6">
      <c r="A49" s="171" t="s">
        <v>76</v>
      </c>
      <c r="B49" s="33" t="str">
        <f t="shared" si="0"/>
        <v>-</v>
      </c>
      <c r="C49" s="34" t="s">
        <v>111</v>
      </c>
      <c r="D49" s="234"/>
    </row>
    <row r="50" spans="1:6">
      <c r="A50" s="171" t="s">
        <v>77</v>
      </c>
      <c r="B50" s="33">
        <f t="shared" si="0"/>
        <v>48.899999999999991</v>
      </c>
      <c r="C50" s="33">
        <f>B50*2</f>
        <v>97.799999999999983</v>
      </c>
      <c r="D50" s="234"/>
    </row>
    <row r="51" spans="1:6">
      <c r="A51" s="171" t="s">
        <v>78</v>
      </c>
      <c r="B51" s="33">
        <f t="shared" si="0"/>
        <v>481.1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13058.048279999999</v>
      </c>
      <c r="C5" s="17">
        <f>IF(ISERROR('Eigen informatie GS &amp; warmtenet'!B58),0,'Eigen informatie GS &amp; warmtenet'!B58)</f>
        <v>0</v>
      </c>
      <c r="D5" s="30">
        <f>SUM(D6:D12)</f>
        <v>12343.893069933853</v>
      </c>
      <c r="E5" s="17">
        <f>SUM(E6:E12)</f>
        <v>143.51444300404503</v>
      </c>
      <c r="F5" s="17">
        <f>SUM(F6:F12)</f>
        <v>2015.7433610487683</v>
      </c>
      <c r="G5" s="18"/>
      <c r="H5" s="17"/>
      <c r="I5" s="17"/>
      <c r="J5" s="17">
        <f>SUM(J6:J12)</f>
        <v>0</v>
      </c>
      <c r="K5" s="17"/>
      <c r="L5" s="17"/>
      <c r="M5" s="17"/>
      <c r="N5" s="17">
        <f>SUM(N6:N12)</f>
        <v>1481.7210536180573</v>
      </c>
      <c r="O5" s="17">
        <f>B38*B39*B40</f>
        <v>4.6900000000000004</v>
      </c>
      <c r="P5" s="17">
        <f>B46*B47*B48/1000-B46*B47*B48/1000/B49</f>
        <v>38.133333333333333</v>
      </c>
      <c r="R5" s="32"/>
    </row>
    <row r="6" spans="1:18">
      <c r="A6" s="32" t="s">
        <v>54</v>
      </c>
      <c r="B6" s="37">
        <f>B26</f>
        <v>1116.066</v>
      </c>
      <c r="C6" s="33"/>
      <c r="D6" s="37">
        <f>IF(ISERROR(TER_kantoor_gas_kWh/1000),0,TER_kantoor_gas_kWh/1000)*0.902</f>
        <v>1120.7811626803136</v>
      </c>
      <c r="E6" s="33">
        <f>$C$26*'E Balans VL '!I12/100/3.6*1000000</f>
        <v>3.2334069521007511</v>
      </c>
      <c r="F6" s="33">
        <f>$C$26*('E Balans VL '!L12+'E Balans VL '!N12)/100/3.6*1000000</f>
        <v>126.31408235958953</v>
      </c>
      <c r="G6" s="34"/>
      <c r="H6" s="33"/>
      <c r="I6" s="33"/>
      <c r="J6" s="33">
        <f>$C$26*('E Balans VL '!D12+'E Balans VL '!E12)/100/3.6*1000000</f>
        <v>0</v>
      </c>
      <c r="K6" s="33"/>
      <c r="L6" s="33"/>
      <c r="M6" s="33"/>
      <c r="N6" s="33">
        <f>$C$26*'E Balans VL '!Y12/100/3.6*1000000</f>
        <v>11.170998305854098</v>
      </c>
      <c r="O6" s="33"/>
      <c r="P6" s="33"/>
      <c r="R6" s="32"/>
    </row>
    <row r="7" spans="1:18">
      <c r="A7" s="32" t="s">
        <v>53</v>
      </c>
      <c r="B7" s="37">
        <f t="shared" ref="B7:B12" si="0">B27</f>
        <v>1221.54</v>
      </c>
      <c r="C7" s="33"/>
      <c r="D7" s="37">
        <f>IF(ISERROR(TER_horeca_gas_kWh/1000),0,TER_horeca_gas_kWh/1000)*0.902</f>
        <v>2168.9451797942534</v>
      </c>
      <c r="E7" s="33">
        <f>$C$27*'E Balans VL '!I9/100/3.6*1000000</f>
        <v>51.276836284692287</v>
      </c>
      <c r="F7" s="33">
        <f>$C$27*('E Balans VL '!L9+'E Balans VL '!N9)/100/3.6*1000000</f>
        <v>262.47291903698635</v>
      </c>
      <c r="G7" s="34"/>
      <c r="H7" s="33"/>
      <c r="I7" s="33"/>
      <c r="J7" s="33">
        <f>$C$27*('E Balans VL '!D9+'E Balans VL '!E9)/100/3.6*1000000</f>
        <v>0</v>
      </c>
      <c r="K7" s="33"/>
      <c r="L7" s="33"/>
      <c r="M7" s="33"/>
      <c r="N7" s="33">
        <f>$C$27*'E Balans VL '!Y9/100/3.6*1000000</f>
        <v>0.31478017524515839</v>
      </c>
      <c r="O7" s="33"/>
      <c r="P7" s="33"/>
      <c r="R7" s="32"/>
    </row>
    <row r="8" spans="1:18">
      <c r="A8" s="6" t="s">
        <v>52</v>
      </c>
      <c r="B8" s="37">
        <f t="shared" si="0"/>
        <v>2942.3490000000002</v>
      </c>
      <c r="C8" s="33"/>
      <c r="D8" s="37">
        <f>IF(ISERROR(TER_handel_gas_kWh/1000),0,TER_handel_gas_kWh/1000)*0.902</f>
        <v>1100.5309623133305</v>
      </c>
      <c r="E8" s="33">
        <f>$C$28*'E Balans VL '!I13/100/3.6*1000000</f>
        <v>31.603277107460311</v>
      </c>
      <c r="F8" s="33">
        <f>$C$28*('E Balans VL '!L13+'E Balans VL '!N13)/100/3.6*1000000</f>
        <v>380.91137546715572</v>
      </c>
      <c r="G8" s="34"/>
      <c r="H8" s="33"/>
      <c r="I8" s="33"/>
      <c r="J8" s="33">
        <f>$C$28*('E Balans VL '!D13+'E Balans VL '!E13)/100/3.6*1000000</f>
        <v>0</v>
      </c>
      <c r="K8" s="33"/>
      <c r="L8" s="33"/>
      <c r="M8" s="33"/>
      <c r="N8" s="33">
        <f>$C$28*'E Balans VL '!Y13/100/3.6*1000000</f>
        <v>23.868495747240786</v>
      </c>
      <c r="O8" s="33"/>
      <c r="P8" s="33"/>
      <c r="R8" s="32"/>
    </row>
    <row r="9" spans="1:18">
      <c r="A9" s="32" t="s">
        <v>51</v>
      </c>
      <c r="B9" s="37">
        <f t="shared" si="0"/>
        <v>549.28469999999993</v>
      </c>
      <c r="C9" s="33"/>
      <c r="D9" s="37">
        <f>IF(ISERROR(TER_gezond_gas_kWh/1000),0,TER_gezond_gas_kWh/1000)*0.902</f>
        <v>1529.9118308347408</v>
      </c>
      <c r="E9" s="33">
        <f>$C$29*'E Balans VL '!I10/100/3.6*1000000</f>
        <v>0.43726614798260527</v>
      </c>
      <c r="F9" s="33">
        <f>$C$29*('E Balans VL '!L10+'E Balans VL '!N10)/100/3.6*1000000</f>
        <v>66.773493163882947</v>
      </c>
      <c r="G9" s="34"/>
      <c r="H9" s="33"/>
      <c r="I9" s="33"/>
      <c r="J9" s="33">
        <f>$C$29*('E Balans VL '!D10+'E Balans VL '!E10)/100/3.6*1000000</f>
        <v>0</v>
      </c>
      <c r="K9" s="33"/>
      <c r="L9" s="33"/>
      <c r="M9" s="33"/>
      <c r="N9" s="33">
        <f>$C$29*'E Balans VL '!Y10/100/3.6*1000000</f>
        <v>4.4369762831801607</v>
      </c>
      <c r="O9" s="33"/>
      <c r="P9" s="33"/>
      <c r="R9" s="32"/>
    </row>
    <row r="10" spans="1:18">
      <c r="A10" s="32" t="s">
        <v>50</v>
      </c>
      <c r="B10" s="37">
        <f t="shared" si="0"/>
        <v>1346.769</v>
      </c>
      <c r="C10" s="33"/>
      <c r="D10" s="37">
        <f>IF(ISERROR(TER_ander_gas_kWh/1000),0,TER_ander_gas_kWh/1000)*0.902</f>
        <v>1205.1314231727708</v>
      </c>
      <c r="E10" s="33">
        <f>$C$30*'E Balans VL '!I14/100/3.6*1000000</f>
        <v>4.6154481131740814</v>
      </c>
      <c r="F10" s="33">
        <f>$C$30*('E Balans VL '!L14+'E Balans VL '!N14)/100/3.6*1000000</f>
        <v>300.81346835440036</v>
      </c>
      <c r="G10" s="34"/>
      <c r="H10" s="33"/>
      <c r="I10" s="33"/>
      <c r="J10" s="33">
        <f>$C$30*('E Balans VL '!D14+'E Balans VL '!E14)/100/3.6*1000000</f>
        <v>0</v>
      </c>
      <c r="K10" s="33"/>
      <c r="L10" s="33"/>
      <c r="M10" s="33"/>
      <c r="N10" s="33">
        <f>$C$30*'E Balans VL '!Y14/100/3.6*1000000</f>
        <v>948.67144085523273</v>
      </c>
      <c r="O10" s="33"/>
      <c r="P10" s="33"/>
      <c r="R10" s="32"/>
    </row>
    <row r="11" spans="1:18">
      <c r="A11" s="32" t="s">
        <v>55</v>
      </c>
      <c r="B11" s="37">
        <f t="shared" si="0"/>
        <v>99.665580000000006</v>
      </c>
      <c r="C11" s="33"/>
      <c r="D11" s="37">
        <f>IF(ISERROR(TER_onderwijs_gas_kWh/1000),0,TER_onderwijs_gas_kWh/1000)*0.902</f>
        <v>191.5322238341096</v>
      </c>
      <c r="E11" s="33">
        <f>$C$31*'E Balans VL '!I11/100/3.6*1000000</f>
        <v>6.8895745995706206E-2</v>
      </c>
      <c r="F11" s="33">
        <f>$C$31*('E Balans VL '!L11+'E Balans VL '!N11)/100/3.6*1000000</f>
        <v>26.089553755337491</v>
      </c>
      <c r="G11" s="34"/>
      <c r="H11" s="33"/>
      <c r="I11" s="33"/>
      <c r="J11" s="33">
        <f>$C$31*('E Balans VL '!D11+'E Balans VL '!E11)/100/3.6*1000000</f>
        <v>0</v>
      </c>
      <c r="K11" s="33"/>
      <c r="L11" s="33"/>
      <c r="M11" s="33"/>
      <c r="N11" s="33">
        <f>$C$31*'E Balans VL '!Y11/100/3.6*1000000</f>
        <v>9.9208596038096189E-2</v>
      </c>
      <c r="O11" s="33"/>
      <c r="P11" s="33"/>
      <c r="R11" s="32"/>
    </row>
    <row r="12" spans="1:18">
      <c r="A12" s="32" t="s">
        <v>260</v>
      </c>
      <c r="B12" s="37">
        <f t="shared" si="0"/>
        <v>5782.3739999999998</v>
      </c>
      <c r="C12" s="33"/>
      <c r="D12" s="37">
        <f>IF(ISERROR(TER_rest_gas_kWh/1000),0,TER_rest_gas_kWh/1000)*0.902</f>
        <v>5027.0602873043326</v>
      </c>
      <c r="E12" s="33">
        <f>$C$32*'E Balans VL '!I8/100/3.6*1000000</f>
        <v>52.279312652639298</v>
      </c>
      <c r="F12" s="33">
        <f>$C$32*('E Balans VL '!L8+'E Balans VL '!N8)/100/3.6*1000000</f>
        <v>852.36846891141624</v>
      </c>
      <c r="G12" s="34"/>
      <c r="H12" s="33"/>
      <c r="I12" s="33"/>
      <c r="J12" s="33">
        <f>$C$32*('E Balans VL '!D8+'E Balans VL '!E8)/100/3.6*1000000</f>
        <v>0</v>
      </c>
      <c r="K12" s="33"/>
      <c r="L12" s="33"/>
      <c r="M12" s="33"/>
      <c r="N12" s="33">
        <f>$C$32*'E Balans VL '!Y8/100/3.6*1000000</f>
        <v>493.15915365526644</v>
      </c>
      <c r="O12" s="33"/>
      <c r="P12" s="33"/>
      <c r="R12" s="32"/>
    </row>
    <row r="13" spans="1:18">
      <c r="A13" s="16" t="s">
        <v>494</v>
      </c>
      <c r="B13" s="247">
        <f ca="1">'lokale energieproductie'!N91+'lokale energieproductie'!N60</f>
        <v>6687</v>
      </c>
      <c r="C13" s="247">
        <f ca="1">'lokale energieproductie'!O91+'lokale energieproductie'!O60</f>
        <v>9552.8571428571431</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-19105.714285714286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19745.048279999999</v>
      </c>
      <c r="C16" s="21">
        <f t="shared" ca="1" si="1"/>
        <v>9552.8571428571431</v>
      </c>
      <c r="D16" s="21">
        <f t="shared" ca="1" si="1"/>
        <v>12343.893069933853</v>
      </c>
      <c r="E16" s="21">
        <f t="shared" si="1"/>
        <v>143.51444300404503</v>
      </c>
      <c r="F16" s="21">
        <f t="shared" ca="1" si="1"/>
        <v>2015.7433610487683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0.18233712251252057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3600.2552872459933</v>
      </c>
      <c r="C20" s="23">
        <f t="shared" ref="C20:P20" ca="1" si="2">C16*C18</f>
        <v>0</v>
      </c>
      <c r="D20" s="23">
        <f t="shared" ca="1" si="2"/>
        <v>2493.4664001266383</v>
      </c>
      <c r="E20" s="23">
        <f t="shared" si="2"/>
        <v>32.577778561918223</v>
      </c>
      <c r="F20" s="23">
        <f t="shared" ca="1" si="2"/>
        <v>538.20347740002114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1116.066</v>
      </c>
      <c r="C26" s="39">
        <f>IF(ISERROR(B26*3.6/1000000/'E Balans VL '!Z12*100),0,B26*3.6/1000000/'E Balans VL '!Z12*100)</f>
        <v>2.4515679991503232E-2</v>
      </c>
      <c r="D26" s="237" t="s">
        <v>692</v>
      </c>
      <c r="F26" s="6"/>
    </row>
    <row r="27" spans="1:18">
      <c r="A27" s="231" t="s">
        <v>53</v>
      </c>
      <c r="B27" s="33">
        <f>IF(ISERROR(TER_horeca_ele_kWh/1000),0,TER_horeca_ele_kWh/1000)</f>
        <v>1221.54</v>
      </c>
      <c r="C27" s="39">
        <f>IF(ISERROR(B27*3.6/1000000/'E Balans VL '!Z9*100),0,B27*3.6/1000000/'E Balans VL '!Z9*100)</f>
        <v>9.8162915454537078E-2</v>
      </c>
      <c r="D27" s="237" t="s">
        <v>692</v>
      </c>
      <c r="F27" s="6"/>
    </row>
    <row r="28" spans="1:18">
      <c r="A28" s="171" t="s">
        <v>52</v>
      </c>
      <c r="B28" s="33">
        <f>IF(ISERROR(TER_handel_ele_kWh/1000),0,TER_handel_ele_kWh/1000)</f>
        <v>2942.3490000000002</v>
      </c>
      <c r="C28" s="39">
        <f>IF(ISERROR(B28*3.6/1000000/'E Balans VL '!Z13*100),0,B28*3.6/1000000/'E Balans VL '!Z13*100)</f>
        <v>8.7003204361828707E-2</v>
      </c>
      <c r="D28" s="237" t="s">
        <v>692</v>
      </c>
      <c r="F28" s="6"/>
    </row>
    <row r="29" spans="1:18">
      <c r="A29" s="231" t="s">
        <v>51</v>
      </c>
      <c r="B29" s="33">
        <f>IF(ISERROR(TER_gezond_ele_kWh/1000),0,TER_gezond_ele_kWh/1000)</f>
        <v>549.28469999999993</v>
      </c>
      <c r="C29" s="39">
        <f>IF(ISERROR(B29*3.6/1000000/'E Balans VL '!Z10*100),0,B29*3.6/1000000/'E Balans VL '!Z10*100)</f>
        <v>6.1890204409129054E-2</v>
      </c>
      <c r="D29" s="237" t="s">
        <v>692</v>
      </c>
      <c r="F29" s="6"/>
    </row>
    <row r="30" spans="1:18">
      <c r="A30" s="231" t="s">
        <v>50</v>
      </c>
      <c r="B30" s="33">
        <f>IF(ISERROR(TER_ander_ele_kWh/1000),0,TER_ander_ele_kWh/1000)</f>
        <v>1346.769</v>
      </c>
      <c r="C30" s="39">
        <f>IF(ISERROR(B30*3.6/1000000/'E Balans VL '!Z14*100),0,B30*3.6/1000000/'E Balans VL '!Z14*100)</f>
        <v>0.10185383727238492</v>
      </c>
      <c r="D30" s="237" t="s">
        <v>692</v>
      </c>
      <c r="F30" s="6"/>
    </row>
    <row r="31" spans="1:18">
      <c r="A31" s="231" t="s">
        <v>55</v>
      </c>
      <c r="B31" s="33">
        <f>IF(ISERROR(TER_onderwijs_ele_kWh/1000),0,TER_onderwijs_ele_kWh/1000)</f>
        <v>99.665580000000006</v>
      </c>
      <c r="C31" s="39">
        <f>IF(ISERROR(B31*3.6/1000000/'E Balans VL '!Z11*100),0,B31*3.6/1000000/'E Balans VL '!Z11*100)</f>
        <v>2.0688260770885727E-2</v>
      </c>
      <c r="D31" s="237" t="s">
        <v>692</v>
      </c>
    </row>
    <row r="32" spans="1:18">
      <c r="A32" s="231" t="s">
        <v>260</v>
      </c>
      <c r="B32" s="33">
        <f>IF(ISERROR(TER_rest_ele_kWh/1000),0,TER_rest_ele_kWh/1000)</f>
        <v>5782.3739999999998</v>
      </c>
      <c r="C32" s="39">
        <f>IF(ISERROR(B32*3.6/1000000/'E Balans VL '!Z8*100),0,B32*3.6/1000000/'E Balans VL '!Z8*100)</f>
        <v>4.8713099294571648E-2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19899.111270000001</v>
      </c>
      <c r="C5" s="17">
        <f>IF(ISERROR('Eigen informatie GS &amp; warmtenet'!B59),0,'Eigen informatie GS &amp; warmtenet'!B59)</f>
        <v>0</v>
      </c>
      <c r="D5" s="30">
        <f>SUM(D6:D15)</f>
        <v>16653.027497850249</v>
      </c>
      <c r="E5" s="17">
        <f>SUM(E6:E15)</f>
        <v>1429.702722109937</v>
      </c>
      <c r="F5" s="17">
        <f>SUM(F6:F15)</f>
        <v>6029.2875952213199</v>
      </c>
      <c r="G5" s="18"/>
      <c r="H5" s="17"/>
      <c r="I5" s="17"/>
      <c r="J5" s="17">
        <f>SUM(J6:J15)</f>
        <v>71.644866934403595</v>
      </c>
      <c r="K5" s="17"/>
      <c r="L5" s="17"/>
      <c r="M5" s="17"/>
      <c r="N5" s="17">
        <f>SUM(N6:N15)</f>
        <v>3853.5117711515945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1095.8309999999999</v>
      </c>
      <c r="C8" s="33"/>
      <c r="D8" s="37">
        <f>IF( ISERROR(IND_metaal_Gas_kWH/1000),0,IND_metaal_Gas_kWH/1000)*0.902</f>
        <v>430.02717551631059</v>
      </c>
      <c r="E8" s="33">
        <f>C30*'E Balans VL '!I18/100/3.6*1000000</f>
        <v>27.424814603666505</v>
      </c>
      <c r="F8" s="33">
        <f>C30*'E Balans VL '!L18/100/3.6*1000000+C30*'E Balans VL '!N18/100/3.6*1000000</f>
        <v>343.43888634372485</v>
      </c>
      <c r="G8" s="34"/>
      <c r="H8" s="33"/>
      <c r="I8" s="33"/>
      <c r="J8" s="40">
        <f>C30*'E Balans VL '!D18/100/3.6*1000000+C30*'E Balans VL '!E18/100/3.6*1000000</f>
        <v>0</v>
      </c>
      <c r="K8" s="33"/>
      <c r="L8" s="33"/>
      <c r="M8" s="33"/>
      <c r="N8" s="33">
        <f>C30*'E Balans VL '!Y18/100/3.6*1000000</f>
        <v>27.530118649437554</v>
      </c>
      <c r="O8" s="33"/>
      <c r="P8" s="33"/>
      <c r="R8" s="32"/>
    </row>
    <row r="9" spans="1:18">
      <c r="A9" s="6" t="s">
        <v>33</v>
      </c>
      <c r="B9" s="37">
        <f t="shared" si="0"/>
        <v>2118.1779999999999</v>
      </c>
      <c r="C9" s="33"/>
      <c r="D9" s="37">
        <f>IF( ISERROR(IND_andere_gas_kWh/1000),0,IND_andere_gas_kWh/1000)*0.902</f>
        <v>933.92467805672652</v>
      </c>
      <c r="E9" s="33">
        <f>C31*'E Balans VL '!I19/100/3.6*1000000</f>
        <v>582.41207281157142</v>
      </c>
      <c r="F9" s="33">
        <f>C31*'E Balans VL '!L19/100/3.6*1000000+C31*'E Balans VL '!N19/100/3.6*1000000</f>
        <v>1669.4928534359692</v>
      </c>
      <c r="G9" s="34"/>
      <c r="H9" s="33"/>
      <c r="I9" s="33"/>
      <c r="J9" s="40">
        <f>C31*'E Balans VL '!D19/100/3.6*1000000+C31*'E Balans VL '!E19/100/3.6*1000000</f>
        <v>0</v>
      </c>
      <c r="K9" s="33"/>
      <c r="L9" s="33"/>
      <c r="M9" s="33"/>
      <c r="N9" s="33">
        <f>C31*'E Balans VL '!Y19/100/3.6*1000000</f>
        <v>685.71012914317737</v>
      </c>
      <c r="O9" s="33"/>
      <c r="P9" s="33"/>
      <c r="R9" s="32"/>
    </row>
    <row r="10" spans="1:18">
      <c r="A10" s="6" t="s">
        <v>41</v>
      </c>
      <c r="B10" s="37">
        <f t="shared" si="0"/>
        <v>178.78489999999999</v>
      </c>
      <c r="C10" s="33"/>
      <c r="D10" s="37">
        <f>IF( ISERROR(IND_voed_gas_kWh/1000),0,IND_voed_gas_kWh/1000)*0.902</f>
        <v>218.82106953018786</v>
      </c>
      <c r="E10" s="33">
        <f>C32*'E Balans VL '!I20/100/3.6*1000000</f>
        <v>1.8226135623365851</v>
      </c>
      <c r="F10" s="33">
        <f>C32*'E Balans VL '!L20/100/3.6*1000000+C32*'E Balans VL '!N20/100/3.6*1000000</f>
        <v>337.72355790839055</v>
      </c>
      <c r="G10" s="34"/>
      <c r="H10" s="33"/>
      <c r="I10" s="33"/>
      <c r="J10" s="40">
        <f>C32*'E Balans VL '!D20/100/3.6*1000000+C32*'E Balans VL '!E20/100/3.6*1000000</f>
        <v>4.2789076438412668</v>
      </c>
      <c r="K10" s="33"/>
      <c r="L10" s="33"/>
      <c r="M10" s="33"/>
      <c r="N10" s="33">
        <f>C32*'E Balans VL '!Y20/100/3.6*1000000</f>
        <v>94.240235795232152</v>
      </c>
      <c r="O10" s="33"/>
      <c r="P10" s="33"/>
      <c r="R10" s="32"/>
    </row>
    <row r="11" spans="1:18">
      <c r="A11" s="6" t="s">
        <v>40</v>
      </c>
      <c r="B11" s="37">
        <f t="shared" si="0"/>
        <v>388.68290000000002</v>
      </c>
      <c r="C11" s="33"/>
      <c r="D11" s="37">
        <f>IF( ISERROR(IND_textiel_gas_kWh/1000),0,IND_textiel_gas_kWh/1000)*0.902</f>
        <v>0</v>
      </c>
      <c r="E11" s="33">
        <f>C33*'E Balans VL '!I21/100/3.6*1000000</f>
        <v>1.0301998354775785</v>
      </c>
      <c r="F11" s="33">
        <f>C33*'E Balans VL '!L21/100/3.6*1000000+C33*'E Balans VL '!N21/100/3.6*1000000</f>
        <v>17.358979270267348</v>
      </c>
      <c r="G11" s="34"/>
      <c r="H11" s="33"/>
      <c r="I11" s="33"/>
      <c r="J11" s="40">
        <f>C33*'E Balans VL '!D21/100/3.6*1000000+C33*'E Balans VL '!E21/100/3.6*1000000</f>
        <v>0</v>
      </c>
      <c r="K11" s="33"/>
      <c r="L11" s="33"/>
      <c r="M11" s="33"/>
      <c r="N11" s="33">
        <f>C33*'E Balans VL '!Y21/100/3.6*1000000</f>
        <v>3.6630584855953843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60.267470000000003</v>
      </c>
      <c r="C13" s="33"/>
      <c r="D13" s="37">
        <f>IF( ISERROR(IND_papier_gas_kWh/1000),0,IND_papier_gas_kWh/1000)*0.902</f>
        <v>77.920948844960066</v>
      </c>
      <c r="E13" s="33">
        <f>C35*'E Balans VL '!I23/100/3.6*1000000</f>
        <v>0.12481799832627033</v>
      </c>
      <c r="F13" s="33">
        <f>C35*'E Balans VL '!L23/100/3.6*1000000+C35*'E Balans VL '!N23/100/3.6*1000000</f>
        <v>1.1952331332865098</v>
      </c>
      <c r="G13" s="34"/>
      <c r="H13" s="33"/>
      <c r="I13" s="33"/>
      <c r="J13" s="40">
        <f>C35*'E Balans VL '!D23/100/3.6*1000000+C35*'E Balans VL '!E23/100/3.6*1000000</f>
        <v>0</v>
      </c>
      <c r="K13" s="33"/>
      <c r="L13" s="33"/>
      <c r="M13" s="33"/>
      <c r="N13" s="33">
        <f>C35*'E Balans VL '!Y23/100/3.6*1000000</f>
        <v>25.447810764277918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16057.367</v>
      </c>
      <c r="C15" s="33"/>
      <c r="D15" s="37">
        <f>IF( ISERROR(IND_rest_gas_kWh/1000),0,IND_rest_gas_kWh/1000)*0.902</f>
        <v>14992.333625902065</v>
      </c>
      <c r="E15" s="33">
        <f>C37*'E Balans VL '!I15/100/3.6*1000000</f>
        <v>816.88820329855866</v>
      </c>
      <c r="F15" s="33">
        <f>C37*'E Balans VL '!L15/100/3.6*1000000+C37*'E Balans VL '!N15/100/3.6*1000000</f>
        <v>3660.0780851296818</v>
      </c>
      <c r="G15" s="34"/>
      <c r="H15" s="33"/>
      <c r="I15" s="33"/>
      <c r="J15" s="40">
        <f>C37*'E Balans VL '!D15/100/3.6*1000000+C37*'E Balans VL '!E15/100/3.6*1000000</f>
        <v>67.36595929056233</v>
      </c>
      <c r="K15" s="33"/>
      <c r="L15" s="33"/>
      <c r="M15" s="33"/>
      <c r="N15" s="33">
        <f>C37*'E Balans VL '!Y15/100/3.6*1000000</f>
        <v>3016.9204183138741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19899.111270000001</v>
      </c>
      <c r="C18" s="21">
        <f>C5+C16</f>
        <v>0</v>
      </c>
      <c r="D18" s="21">
        <f>MAX((D5+D16),0)</f>
        <v>16653.027497850249</v>
      </c>
      <c r="E18" s="21">
        <f>MAX((E5+E16),0)</f>
        <v>1429.702722109937</v>
      </c>
      <c r="F18" s="21">
        <f>MAX((F5+F16),0)</f>
        <v>6029.2875952213199</v>
      </c>
      <c r="G18" s="21"/>
      <c r="H18" s="21"/>
      <c r="I18" s="21"/>
      <c r="J18" s="21">
        <f>MAX((J5+J16),0)</f>
        <v>71.644866934403595</v>
      </c>
      <c r="K18" s="21"/>
      <c r="L18" s="21">
        <f>MAX((L5+L16),0)</f>
        <v>0</v>
      </c>
      <c r="M18" s="21"/>
      <c r="N18" s="21">
        <f>MAX((N5+N16),0)</f>
        <v>3853.5117711515945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0.18233712251252057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3628.3466895282691</v>
      </c>
      <c r="C22" s="23">
        <f ca="1">C18*C20</f>
        <v>0</v>
      </c>
      <c r="D22" s="23">
        <f>D18*D20</f>
        <v>3363.9115545657505</v>
      </c>
      <c r="E22" s="23">
        <f>E18*E20</f>
        <v>324.5425179189557</v>
      </c>
      <c r="F22" s="23">
        <f>F18*F20</f>
        <v>1609.8197879240925</v>
      </c>
      <c r="G22" s="23"/>
      <c r="H22" s="23"/>
      <c r="I22" s="23"/>
      <c r="J22" s="23">
        <f>J18*J20</f>
        <v>25.362282894778872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1095.8309999999999</v>
      </c>
      <c r="C30" s="39">
        <f>IF(ISERROR(B30*3.6/1000000/'E Balans VL '!Z18*100),0,B30*3.6/1000000/'E Balans VL '!Z18*100)</f>
        <v>0.15337982102848874</v>
      </c>
      <c r="D30" s="237" t="s">
        <v>692</v>
      </c>
    </row>
    <row r="31" spans="1:18">
      <c r="A31" s="6" t="s">
        <v>33</v>
      </c>
      <c r="B31" s="37">
        <f>IF( ISERROR(IND_ander_ele_kWh/1000),0,IND_ander_ele_kWh/1000)</f>
        <v>2118.1779999999999</v>
      </c>
      <c r="C31" s="39">
        <f>IF(ISERROR(B31*3.6/1000000/'E Balans VL '!Z19*100),0,B31*3.6/1000000/'E Balans VL '!Z19*100)</f>
        <v>9.2712307442709183E-2</v>
      </c>
      <c r="D31" s="237" t="s">
        <v>692</v>
      </c>
    </row>
    <row r="32" spans="1:18">
      <c r="A32" s="171" t="s">
        <v>41</v>
      </c>
      <c r="B32" s="37">
        <f>IF( ISERROR(IND_voed_ele_kWh/1000),0,IND_voed_ele_kWh/1000)</f>
        <v>178.78489999999999</v>
      </c>
      <c r="C32" s="39">
        <f>IF(ISERROR(B32*3.6/1000000/'E Balans VL '!Z20*100),0,B32*3.6/1000000/'E Balans VL '!Z20*100)</f>
        <v>4.4261204086323946E-2</v>
      </c>
      <c r="D32" s="237" t="s">
        <v>692</v>
      </c>
    </row>
    <row r="33" spans="1:5">
      <c r="A33" s="171" t="s">
        <v>40</v>
      </c>
      <c r="B33" s="37">
        <f>IF( ISERROR(IND_textiel_ele_kWh/1000),0,IND_textiel_ele_kWh/1000)</f>
        <v>388.68290000000002</v>
      </c>
      <c r="C33" s="39">
        <f>IF(ISERROR(B33*3.6/1000000/'E Balans VL '!Z21*100),0,B33*3.6/1000000/'E Balans VL '!Z21*100)</f>
        <v>4.3797716117637588E-2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60.267470000000003</v>
      </c>
      <c r="C35" s="39">
        <f>IF(ISERROR(B35*3.6/1000000/'E Balans VL '!Z22*100),0,B35*3.6/1000000/'E Balans VL '!Z22*100)</f>
        <v>1.7101449205369826E-3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16057.367</v>
      </c>
      <c r="C37" s="39">
        <f>IF(ISERROR(B37*3.6/1000000/'E Balans VL '!Z15*100),0,B37*3.6/1000000/'E Balans VL '!Z15*100)</f>
        <v>0.11906262716743587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2371.5529999999999</v>
      </c>
      <c r="C5" s="17">
        <f>'Eigen informatie GS &amp; warmtenet'!B60</f>
        <v>0</v>
      </c>
      <c r="D5" s="30">
        <f>IF(ISERROR(SUM(LB_lb_gas_kWh,LB_rest_gas_kWh)/1000),0,SUM(LB_lb_gas_kWh,LB_rest_gas_kWh)/1000)*0.902</f>
        <v>251.12127268831907</v>
      </c>
      <c r="E5" s="17">
        <f>B17*'E Balans VL '!I25/3.6*1000000/100</f>
        <v>21.966317183702234</v>
      </c>
      <c r="F5" s="17">
        <f>B17*('E Balans VL '!L25/3.6*1000000+'E Balans VL '!N25/3.6*1000000)/100</f>
        <v>6017.0817413828754</v>
      </c>
      <c r="G5" s="18"/>
      <c r="H5" s="17"/>
      <c r="I5" s="17"/>
      <c r="J5" s="17">
        <f>('E Balans VL '!D25+'E Balans VL '!E25)/3.6*1000000*landbouw!B17/100</f>
        <v>363.58554150872544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2371.5529999999999</v>
      </c>
      <c r="C8" s="21">
        <f>C5+C6</f>
        <v>0</v>
      </c>
      <c r="D8" s="21">
        <f>MAX((D5+D6),0)</f>
        <v>251.12127268831907</v>
      </c>
      <c r="E8" s="21">
        <f>MAX((E5+E6),0)</f>
        <v>21.966317183702234</v>
      </c>
      <c r="F8" s="21">
        <f>MAX((F5+F6),0)</f>
        <v>6017.0817413828754</v>
      </c>
      <c r="G8" s="21"/>
      <c r="H8" s="21"/>
      <c r="I8" s="21"/>
      <c r="J8" s="21">
        <f>MAX((J5+J6),0)</f>
        <v>363.58554150872544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0.18233712251252057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432.42214990593567</v>
      </c>
      <c r="C12" s="23">
        <f ca="1">C8*C10</f>
        <v>0</v>
      </c>
      <c r="D12" s="23">
        <f>D8*D10</f>
        <v>50.726497083040456</v>
      </c>
      <c r="E12" s="23">
        <f>E8*E10</f>
        <v>4.9863540007004072</v>
      </c>
      <c r="F12" s="23">
        <f>F8*F10</f>
        <v>1606.5608249492279</v>
      </c>
      <c r="G12" s="23"/>
      <c r="H12" s="23"/>
      <c r="I12" s="23"/>
      <c r="J12" s="23">
        <f>J8*J10</f>
        <v>128.70928169408879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0.33718455098457822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305.81637318168799</v>
      </c>
      <c r="C26" s="247">
        <f>B26*'GWP N2O_CH4'!B5</f>
        <v>6422.1438368154477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224.68310982516346</v>
      </c>
      <c r="C27" s="247">
        <f>B27*'GWP N2O_CH4'!B5</f>
        <v>4718.3453063284323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4.532304243524468</v>
      </c>
      <c r="C28" s="247">
        <f>B28*'GWP N2O_CH4'!B4</f>
        <v>1405.0143154925852</v>
      </c>
      <c r="D28" s="50"/>
    </row>
    <row r="29" spans="1:4">
      <c r="A29" s="41" t="s">
        <v>277</v>
      </c>
      <c r="B29" s="247">
        <f>B34*'ha_N2O bodem landbouw'!B4</f>
        <v>16.807639567729431</v>
      </c>
      <c r="C29" s="247">
        <f>B29*'GWP N2O_CH4'!B4</f>
        <v>5210.3682659961241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3.7696574496389208E-3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1.8011655371434341E-5</v>
      </c>
      <c r="C5" s="464" t="s">
        <v>211</v>
      </c>
      <c r="D5" s="449">
        <f>SUM(D6:D11)</f>
        <v>6.6900577066036747E-5</v>
      </c>
      <c r="E5" s="449">
        <f>SUM(E6:E11)</f>
        <v>4.064623883157331E-4</v>
      </c>
      <c r="F5" s="462" t="s">
        <v>211</v>
      </c>
      <c r="G5" s="449">
        <f>SUM(G6:G11)</f>
        <v>0.10589024166551005</v>
      </c>
      <c r="H5" s="449">
        <f>SUM(H6:H11)</f>
        <v>2.4785304158303038E-2</v>
      </c>
      <c r="I5" s="464" t="s">
        <v>211</v>
      </c>
      <c r="J5" s="464" t="s">
        <v>211</v>
      </c>
      <c r="K5" s="464" t="s">
        <v>211</v>
      </c>
      <c r="L5" s="464" t="s">
        <v>211</v>
      </c>
      <c r="M5" s="449">
        <f>SUM(M6:M11)</f>
        <v>6.8882599728925355E-3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3.8181034342226184E-6</v>
      </c>
      <c r="C6" s="450"/>
      <c r="D6" s="893">
        <f>vkm_2011_GW_PW*SUMIFS(TableVerdeelsleutelVkm[CNG],TableVerdeelsleutelVkm[Voertuigtype],"Lichte voertuigen")*SUMIFS(TableECFTransport[EnergieConsumptieFactor (PJ per km)],TableECFTransport[Index],CONCATENATE($A6,"_CNG_CNG"))</f>
        <v>8.8316935991319159E-6</v>
      </c>
      <c r="E6" s="893">
        <f>vkm_2011_GW_PW*SUMIFS(TableVerdeelsleutelVkm[LPG],TableVerdeelsleutelVkm[Voertuigtype],"Lichte voertuigen")*SUMIFS(TableECFTransport[EnergieConsumptieFactor (PJ per km)],TableECFTransport[Index],CONCATENATE($A6,"_LPG_LPG"))</f>
        <v>5.750665540717222E-5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1.1946582211081608E-2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3.3674946418062986E-3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7.947212015348452E-4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5.5897384742332277E-3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1.9115890438082996E-6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3.2339805480992995E-4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1.4193551937211722E-5</v>
      </c>
      <c r="C8" s="450"/>
      <c r="D8" s="452">
        <f>vkm_2011_NGW_PW*SUMIFS(TableVerdeelsleutelVkm[CNG],TableVerdeelsleutelVkm[Voertuigtype],"Lichte voertuigen")*SUMIFS(TableECFTransport[EnergieConsumptieFactor (PJ per km)],TableECFTransport[Index],CONCATENATE($A8,"_CNG_CNG"))</f>
        <v>5.8068883466904838E-5</v>
      </c>
      <c r="E8" s="452">
        <f>vkm_2011_NGW_PW*SUMIFS(TableVerdeelsleutelVkm[LPG],TableVerdeelsleutelVkm[Voertuigtype],"Lichte voertuigen")*SUMIFS(TableECFTransport[EnergieConsumptieFactor (PJ per km)],TableECFTransport[Index],CONCATENATE($A8,"_LPG_LPG"))</f>
        <v>3.4895573290856085E-4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6.7766690692354845E-2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2.1409236139545939E-2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4.5790644081949768E-3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2.0587230287840364E-2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6.6617879069901666E-6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1.1910763083527835E-3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5.0032376031762062</v>
      </c>
      <c r="C14" s="21"/>
      <c r="D14" s="21">
        <f t="shared" ref="D14:M14" si="0">((D5)*10^9/3600)+D12</f>
        <v>18.583493629454651</v>
      </c>
      <c r="E14" s="21">
        <f t="shared" si="0"/>
        <v>112.90621897659253</v>
      </c>
      <c r="F14" s="21"/>
      <c r="G14" s="21">
        <f t="shared" si="0"/>
        <v>29413.956018197234</v>
      </c>
      <c r="H14" s="21">
        <f t="shared" si="0"/>
        <v>6884.806710639733</v>
      </c>
      <c r="I14" s="21"/>
      <c r="J14" s="21"/>
      <c r="K14" s="21"/>
      <c r="L14" s="21"/>
      <c r="M14" s="21">
        <f t="shared" si="0"/>
        <v>1913.4055480257043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0.18233712251252057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0.91227594780958965</v>
      </c>
      <c r="C18" s="23"/>
      <c r="D18" s="23">
        <f t="shared" ref="D18:M18" si="1">D14*D16</f>
        <v>3.7538657131498399</v>
      </c>
      <c r="E18" s="23">
        <f t="shared" si="1"/>
        <v>25.629711707686504</v>
      </c>
      <c r="F18" s="23"/>
      <c r="G18" s="23">
        <f t="shared" si="1"/>
        <v>7853.5262568586622</v>
      </c>
      <c r="H18" s="23">
        <f t="shared" si="1"/>
        <v>1714.3168709492934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4.2649043664428933E-3</v>
      </c>
      <c r="H50" s="321">
        <f t="shared" si="2"/>
        <v>0</v>
      </c>
      <c r="I50" s="321">
        <f t="shared" si="2"/>
        <v>0</v>
      </c>
      <c r="J50" s="321">
        <f t="shared" si="2"/>
        <v>0</v>
      </c>
      <c r="K50" s="321">
        <f t="shared" si="2"/>
        <v>0</v>
      </c>
      <c r="L50" s="321">
        <f t="shared" si="2"/>
        <v>0</v>
      </c>
      <c r="M50" s="321">
        <f t="shared" si="2"/>
        <v>2.4321506315038964E-4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4.2649043664428933E-3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2.4321506315038964E-4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1184.6956573452483</v>
      </c>
      <c r="H54" s="21">
        <f t="shared" si="3"/>
        <v>0</v>
      </c>
      <c r="I54" s="21">
        <f t="shared" si="3"/>
        <v>0</v>
      </c>
      <c r="J54" s="21">
        <f t="shared" si="3"/>
        <v>0</v>
      </c>
      <c r="K54" s="21">
        <f t="shared" si="3"/>
        <v>0</v>
      </c>
      <c r="L54" s="21">
        <f t="shared" si="3"/>
        <v>0</v>
      </c>
      <c r="M54" s="21">
        <f t="shared" si="3"/>
        <v>67.559739763997129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0.18233712251252057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316.31374051118132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20789.077279999998</v>
      </c>
      <c r="D10" s="1025">
        <f ca="1">tertiair!C16</f>
        <v>9552.8571428571431</v>
      </c>
      <c r="E10" s="1025">
        <f ca="1">tertiair!D16</f>
        <v>12343.893069933853</v>
      </c>
      <c r="F10" s="1025">
        <f>tertiair!E16</f>
        <v>143.51444300404503</v>
      </c>
      <c r="G10" s="1025">
        <f ca="1">tertiair!F16</f>
        <v>2015.7433610487683</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4.6900000000000004</v>
      </c>
      <c r="Q10" s="1026">
        <f>tertiair!P16</f>
        <v>38.133333333333333</v>
      </c>
      <c r="R10" s="701">
        <f ca="1">SUM(C10:Q10)</f>
        <v>44887.908630177146</v>
      </c>
      <c r="S10" s="67"/>
    </row>
    <row r="11" spans="1:19" s="474" customFormat="1">
      <c r="A11" s="810" t="s">
        <v>225</v>
      </c>
      <c r="B11" s="815"/>
      <c r="C11" s="1025">
        <f>huishoudens!B8</f>
        <v>18782.140400767661</v>
      </c>
      <c r="D11" s="1025">
        <f>huishoudens!C8</f>
        <v>0</v>
      </c>
      <c r="E11" s="1025">
        <f>huishoudens!D8</f>
        <v>36935.108285655282</v>
      </c>
      <c r="F11" s="1025">
        <f>huishoudens!E8</f>
        <v>4333.6579056617666</v>
      </c>
      <c r="G11" s="1025">
        <f>huishoudens!F8</f>
        <v>11842.991390643134</v>
      </c>
      <c r="H11" s="1025">
        <f>huishoudens!G8</f>
        <v>0</v>
      </c>
      <c r="I11" s="1025">
        <f>huishoudens!H8</f>
        <v>0</v>
      </c>
      <c r="J11" s="1025">
        <f>huishoudens!I8</f>
        <v>0</v>
      </c>
      <c r="K11" s="1025">
        <f>huishoudens!J8</f>
        <v>1720.0195414886418</v>
      </c>
      <c r="L11" s="1025">
        <f>huishoudens!K8</f>
        <v>0</v>
      </c>
      <c r="M11" s="1025">
        <f>huishoudens!L8</f>
        <v>0</v>
      </c>
      <c r="N11" s="1025">
        <f>huishoudens!M8</f>
        <v>0</v>
      </c>
      <c r="O11" s="1025">
        <f>huishoudens!N8</f>
        <v>13991.415112026822</v>
      </c>
      <c r="P11" s="1025">
        <f>huishoudens!O8</f>
        <v>226.68333333333334</v>
      </c>
      <c r="Q11" s="1026">
        <f>huishoudens!P8</f>
        <v>286</v>
      </c>
      <c r="R11" s="701">
        <f>SUM(C11:Q11)</f>
        <v>88118.015969576634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19899.111270000001</v>
      </c>
      <c r="D13" s="1025">
        <f>industrie!C18</f>
        <v>0</v>
      </c>
      <c r="E13" s="1025">
        <f>industrie!D18</f>
        <v>16653.027497850249</v>
      </c>
      <c r="F13" s="1025">
        <f>industrie!E18</f>
        <v>1429.702722109937</v>
      </c>
      <c r="G13" s="1025">
        <f>industrie!F18</f>
        <v>6029.2875952213199</v>
      </c>
      <c r="H13" s="1025">
        <f>industrie!G18</f>
        <v>0</v>
      </c>
      <c r="I13" s="1025">
        <f>industrie!H18</f>
        <v>0</v>
      </c>
      <c r="J13" s="1025">
        <f>industrie!I18</f>
        <v>0</v>
      </c>
      <c r="K13" s="1025">
        <f>industrie!J18</f>
        <v>71.644866934403595</v>
      </c>
      <c r="L13" s="1025">
        <f>industrie!K18</f>
        <v>0</v>
      </c>
      <c r="M13" s="1025">
        <f>industrie!L18</f>
        <v>0</v>
      </c>
      <c r="N13" s="1025">
        <f>industrie!M18</f>
        <v>0</v>
      </c>
      <c r="O13" s="1025">
        <f>industrie!N18</f>
        <v>3853.5117711515945</v>
      </c>
      <c r="P13" s="1025">
        <f>industrie!O18</f>
        <v>0</v>
      </c>
      <c r="Q13" s="1026">
        <f>industrie!P18</f>
        <v>0</v>
      </c>
      <c r="R13" s="701">
        <f>SUM(C13:Q13)</f>
        <v>47936.285723267501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59470.32895076766</v>
      </c>
      <c r="D16" s="733">
        <f t="shared" ref="D16:R16" ca="1" si="0">SUM(D9:D15)</f>
        <v>9552.8571428571431</v>
      </c>
      <c r="E16" s="733">
        <f t="shared" ca="1" si="0"/>
        <v>65932.028853439377</v>
      </c>
      <c r="F16" s="733">
        <f t="shared" si="0"/>
        <v>5906.875070775749</v>
      </c>
      <c r="G16" s="733">
        <f t="shared" ca="1" si="0"/>
        <v>19888.022346913222</v>
      </c>
      <c r="H16" s="733">
        <f t="shared" si="0"/>
        <v>0</v>
      </c>
      <c r="I16" s="733">
        <f t="shared" si="0"/>
        <v>0</v>
      </c>
      <c r="J16" s="733">
        <f t="shared" si="0"/>
        <v>0</v>
      </c>
      <c r="K16" s="733">
        <f t="shared" si="0"/>
        <v>1791.6644084230454</v>
      </c>
      <c r="L16" s="733">
        <f t="shared" si="0"/>
        <v>0</v>
      </c>
      <c r="M16" s="733">
        <f t="shared" ca="1" si="0"/>
        <v>0</v>
      </c>
      <c r="N16" s="733">
        <f t="shared" si="0"/>
        <v>0</v>
      </c>
      <c r="O16" s="733">
        <f t="shared" ca="1" si="0"/>
        <v>17844.926883178417</v>
      </c>
      <c r="P16" s="733">
        <f t="shared" si="0"/>
        <v>231.37333333333333</v>
      </c>
      <c r="Q16" s="733">
        <f t="shared" si="0"/>
        <v>324.13333333333333</v>
      </c>
      <c r="R16" s="733">
        <f t="shared" ca="1" si="0"/>
        <v>180942.21032302128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1184.6956573452483</v>
      </c>
      <c r="I19" s="1025">
        <f>transport!H54</f>
        <v>0</v>
      </c>
      <c r="J19" s="1025">
        <f>transport!I54</f>
        <v>0</v>
      </c>
      <c r="K19" s="1025">
        <f>transport!J54</f>
        <v>0</v>
      </c>
      <c r="L19" s="1025">
        <f>transport!K54</f>
        <v>0</v>
      </c>
      <c r="M19" s="1025">
        <f>transport!L54</f>
        <v>0</v>
      </c>
      <c r="N19" s="1025">
        <f>transport!M54</f>
        <v>67.559739763997129</v>
      </c>
      <c r="O19" s="1025">
        <f>transport!N54</f>
        <v>0</v>
      </c>
      <c r="P19" s="1025">
        <f>transport!O54</f>
        <v>0</v>
      </c>
      <c r="Q19" s="1026">
        <f>transport!P54</f>
        <v>0</v>
      </c>
      <c r="R19" s="701">
        <f>SUM(C19:Q19)</f>
        <v>1252.2553971092455</v>
      </c>
      <c r="S19" s="67"/>
    </row>
    <row r="20" spans="1:19" s="474" customFormat="1">
      <c r="A20" s="810" t="s">
        <v>307</v>
      </c>
      <c r="B20" s="815"/>
      <c r="C20" s="1025">
        <f>transport!B14</f>
        <v>5.0032376031762062</v>
      </c>
      <c r="D20" s="1025">
        <f>transport!C14</f>
        <v>0</v>
      </c>
      <c r="E20" s="1025">
        <f>transport!D14</f>
        <v>18.583493629454651</v>
      </c>
      <c r="F20" s="1025">
        <f>transport!E14</f>
        <v>112.90621897659253</v>
      </c>
      <c r="G20" s="1025">
        <f>transport!F14</f>
        <v>0</v>
      </c>
      <c r="H20" s="1025">
        <f>transport!G14</f>
        <v>29413.956018197234</v>
      </c>
      <c r="I20" s="1025">
        <f>transport!H14</f>
        <v>6884.806710639733</v>
      </c>
      <c r="J20" s="1025">
        <f>transport!I14</f>
        <v>0</v>
      </c>
      <c r="K20" s="1025">
        <f>transport!J14</f>
        <v>0</v>
      </c>
      <c r="L20" s="1025">
        <f>transport!K14</f>
        <v>0</v>
      </c>
      <c r="M20" s="1025">
        <f>transport!L14</f>
        <v>0</v>
      </c>
      <c r="N20" s="1025">
        <f>transport!M14</f>
        <v>1913.4055480257043</v>
      </c>
      <c r="O20" s="1025">
        <f>transport!N14</f>
        <v>0</v>
      </c>
      <c r="P20" s="1025">
        <f>transport!O14</f>
        <v>0</v>
      </c>
      <c r="Q20" s="1026">
        <f>transport!P14</f>
        <v>0</v>
      </c>
      <c r="R20" s="701">
        <f>SUM(C20:Q20)</f>
        <v>38348.661227071891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5.0032376031762062</v>
      </c>
      <c r="D22" s="813">
        <f t="shared" ref="D22:R22" si="1">SUM(D18:D21)</f>
        <v>0</v>
      </c>
      <c r="E22" s="813">
        <f t="shared" si="1"/>
        <v>18.583493629454651</v>
      </c>
      <c r="F22" s="813">
        <f t="shared" si="1"/>
        <v>112.90621897659253</v>
      </c>
      <c r="G22" s="813">
        <f t="shared" si="1"/>
        <v>0</v>
      </c>
      <c r="H22" s="813">
        <f t="shared" si="1"/>
        <v>30598.651675542482</v>
      </c>
      <c r="I22" s="813">
        <f t="shared" si="1"/>
        <v>6884.806710639733</v>
      </c>
      <c r="J22" s="813">
        <f t="shared" si="1"/>
        <v>0</v>
      </c>
      <c r="K22" s="813">
        <f t="shared" si="1"/>
        <v>0</v>
      </c>
      <c r="L22" s="813">
        <f t="shared" si="1"/>
        <v>0</v>
      </c>
      <c r="M22" s="813">
        <f t="shared" si="1"/>
        <v>0</v>
      </c>
      <c r="N22" s="813">
        <f t="shared" si="1"/>
        <v>1980.9652877897015</v>
      </c>
      <c r="O22" s="813">
        <f t="shared" si="1"/>
        <v>0</v>
      </c>
      <c r="P22" s="813">
        <f t="shared" si="1"/>
        <v>0</v>
      </c>
      <c r="Q22" s="813">
        <f t="shared" si="1"/>
        <v>0</v>
      </c>
      <c r="R22" s="813">
        <f t="shared" si="1"/>
        <v>39600.916624181133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2371.5529999999999</v>
      </c>
      <c r="D24" s="1025">
        <f>+landbouw!C8</f>
        <v>0</v>
      </c>
      <c r="E24" s="1025">
        <f>+landbouw!D8</f>
        <v>251.12127268831907</v>
      </c>
      <c r="F24" s="1025">
        <f>+landbouw!E8</f>
        <v>21.966317183702234</v>
      </c>
      <c r="G24" s="1025">
        <f>+landbouw!F8</f>
        <v>6017.0817413828754</v>
      </c>
      <c r="H24" s="1025">
        <f>+landbouw!G8</f>
        <v>0</v>
      </c>
      <c r="I24" s="1025">
        <f>+landbouw!H8</f>
        <v>0</v>
      </c>
      <c r="J24" s="1025">
        <f>+landbouw!I8</f>
        <v>0</v>
      </c>
      <c r="K24" s="1025">
        <f>+landbouw!J8</f>
        <v>363.58554150872544</v>
      </c>
      <c r="L24" s="1025">
        <f>+landbouw!K8</f>
        <v>0</v>
      </c>
      <c r="M24" s="1025">
        <f>+landbouw!L8</f>
        <v>0</v>
      </c>
      <c r="N24" s="1025">
        <f>+landbouw!M8</f>
        <v>0</v>
      </c>
      <c r="O24" s="1025">
        <f>+landbouw!N8</f>
        <v>0</v>
      </c>
      <c r="P24" s="1025">
        <f>+landbouw!O8</f>
        <v>0</v>
      </c>
      <c r="Q24" s="1026">
        <f>+landbouw!P8</f>
        <v>0</v>
      </c>
      <c r="R24" s="701">
        <f>SUM(C24:Q24)</f>
        <v>9025.3078727636221</v>
      </c>
      <c r="S24" s="67"/>
    </row>
    <row r="25" spans="1:19" s="474" customFormat="1" ht="15" thickBot="1">
      <c r="A25" s="832" t="s">
        <v>864</v>
      </c>
      <c r="B25" s="1028"/>
      <c r="C25" s="1029">
        <f>IF(Onbekend_ele_kWh="---",0,Onbekend_ele_kWh)/1000+IF(REST_rest_ele_kWh="---",0,REST_rest_ele_kWh)/1000</f>
        <v>727.1549</v>
      </c>
      <c r="D25" s="1029"/>
      <c r="E25" s="1029">
        <f>IF(onbekend_gas_kWh="---",0,onbekend_gas_kWh)/1000+IF(REST_rest_gas_kWh="---",0,REST_rest_gas_kWh)/1000</f>
        <v>1458.72129997198</v>
      </c>
      <c r="F25" s="1029"/>
      <c r="G25" s="1029"/>
      <c r="H25" s="1029"/>
      <c r="I25" s="1029"/>
      <c r="J25" s="1029"/>
      <c r="K25" s="1029"/>
      <c r="L25" s="1029"/>
      <c r="M25" s="1029"/>
      <c r="N25" s="1029"/>
      <c r="O25" s="1029"/>
      <c r="P25" s="1029"/>
      <c r="Q25" s="1030"/>
      <c r="R25" s="701">
        <f>SUM(C25:Q25)</f>
        <v>2185.87619997198</v>
      </c>
      <c r="S25" s="67"/>
    </row>
    <row r="26" spans="1:19" s="474" customFormat="1" ht="15.75" thickBot="1">
      <c r="A26" s="706" t="s">
        <v>865</v>
      </c>
      <c r="B26" s="818"/>
      <c r="C26" s="813">
        <f>SUM(C24:C25)</f>
        <v>3098.7078999999999</v>
      </c>
      <c r="D26" s="813">
        <f t="shared" ref="D26:R26" si="2">SUM(D24:D25)</f>
        <v>0</v>
      </c>
      <c r="E26" s="813">
        <f t="shared" si="2"/>
        <v>1709.8425726602991</v>
      </c>
      <c r="F26" s="813">
        <f t="shared" si="2"/>
        <v>21.966317183702234</v>
      </c>
      <c r="G26" s="813">
        <f t="shared" si="2"/>
        <v>6017.0817413828754</v>
      </c>
      <c r="H26" s="813">
        <f t="shared" si="2"/>
        <v>0</v>
      </c>
      <c r="I26" s="813">
        <f t="shared" si="2"/>
        <v>0</v>
      </c>
      <c r="J26" s="813">
        <f t="shared" si="2"/>
        <v>0</v>
      </c>
      <c r="K26" s="813">
        <f t="shared" si="2"/>
        <v>363.58554150872544</v>
      </c>
      <c r="L26" s="813">
        <f t="shared" si="2"/>
        <v>0</v>
      </c>
      <c r="M26" s="813">
        <f t="shared" si="2"/>
        <v>0</v>
      </c>
      <c r="N26" s="813">
        <f t="shared" si="2"/>
        <v>0</v>
      </c>
      <c r="O26" s="813">
        <f t="shared" si="2"/>
        <v>0</v>
      </c>
      <c r="P26" s="813">
        <f t="shared" si="2"/>
        <v>0</v>
      </c>
      <c r="Q26" s="813">
        <f t="shared" si="2"/>
        <v>0</v>
      </c>
      <c r="R26" s="813">
        <f t="shared" si="2"/>
        <v>11211.184072735603</v>
      </c>
      <c r="S26" s="67"/>
    </row>
    <row r="27" spans="1:19" s="474" customFormat="1" ht="17.25" thickTop="1" thickBot="1">
      <c r="A27" s="707" t="s">
        <v>116</v>
      </c>
      <c r="B27" s="806"/>
      <c r="C27" s="708">
        <f ca="1">C22+C16+C26</f>
        <v>62574.040088370835</v>
      </c>
      <c r="D27" s="708">
        <f t="shared" ref="D27:R27" ca="1" si="3">D22+D16+D26</f>
        <v>9552.8571428571431</v>
      </c>
      <c r="E27" s="708">
        <f t="shared" ca="1" si="3"/>
        <v>67660.454919729134</v>
      </c>
      <c r="F27" s="708">
        <f t="shared" si="3"/>
        <v>6041.7476069360437</v>
      </c>
      <c r="G27" s="708">
        <f t="shared" ca="1" si="3"/>
        <v>25905.104088296095</v>
      </c>
      <c r="H27" s="708">
        <f t="shared" si="3"/>
        <v>30598.651675542482</v>
      </c>
      <c r="I27" s="708">
        <f t="shared" si="3"/>
        <v>6884.806710639733</v>
      </c>
      <c r="J27" s="708">
        <f t="shared" si="3"/>
        <v>0</v>
      </c>
      <c r="K27" s="708">
        <f t="shared" si="3"/>
        <v>2155.249949931771</v>
      </c>
      <c r="L27" s="708">
        <f t="shared" si="3"/>
        <v>0</v>
      </c>
      <c r="M27" s="708">
        <f t="shared" ca="1" si="3"/>
        <v>0</v>
      </c>
      <c r="N27" s="708">
        <f t="shared" si="3"/>
        <v>1980.9652877897015</v>
      </c>
      <c r="O27" s="708">
        <f t="shared" ca="1" si="3"/>
        <v>17844.926883178417</v>
      </c>
      <c r="P27" s="708">
        <f t="shared" si="3"/>
        <v>231.37333333333333</v>
      </c>
      <c r="Q27" s="708">
        <f t="shared" si="3"/>
        <v>324.13333333333333</v>
      </c>
      <c r="R27" s="708">
        <f t="shared" ca="1" si="3"/>
        <v>231754.31101993803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3790.6205309256175</v>
      </c>
      <c r="D40" s="1025">
        <f ca="1">tertiair!C20</f>
        <v>0</v>
      </c>
      <c r="E40" s="1025">
        <f ca="1">tertiair!D20</f>
        <v>2493.4664001266383</v>
      </c>
      <c r="F40" s="1025">
        <f>tertiair!E20</f>
        <v>32.577778561918223</v>
      </c>
      <c r="G40" s="1025">
        <f ca="1">tertiair!F20</f>
        <v>538.20347740002114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6854.8681870141954</v>
      </c>
    </row>
    <row r="41" spans="1:18">
      <c r="A41" s="823" t="s">
        <v>225</v>
      </c>
      <c r="B41" s="830"/>
      <c r="C41" s="1025">
        <f ca="1">huishoudens!B12</f>
        <v>3424.6814353021355</v>
      </c>
      <c r="D41" s="1025">
        <f ca="1">huishoudens!C12</f>
        <v>0</v>
      </c>
      <c r="E41" s="1025">
        <f>huishoudens!D12</f>
        <v>7460.8918737023678</v>
      </c>
      <c r="F41" s="1025">
        <f>huishoudens!E12</f>
        <v>983.74034458522101</v>
      </c>
      <c r="G41" s="1025">
        <f>huishoudens!F12</f>
        <v>3162.078701301717</v>
      </c>
      <c r="H41" s="1025">
        <f>huishoudens!G12</f>
        <v>0</v>
      </c>
      <c r="I41" s="1025">
        <f>huishoudens!H12</f>
        <v>0</v>
      </c>
      <c r="J41" s="1025">
        <f>huishoudens!I12</f>
        <v>0</v>
      </c>
      <c r="K41" s="1025">
        <f>huishoudens!J12</f>
        <v>608.88691768697913</v>
      </c>
      <c r="L41" s="1025">
        <f>huishoudens!K12</f>
        <v>0</v>
      </c>
      <c r="M41" s="1025">
        <f>huishoudens!L12</f>
        <v>0</v>
      </c>
      <c r="N41" s="1025">
        <f>huishoudens!M12</f>
        <v>0</v>
      </c>
      <c r="O41" s="1025">
        <f>huishoudens!N12</f>
        <v>0</v>
      </c>
      <c r="P41" s="1025">
        <f>huishoudens!O12</f>
        <v>0</v>
      </c>
      <c r="Q41" s="775">
        <f>huishoudens!P12</f>
        <v>0</v>
      </c>
      <c r="R41" s="851">
        <f t="shared" ca="1" si="4"/>
        <v>15640.279272578422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3628.3466895282691</v>
      </c>
      <c r="D43" s="1025">
        <f ca="1">industrie!C22</f>
        <v>0</v>
      </c>
      <c r="E43" s="1025">
        <f>industrie!D22</f>
        <v>3363.9115545657505</v>
      </c>
      <c r="F43" s="1025">
        <f>industrie!E22</f>
        <v>324.5425179189557</v>
      </c>
      <c r="G43" s="1025">
        <f>industrie!F22</f>
        <v>1609.8197879240925</v>
      </c>
      <c r="H43" s="1025">
        <f>industrie!G22</f>
        <v>0</v>
      </c>
      <c r="I43" s="1025">
        <f>industrie!H22</f>
        <v>0</v>
      </c>
      <c r="J43" s="1025">
        <f>industrie!I22</f>
        <v>0</v>
      </c>
      <c r="K43" s="1025">
        <f>industrie!J22</f>
        <v>25.362282894778872</v>
      </c>
      <c r="L43" s="1025">
        <f>industrie!K22</f>
        <v>0</v>
      </c>
      <c r="M43" s="1025">
        <f>industrie!L22</f>
        <v>0</v>
      </c>
      <c r="N43" s="1025">
        <f>industrie!M22</f>
        <v>0</v>
      </c>
      <c r="O43" s="1025">
        <f>industrie!N22</f>
        <v>0</v>
      </c>
      <c r="P43" s="1025">
        <f>industrie!O22</f>
        <v>0</v>
      </c>
      <c r="Q43" s="775">
        <f>industrie!P22</f>
        <v>0</v>
      </c>
      <c r="R43" s="850">
        <f t="shared" ca="1" si="4"/>
        <v>8951.9828328318472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10843.648655756022</v>
      </c>
      <c r="D46" s="733">
        <f t="shared" ref="D46:Q46" ca="1" si="5">SUM(D39:D45)</f>
        <v>0</v>
      </c>
      <c r="E46" s="733">
        <f t="shared" ca="1" si="5"/>
        <v>13318.269828394757</v>
      </c>
      <c r="F46" s="733">
        <f t="shared" si="5"/>
        <v>1340.860641066095</v>
      </c>
      <c r="G46" s="733">
        <f t="shared" ca="1" si="5"/>
        <v>5310.1019666258308</v>
      </c>
      <c r="H46" s="733">
        <f t="shared" si="5"/>
        <v>0</v>
      </c>
      <c r="I46" s="733">
        <f t="shared" si="5"/>
        <v>0</v>
      </c>
      <c r="J46" s="733">
        <f t="shared" si="5"/>
        <v>0</v>
      </c>
      <c r="K46" s="733">
        <f t="shared" si="5"/>
        <v>634.24920058175803</v>
      </c>
      <c r="L46" s="733">
        <f t="shared" si="5"/>
        <v>0</v>
      </c>
      <c r="M46" s="733">
        <f t="shared" ca="1" si="5"/>
        <v>0</v>
      </c>
      <c r="N46" s="733">
        <f t="shared" si="5"/>
        <v>0</v>
      </c>
      <c r="O46" s="733">
        <f t="shared" ca="1" si="5"/>
        <v>0</v>
      </c>
      <c r="P46" s="733">
        <f t="shared" si="5"/>
        <v>0</v>
      </c>
      <c r="Q46" s="733">
        <f t="shared" si="5"/>
        <v>0</v>
      </c>
      <c r="R46" s="733">
        <f ca="1">SUM(R39:R45)</f>
        <v>31447.130292424466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316.31374051118132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316.31374051118132</v>
      </c>
    </row>
    <row r="50" spans="1:18">
      <c r="A50" s="826" t="s">
        <v>307</v>
      </c>
      <c r="B50" s="836"/>
      <c r="C50" s="704">
        <f ca="1">transport!B18</f>
        <v>0.91227594780958965</v>
      </c>
      <c r="D50" s="704">
        <f>transport!C18</f>
        <v>0</v>
      </c>
      <c r="E50" s="704">
        <f>transport!D18</f>
        <v>3.7538657131498399</v>
      </c>
      <c r="F50" s="704">
        <f>transport!E18</f>
        <v>25.629711707686504</v>
      </c>
      <c r="G50" s="704">
        <f>transport!F18</f>
        <v>0</v>
      </c>
      <c r="H50" s="704">
        <f>transport!G18</f>
        <v>7853.5262568586622</v>
      </c>
      <c r="I50" s="704">
        <f>transport!H18</f>
        <v>1714.3168709492934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9598.1389811766021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0.91227594780958965</v>
      </c>
      <c r="D52" s="733">
        <f t="shared" ref="D52:Q52" ca="1" si="6">SUM(D48:D51)</f>
        <v>0</v>
      </c>
      <c r="E52" s="733">
        <f t="shared" si="6"/>
        <v>3.7538657131498399</v>
      </c>
      <c r="F52" s="733">
        <f t="shared" si="6"/>
        <v>25.629711707686504</v>
      </c>
      <c r="G52" s="733">
        <f t="shared" si="6"/>
        <v>0</v>
      </c>
      <c r="H52" s="733">
        <f t="shared" si="6"/>
        <v>8169.8399973698433</v>
      </c>
      <c r="I52" s="733">
        <f t="shared" si="6"/>
        <v>1714.3168709492934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9914.4527216877832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432.42214990593567</v>
      </c>
      <c r="D54" s="704">
        <f ca="1">+landbouw!C12</f>
        <v>0</v>
      </c>
      <c r="E54" s="704">
        <f>+landbouw!D12</f>
        <v>50.726497083040456</v>
      </c>
      <c r="F54" s="704">
        <f>+landbouw!E12</f>
        <v>4.9863540007004072</v>
      </c>
      <c r="G54" s="704">
        <f>+landbouw!F12</f>
        <v>1606.5608249492279</v>
      </c>
      <c r="H54" s="704">
        <f>+landbouw!G12</f>
        <v>0</v>
      </c>
      <c r="I54" s="704">
        <f>+landbouw!H12</f>
        <v>0</v>
      </c>
      <c r="J54" s="704">
        <f>+landbouw!I12</f>
        <v>0</v>
      </c>
      <c r="K54" s="704">
        <f>+landbouw!J12</f>
        <v>128.70928169408879</v>
      </c>
      <c r="L54" s="704">
        <f>+landbouw!K12</f>
        <v>0</v>
      </c>
      <c r="M54" s="704">
        <f>+landbouw!L12</f>
        <v>0</v>
      </c>
      <c r="N54" s="704">
        <f>+landbouw!M12</f>
        <v>0</v>
      </c>
      <c r="O54" s="704">
        <f>+landbouw!N12</f>
        <v>0</v>
      </c>
      <c r="P54" s="704">
        <f>+landbouw!O12</f>
        <v>0</v>
      </c>
      <c r="Q54" s="705">
        <f>+landbouw!P12</f>
        <v>0</v>
      </c>
      <c r="R54" s="732">
        <f ca="1">SUM(C54:Q54)</f>
        <v>2223.4051076329933</v>
      </c>
    </row>
    <row r="55" spans="1:18" ht="15" thickBot="1">
      <c r="A55" s="826" t="s">
        <v>864</v>
      </c>
      <c r="B55" s="836"/>
      <c r="C55" s="704">
        <f ca="1">C25*'EF ele_warmte'!B12</f>
        <v>132.58733208687966</v>
      </c>
      <c r="D55" s="704"/>
      <c r="E55" s="704">
        <f>E25*EF_CO2_aardgas</f>
        <v>294.66170259434</v>
      </c>
      <c r="F55" s="704"/>
      <c r="G55" s="704"/>
      <c r="H55" s="704"/>
      <c r="I55" s="704"/>
      <c r="J55" s="704"/>
      <c r="K55" s="704"/>
      <c r="L55" s="704"/>
      <c r="M55" s="704"/>
      <c r="N55" s="704"/>
      <c r="O55" s="704"/>
      <c r="P55" s="704"/>
      <c r="Q55" s="705"/>
      <c r="R55" s="732">
        <f ca="1">SUM(C55:Q55)</f>
        <v>427.24903468121965</v>
      </c>
    </row>
    <row r="56" spans="1:18" ht="15.75" thickBot="1">
      <c r="A56" s="824" t="s">
        <v>865</v>
      </c>
      <c r="B56" s="837"/>
      <c r="C56" s="733">
        <f ca="1">SUM(C54:C55)</f>
        <v>565.00948199281538</v>
      </c>
      <c r="D56" s="733">
        <f t="shared" ref="D56:Q56" ca="1" si="7">SUM(D54:D55)</f>
        <v>0</v>
      </c>
      <c r="E56" s="733">
        <f t="shared" si="7"/>
        <v>345.38819967738044</v>
      </c>
      <c r="F56" s="733">
        <f t="shared" si="7"/>
        <v>4.9863540007004072</v>
      </c>
      <c r="G56" s="733">
        <f t="shared" si="7"/>
        <v>1606.5608249492279</v>
      </c>
      <c r="H56" s="733">
        <f t="shared" si="7"/>
        <v>0</v>
      </c>
      <c r="I56" s="733">
        <f t="shared" si="7"/>
        <v>0</v>
      </c>
      <c r="J56" s="733">
        <f t="shared" si="7"/>
        <v>0</v>
      </c>
      <c r="K56" s="733">
        <f t="shared" si="7"/>
        <v>128.70928169408879</v>
      </c>
      <c r="L56" s="733">
        <f t="shared" si="7"/>
        <v>0</v>
      </c>
      <c r="M56" s="733">
        <f t="shared" si="7"/>
        <v>0</v>
      </c>
      <c r="N56" s="733">
        <f t="shared" si="7"/>
        <v>0</v>
      </c>
      <c r="O56" s="733">
        <f t="shared" si="7"/>
        <v>0</v>
      </c>
      <c r="P56" s="733">
        <f t="shared" si="7"/>
        <v>0</v>
      </c>
      <c r="Q56" s="734">
        <f t="shared" si="7"/>
        <v>0</v>
      </c>
      <c r="R56" s="735">
        <f ca="1">SUM(R54:R55)</f>
        <v>2650.654142314213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11409.570413696649</v>
      </c>
      <c r="D61" s="741">
        <f t="shared" ref="D61:Q61" ca="1" si="8">D46+D52+D56</f>
        <v>0</v>
      </c>
      <c r="E61" s="741">
        <f t="shared" ca="1" si="8"/>
        <v>13667.411893785287</v>
      </c>
      <c r="F61" s="741">
        <f t="shared" si="8"/>
        <v>1371.476706774482</v>
      </c>
      <c r="G61" s="741">
        <f t="shared" ca="1" si="8"/>
        <v>6916.6627915750587</v>
      </c>
      <c r="H61" s="741">
        <f t="shared" si="8"/>
        <v>8169.8399973698433</v>
      </c>
      <c r="I61" s="741">
        <f t="shared" si="8"/>
        <v>1714.3168709492934</v>
      </c>
      <c r="J61" s="741">
        <f t="shared" si="8"/>
        <v>0</v>
      </c>
      <c r="K61" s="741">
        <f t="shared" si="8"/>
        <v>762.95848227584679</v>
      </c>
      <c r="L61" s="741">
        <f t="shared" si="8"/>
        <v>0</v>
      </c>
      <c r="M61" s="741">
        <f t="shared" ca="1" si="8"/>
        <v>0</v>
      </c>
      <c r="N61" s="741">
        <f t="shared" si="8"/>
        <v>0</v>
      </c>
      <c r="O61" s="741">
        <f t="shared" ca="1" si="8"/>
        <v>0</v>
      </c>
      <c r="P61" s="741">
        <f t="shared" si="8"/>
        <v>0</v>
      </c>
      <c r="Q61" s="741">
        <f t="shared" si="8"/>
        <v>0</v>
      </c>
      <c r="R61" s="741">
        <f ca="1">R46+R52+R56</f>
        <v>44012.237156426461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0.1823371225125206</v>
      </c>
      <c r="D63" s="782">
        <f t="shared" ca="1" si="9"/>
        <v>0</v>
      </c>
      <c r="E63" s="1036">
        <f t="shared" ca="1" si="9"/>
        <v>0.20200000000000004</v>
      </c>
      <c r="F63" s="782">
        <f t="shared" si="9"/>
        <v>0.22700000000000001</v>
      </c>
      <c r="G63" s="782">
        <f t="shared" ca="1" si="9"/>
        <v>0.26700000000000007</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4260.0246417796779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6687</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7867.0588235294117</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10947.024641779677</v>
      </c>
      <c r="C78" s="756">
        <f>SUM(C72:C77)</f>
        <v>0</v>
      </c>
      <c r="D78" s="757">
        <f t="shared" ref="D78:H78" si="10">SUM(D76:D77)</f>
        <v>0</v>
      </c>
      <c r="E78" s="757">
        <f t="shared" si="10"/>
        <v>0</v>
      </c>
      <c r="F78" s="757">
        <f t="shared" si="10"/>
        <v>0</v>
      </c>
      <c r="G78" s="757">
        <f t="shared" si="10"/>
        <v>0</v>
      </c>
      <c r="H78" s="757">
        <f t="shared" si="10"/>
        <v>0</v>
      </c>
      <c r="I78" s="757">
        <f>SUM(I76:I77)</f>
        <v>0</v>
      </c>
      <c r="J78" s="757">
        <f>SUM(J76:J77)</f>
        <v>7867.0588235294117</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9552.8571428571431</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11238.655462184875</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9552.8571428571431</v>
      </c>
      <c r="C90" s="756">
        <f>SUM(C87:C89)</f>
        <v>0</v>
      </c>
      <c r="D90" s="756">
        <f t="shared" ref="D90:H90" si="12">SUM(D87:D89)</f>
        <v>0</v>
      </c>
      <c r="E90" s="756">
        <f t="shared" si="12"/>
        <v>0</v>
      </c>
      <c r="F90" s="756">
        <f t="shared" si="12"/>
        <v>0</v>
      </c>
      <c r="G90" s="756">
        <f t="shared" si="12"/>
        <v>0</v>
      </c>
      <c r="H90" s="756">
        <f t="shared" si="12"/>
        <v>0</v>
      </c>
      <c r="I90" s="756">
        <f>SUM(I87:I89)</f>
        <v>0</v>
      </c>
      <c r="J90" s="756">
        <f>SUM(J87:J89)</f>
        <v>11238.655462184875</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4260.0246417796779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6687</v>
      </c>
      <c r="C8" s="571">
        <f>B101</f>
        <v>0</v>
      </c>
      <c r="D8" s="1056"/>
      <c r="E8" s="1056">
        <f>E101</f>
        <v>0</v>
      </c>
      <c r="F8" s="1057"/>
      <c r="G8" s="572"/>
      <c r="H8" s="1056">
        <f>I101</f>
        <v>0</v>
      </c>
      <c r="I8" s="1056">
        <f>G101+F101</f>
        <v>0</v>
      </c>
      <c r="J8" s="1056">
        <f>H101+D101+C101</f>
        <v>7867.0588235294117</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10947.024641779677</v>
      </c>
      <c r="C10" s="584">
        <f t="shared" ref="C10:L10" si="0">SUM(C8:C9)</f>
        <v>0</v>
      </c>
      <c r="D10" s="584">
        <f t="shared" si="0"/>
        <v>0</v>
      </c>
      <c r="E10" s="584">
        <f t="shared" si="0"/>
        <v>0</v>
      </c>
      <c r="F10" s="584">
        <f t="shared" si="0"/>
        <v>0</v>
      </c>
      <c r="G10" s="584">
        <f t="shared" si="0"/>
        <v>0</v>
      </c>
      <c r="H10" s="584">
        <f t="shared" si="0"/>
        <v>0</v>
      </c>
      <c r="I10" s="584">
        <f t="shared" si="0"/>
        <v>0</v>
      </c>
      <c r="J10" s="584">
        <f t="shared" si="0"/>
        <v>7867.0588235294117</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9552.8571428571431</v>
      </c>
      <c r="C17" s="596">
        <f>B102</f>
        <v>0</v>
      </c>
      <c r="D17" s="597"/>
      <c r="E17" s="597">
        <f>E102</f>
        <v>0</v>
      </c>
      <c r="F17" s="1062"/>
      <c r="G17" s="598"/>
      <c r="H17" s="596">
        <f>I102</f>
        <v>0</v>
      </c>
      <c r="I17" s="597">
        <f>G102+F102</f>
        <v>0</v>
      </c>
      <c r="J17" s="597">
        <f>H102+D102+C102</f>
        <v>11238.655462184875</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9552.8571428571431</v>
      </c>
      <c r="C20" s="583">
        <f>SUM(C17:C19)</f>
        <v>0</v>
      </c>
      <c r="D20" s="583">
        <f t="shared" ref="D20:L20" si="1">SUM(D17:D19)</f>
        <v>0</v>
      </c>
      <c r="E20" s="583">
        <f t="shared" si="1"/>
        <v>0</v>
      </c>
      <c r="F20" s="583">
        <f t="shared" si="1"/>
        <v>0</v>
      </c>
      <c r="G20" s="583">
        <f t="shared" si="1"/>
        <v>0</v>
      </c>
      <c r="H20" s="583">
        <f t="shared" si="1"/>
        <v>0</v>
      </c>
      <c r="I20" s="583">
        <f t="shared" si="1"/>
        <v>0</v>
      </c>
      <c r="J20" s="583">
        <f t="shared" si="1"/>
        <v>11238.655462184875</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36012</v>
      </c>
      <c r="C28" s="797">
        <v>8890</v>
      </c>
      <c r="D28" s="654" t="s">
        <v>907</v>
      </c>
      <c r="E28" s="653" t="s">
        <v>908</v>
      </c>
      <c r="F28" s="653" t="s">
        <v>909</v>
      </c>
      <c r="G28" s="653" t="s">
        <v>910</v>
      </c>
      <c r="H28" s="653" t="s">
        <v>911</v>
      </c>
      <c r="I28" s="653" t="s">
        <v>912</v>
      </c>
      <c r="J28" s="796">
        <v>40634</v>
      </c>
      <c r="K28" s="796">
        <v>40634</v>
      </c>
      <c r="L28" s="653" t="s">
        <v>913</v>
      </c>
      <c r="M28" s="653">
        <v>1486</v>
      </c>
      <c r="N28" s="653">
        <v>6687</v>
      </c>
      <c r="O28" s="653">
        <v>9552.8571428571431</v>
      </c>
      <c r="P28" s="653">
        <v>0</v>
      </c>
      <c r="Q28" s="653">
        <v>19105.714285714286</v>
      </c>
      <c r="R28" s="653">
        <v>0</v>
      </c>
      <c r="S28" s="653">
        <v>0</v>
      </c>
      <c r="T28" s="653">
        <v>0</v>
      </c>
      <c r="U28" s="653">
        <v>0</v>
      </c>
      <c r="V28" s="653">
        <v>0</v>
      </c>
      <c r="W28" s="653">
        <v>0</v>
      </c>
      <c r="X28" s="653">
        <v>1500</v>
      </c>
      <c r="Y28" s="653" t="s">
        <v>51</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1486</v>
      </c>
      <c r="N58" s="611">
        <f>SUM(N28:N57)</f>
        <v>6687</v>
      </c>
      <c r="O58" s="611">
        <f t="shared" ref="O58:W58" si="2">SUM(O28:O57)</f>
        <v>9552.8571428571431</v>
      </c>
      <c r="P58" s="611">
        <f t="shared" si="2"/>
        <v>0</v>
      </c>
      <c r="Q58" s="611">
        <f t="shared" si="2"/>
        <v>19105.714285714286</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1486</v>
      </c>
      <c r="N60" s="611">
        <f ca="1">SUMIF($Z$28:AD57,"tertiair",N28:N57)</f>
        <v>6687</v>
      </c>
      <c r="O60" s="611">
        <f ca="1">SUMIF($Z$28:AE57,"tertiair",O28:O57)</f>
        <v>9552.8571428571431</v>
      </c>
      <c r="P60" s="611">
        <f ca="1">SUMIF($Z$28:AF57,"tertiair",P28:P57)</f>
        <v>0</v>
      </c>
      <c r="Q60" s="611">
        <f ca="1">SUMIF($Z$28:AG57,"tertiair",Q28:Q57)</f>
        <v>19105.714285714286</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7867.0588235294117</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11238.655462184875</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18782.140400767661</v>
      </c>
      <c r="C4" s="478">
        <f>huishoudens!C8</f>
        <v>0</v>
      </c>
      <c r="D4" s="478">
        <f>huishoudens!D8</f>
        <v>36935.108285655282</v>
      </c>
      <c r="E4" s="478">
        <f>huishoudens!E8</f>
        <v>4333.6579056617666</v>
      </c>
      <c r="F4" s="478">
        <f>huishoudens!F8</f>
        <v>11842.991390643134</v>
      </c>
      <c r="G4" s="478">
        <f>huishoudens!G8</f>
        <v>0</v>
      </c>
      <c r="H4" s="478">
        <f>huishoudens!H8</f>
        <v>0</v>
      </c>
      <c r="I4" s="478">
        <f>huishoudens!I8</f>
        <v>0</v>
      </c>
      <c r="J4" s="478">
        <f>huishoudens!J8</f>
        <v>1720.0195414886418</v>
      </c>
      <c r="K4" s="478">
        <f>huishoudens!K8</f>
        <v>0</v>
      </c>
      <c r="L4" s="478">
        <f>huishoudens!L8</f>
        <v>0</v>
      </c>
      <c r="M4" s="478">
        <f>huishoudens!M8</f>
        <v>0</v>
      </c>
      <c r="N4" s="478">
        <f>huishoudens!N8</f>
        <v>13991.415112026822</v>
      </c>
      <c r="O4" s="478">
        <f>huishoudens!O8</f>
        <v>226.68333333333334</v>
      </c>
      <c r="P4" s="479">
        <f>huishoudens!P8</f>
        <v>286</v>
      </c>
      <c r="Q4" s="480">
        <f>SUM(B4:P4)</f>
        <v>88118.015969576634</v>
      </c>
    </row>
    <row r="5" spans="1:17">
      <c r="A5" s="477" t="s">
        <v>156</v>
      </c>
      <c r="B5" s="478">
        <f ca="1">tertiair!B16</f>
        <v>19745.048279999999</v>
      </c>
      <c r="C5" s="478">
        <f ca="1">tertiair!C16</f>
        <v>9552.8571428571431</v>
      </c>
      <c r="D5" s="478">
        <f ca="1">tertiair!D16</f>
        <v>12343.893069933853</v>
      </c>
      <c r="E5" s="478">
        <f>tertiair!E16</f>
        <v>143.51444300404503</v>
      </c>
      <c r="F5" s="478">
        <f ca="1">tertiair!F16</f>
        <v>2015.7433610487683</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4.6900000000000004</v>
      </c>
      <c r="P5" s="479">
        <f>tertiair!P16</f>
        <v>38.133333333333333</v>
      </c>
      <c r="Q5" s="477">
        <f t="shared" ref="Q5:Q14" ca="1" si="0">SUM(B5:P5)</f>
        <v>43843.879630177144</v>
      </c>
    </row>
    <row r="6" spans="1:17">
      <c r="A6" s="477" t="s">
        <v>194</v>
      </c>
      <c r="B6" s="478">
        <f>'openbare verlichting'!B8</f>
        <v>1044.029</v>
      </c>
      <c r="C6" s="478"/>
      <c r="D6" s="478"/>
      <c r="E6" s="478"/>
      <c r="F6" s="478"/>
      <c r="G6" s="478"/>
      <c r="H6" s="478"/>
      <c r="I6" s="478"/>
      <c r="J6" s="478"/>
      <c r="K6" s="478"/>
      <c r="L6" s="478"/>
      <c r="M6" s="478"/>
      <c r="N6" s="478"/>
      <c r="O6" s="478"/>
      <c r="P6" s="479"/>
      <c r="Q6" s="477">
        <f t="shared" si="0"/>
        <v>1044.029</v>
      </c>
    </row>
    <row r="7" spans="1:17">
      <c r="A7" s="477" t="s">
        <v>112</v>
      </c>
      <c r="B7" s="478">
        <f>landbouw!B8</f>
        <v>2371.5529999999999</v>
      </c>
      <c r="C7" s="478">
        <f>landbouw!C8</f>
        <v>0</v>
      </c>
      <c r="D7" s="478">
        <f>landbouw!D8</f>
        <v>251.12127268831907</v>
      </c>
      <c r="E7" s="478">
        <f>landbouw!E8</f>
        <v>21.966317183702234</v>
      </c>
      <c r="F7" s="478">
        <f>landbouw!F8</f>
        <v>6017.0817413828754</v>
      </c>
      <c r="G7" s="478">
        <f>landbouw!G8</f>
        <v>0</v>
      </c>
      <c r="H7" s="478">
        <f>landbouw!H8</f>
        <v>0</v>
      </c>
      <c r="I7" s="478">
        <f>landbouw!I8</f>
        <v>0</v>
      </c>
      <c r="J7" s="478">
        <f>landbouw!J8</f>
        <v>363.58554150872544</v>
      </c>
      <c r="K7" s="478">
        <f>landbouw!K8</f>
        <v>0</v>
      </c>
      <c r="L7" s="478">
        <f>landbouw!L8</f>
        <v>0</v>
      </c>
      <c r="M7" s="478">
        <f>landbouw!M8</f>
        <v>0</v>
      </c>
      <c r="N7" s="478">
        <f>landbouw!N8</f>
        <v>0</v>
      </c>
      <c r="O7" s="478">
        <f>landbouw!O8</f>
        <v>0</v>
      </c>
      <c r="P7" s="479">
        <f>landbouw!P8</f>
        <v>0</v>
      </c>
      <c r="Q7" s="477">
        <f t="shared" si="0"/>
        <v>9025.3078727636221</v>
      </c>
    </row>
    <row r="8" spans="1:17">
      <c r="A8" s="477" t="s">
        <v>650</v>
      </c>
      <c r="B8" s="478">
        <f>industrie!B18</f>
        <v>19899.111270000001</v>
      </c>
      <c r="C8" s="478">
        <f>industrie!C18</f>
        <v>0</v>
      </c>
      <c r="D8" s="478">
        <f>industrie!D18</f>
        <v>16653.027497850249</v>
      </c>
      <c r="E8" s="478">
        <f>industrie!E18</f>
        <v>1429.702722109937</v>
      </c>
      <c r="F8" s="478">
        <f>industrie!F18</f>
        <v>6029.2875952213199</v>
      </c>
      <c r="G8" s="478">
        <f>industrie!G18</f>
        <v>0</v>
      </c>
      <c r="H8" s="478">
        <f>industrie!H18</f>
        <v>0</v>
      </c>
      <c r="I8" s="478">
        <f>industrie!I18</f>
        <v>0</v>
      </c>
      <c r="J8" s="478">
        <f>industrie!J18</f>
        <v>71.644866934403595</v>
      </c>
      <c r="K8" s="478">
        <f>industrie!K18</f>
        <v>0</v>
      </c>
      <c r="L8" s="478">
        <f>industrie!L18</f>
        <v>0</v>
      </c>
      <c r="M8" s="478">
        <f>industrie!M18</f>
        <v>0</v>
      </c>
      <c r="N8" s="478">
        <f>industrie!N18</f>
        <v>3853.5117711515945</v>
      </c>
      <c r="O8" s="478">
        <f>industrie!O18</f>
        <v>0</v>
      </c>
      <c r="P8" s="479">
        <f>industrie!P18</f>
        <v>0</v>
      </c>
      <c r="Q8" s="477">
        <f t="shared" si="0"/>
        <v>47936.285723267501</v>
      </c>
    </row>
    <row r="9" spans="1:17" s="483" customFormat="1">
      <c r="A9" s="481" t="s">
        <v>571</v>
      </c>
      <c r="B9" s="482">
        <f>transport!B14</f>
        <v>5.0032376031762062</v>
      </c>
      <c r="C9" s="482">
        <f>transport!C14</f>
        <v>0</v>
      </c>
      <c r="D9" s="482">
        <f>transport!D14</f>
        <v>18.583493629454651</v>
      </c>
      <c r="E9" s="482">
        <f>transport!E14</f>
        <v>112.90621897659253</v>
      </c>
      <c r="F9" s="482">
        <f>transport!F14</f>
        <v>0</v>
      </c>
      <c r="G9" s="482">
        <f>transport!G14</f>
        <v>29413.956018197234</v>
      </c>
      <c r="H9" s="482">
        <f>transport!H14</f>
        <v>6884.806710639733</v>
      </c>
      <c r="I9" s="482">
        <f>transport!I14</f>
        <v>0</v>
      </c>
      <c r="J9" s="482">
        <f>transport!J14</f>
        <v>0</v>
      </c>
      <c r="K9" s="482">
        <f>transport!K14</f>
        <v>0</v>
      </c>
      <c r="L9" s="482">
        <f>transport!L14</f>
        <v>0</v>
      </c>
      <c r="M9" s="482">
        <f>transport!M14</f>
        <v>1913.4055480257043</v>
      </c>
      <c r="N9" s="482">
        <f>transport!N14</f>
        <v>0</v>
      </c>
      <c r="O9" s="482">
        <f>transport!O14</f>
        <v>0</v>
      </c>
      <c r="P9" s="482">
        <f>transport!P14</f>
        <v>0</v>
      </c>
      <c r="Q9" s="481">
        <f>SUM(B9:P9)</f>
        <v>38348.661227071891</v>
      </c>
    </row>
    <row r="10" spans="1:17">
      <c r="A10" s="477" t="s">
        <v>561</v>
      </c>
      <c r="B10" s="478">
        <f>transport!B54</f>
        <v>0</v>
      </c>
      <c r="C10" s="478">
        <f>transport!C54</f>
        <v>0</v>
      </c>
      <c r="D10" s="478">
        <f>transport!D54</f>
        <v>0</v>
      </c>
      <c r="E10" s="478">
        <f>transport!E54</f>
        <v>0</v>
      </c>
      <c r="F10" s="478">
        <f>transport!F54</f>
        <v>0</v>
      </c>
      <c r="G10" s="478">
        <f>transport!G54</f>
        <v>1184.6956573452483</v>
      </c>
      <c r="H10" s="478">
        <f>transport!H54</f>
        <v>0</v>
      </c>
      <c r="I10" s="478">
        <f>transport!I54</f>
        <v>0</v>
      </c>
      <c r="J10" s="478">
        <f>transport!J54</f>
        <v>0</v>
      </c>
      <c r="K10" s="478">
        <f>transport!K54</f>
        <v>0</v>
      </c>
      <c r="L10" s="478">
        <f>transport!L54</f>
        <v>0</v>
      </c>
      <c r="M10" s="478">
        <f>transport!M54</f>
        <v>67.559739763997129</v>
      </c>
      <c r="N10" s="478">
        <f>transport!N54</f>
        <v>0</v>
      </c>
      <c r="O10" s="478">
        <f>transport!O54</f>
        <v>0</v>
      </c>
      <c r="P10" s="479">
        <f>transport!P54</f>
        <v>0</v>
      </c>
      <c r="Q10" s="477">
        <f t="shared" si="0"/>
        <v>1252.2553971092455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727.1549</v>
      </c>
      <c r="C14" s="485"/>
      <c r="D14" s="485">
        <f>'SEAP template'!E25</f>
        <v>1458.72129997198</v>
      </c>
      <c r="E14" s="485"/>
      <c r="F14" s="485"/>
      <c r="G14" s="485"/>
      <c r="H14" s="485"/>
      <c r="I14" s="485"/>
      <c r="J14" s="485"/>
      <c r="K14" s="485"/>
      <c r="L14" s="485"/>
      <c r="M14" s="485"/>
      <c r="N14" s="485"/>
      <c r="O14" s="485"/>
      <c r="P14" s="486"/>
      <c r="Q14" s="477">
        <f t="shared" si="0"/>
        <v>2185.87619997198</v>
      </c>
    </row>
    <row r="15" spans="1:17" s="487" customFormat="1">
      <c r="A15" s="1051" t="s">
        <v>565</v>
      </c>
      <c r="B15" s="991">
        <f ca="1">SUM(B4:B14)</f>
        <v>62574.040088370843</v>
      </c>
      <c r="C15" s="991">
        <f t="shared" ref="C15:Q15" ca="1" si="1">SUM(C4:C14)</f>
        <v>9552.8571428571431</v>
      </c>
      <c r="D15" s="991">
        <f t="shared" ca="1" si="1"/>
        <v>67660.454919729134</v>
      </c>
      <c r="E15" s="991">
        <f t="shared" si="1"/>
        <v>6041.7476069360437</v>
      </c>
      <c r="F15" s="991">
        <f t="shared" ca="1" si="1"/>
        <v>25905.104088296095</v>
      </c>
      <c r="G15" s="991">
        <f t="shared" si="1"/>
        <v>30598.651675542482</v>
      </c>
      <c r="H15" s="991">
        <f t="shared" si="1"/>
        <v>6884.806710639733</v>
      </c>
      <c r="I15" s="991">
        <f t="shared" si="1"/>
        <v>0</v>
      </c>
      <c r="J15" s="991">
        <f t="shared" si="1"/>
        <v>2155.249949931771</v>
      </c>
      <c r="K15" s="991">
        <f t="shared" si="1"/>
        <v>0</v>
      </c>
      <c r="L15" s="991">
        <f t="shared" ca="1" si="1"/>
        <v>0</v>
      </c>
      <c r="M15" s="991">
        <f t="shared" si="1"/>
        <v>1980.9652877897015</v>
      </c>
      <c r="N15" s="991">
        <f t="shared" ca="1" si="1"/>
        <v>17844.926883178417</v>
      </c>
      <c r="O15" s="991">
        <f t="shared" si="1"/>
        <v>231.37333333333333</v>
      </c>
      <c r="P15" s="991">
        <f t="shared" si="1"/>
        <v>324.13333333333333</v>
      </c>
      <c r="Q15" s="991">
        <f t="shared" ca="1" si="1"/>
        <v>231754.31101993803</v>
      </c>
    </row>
    <row r="17" spans="1:17">
      <c r="A17" s="488" t="s">
        <v>566</v>
      </c>
      <c r="B17" s="787">
        <f ca="1">huishoudens!B10</f>
        <v>0.18233712251252057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3424.6814353021355</v>
      </c>
      <c r="C22" s="478">
        <f t="shared" ref="C22:C32" ca="1" si="3">C4*$C$17</f>
        <v>0</v>
      </c>
      <c r="D22" s="478">
        <f t="shared" ref="D22:D32" si="4">D4*$D$17</f>
        <v>7460.8918737023678</v>
      </c>
      <c r="E22" s="478">
        <f t="shared" ref="E22:E32" si="5">E4*$E$17</f>
        <v>983.74034458522101</v>
      </c>
      <c r="F22" s="478">
        <f t="shared" ref="F22:F32" si="6">F4*$F$17</f>
        <v>3162.078701301717</v>
      </c>
      <c r="G22" s="478">
        <f t="shared" ref="G22:G32" si="7">G4*$G$17</f>
        <v>0</v>
      </c>
      <c r="H22" s="478">
        <f t="shared" ref="H22:H32" si="8">H4*$H$17</f>
        <v>0</v>
      </c>
      <c r="I22" s="478">
        <f t="shared" ref="I22:I32" si="9">I4*$I$17</f>
        <v>0</v>
      </c>
      <c r="J22" s="478">
        <f t="shared" ref="J22:J32" si="10">J4*$J$17</f>
        <v>608.88691768697913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15640.279272578422</v>
      </c>
    </row>
    <row r="23" spans="1:17">
      <c r="A23" s="477" t="s">
        <v>156</v>
      </c>
      <c r="B23" s="478">
        <f t="shared" ca="1" si="2"/>
        <v>3600.2552872459933</v>
      </c>
      <c r="C23" s="478">
        <f t="shared" ca="1" si="3"/>
        <v>0</v>
      </c>
      <c r="D23" s="478">
        <f t="shared" ca="1" si="4"/>
        <v>2493.4664001266383</v>
      </c>
      <c r="E23" s="478">
        <f t="shared" si="5"/>
        <v>32.577778561918223</v>
      </c>
      <c r="F23" s="478">
        <f t="shared" ca="1" si="6"/>
        <v>538.20347740002114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6664.5029433345717</v>
      </c>
    </row>
    <row r="24" spans="1:17">
      <c r="A24" s="477" t="s">
        <v>194</v>
      </c>
      <c r="B24" s="478">
        <f t="shared" ca="1" si="2"/>
        <v>190.36524367962434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190.36524367962434</v>
      </c>
    </row>
    <row r="25" spans="1:17">
      <c r="A25" s="477" t="s">
        <v>112</v>
      </c>
      <c r="B25" s="478">
        <f t="shared" ca="1" si="2"/>
        <v>432.42214990593567</v>
      </c>
      <c r="C25" s="478">
        <f t="shared" ca="1" si="3"/>
        <v>0</v>
      </c>
      <c r="D25" s="478">
        <f t="shared" si="4"/>
        <v>50.726497083040456</v>
      </c>
      <c r="E25" s="478">
        <f t="shared" si="5"/>
        <v>4.9863540007004072</v>
      </c>
      <c r="F25" s="478">
        <f t="shared" si="6"/>
        <v>1606.5608249492279</v>
      </c>
      <c r="G25" s="478">
        <f t="shared" si="7"/>
        <v>0</v>
      </c>
      <c r="H25" s="478">
        <f t="shared" si="8"/>
        <v>0</v>
      </c>
      <c r="I25" s="478">
        <f t="shared" si="9"/>
        <v>0</v>
      </c>
      <c r="J25" s="478">
        <f t="shared" si="10"/>
        <v>128.70928169408879</v>
      </c>
      <c r="K25" s="478">
        <f t="shared" si="11"/>
        <v>0</v>
      </c>
      <c r="L25" s="478">
        <f t="shared" si="12"/>
        <v>0</v>
      </c>
      <c r="M25" s="478">
        <f t="shared" si="13"/>
        <v>0</v>
      </c>
      <c r="N25" s="478">
        <f t="shared" si="14"/>
        <v>0</v>
      </c>
      <c r="O25" s="478">
        <f t="shared" si="15"/>
        <v>0</v>
      </c>
      <c r="P25" s="479">
        <f t="shared" si="16"/>
        <v>0</v>
      </c>
      <c r="Q25" s="477">
        <f t="shared" ca="1" si="17"/>
        <v>2223.4051076329933</v>
      </c>
    </row>
    <row r="26" spans="1:17">
      <c r="A26" s="477" t="s">
        <v>650</v>
      </c>
      <c r="B26" s="478">
        <f t="shared" ca="1" si="2"/>
        <v>3628.3466895282691</v>
      </c>
      <c r="C26" s="478">
        <f t="shared" ca="1" si="3"/>
        <v>0</v>
      </c>
      <c r="D26" s="478">
        <f t="shared" si="4"/>
        <v>3363.9115545657505</v>
      </c>
      <c r="E26" s="478">
        <f t="shared" si="5"/>
        <v>324.5425179189557</v>
      </c>
      <c r="F26" s="478">
        <f t="shared" si="6"/>
        <v>1609.8197879240925</v>
      </c>
      <c r="G26" s="478">
        <f t="shared" si="7"/>
        <v>0</v>
      </c>
      <c r="H26" s="478">
        <f t="shared" si="8"/>
        <v>0</v>
      </c>
      <c r="I26" s="478">
        <f t="shared" si="9"/>
        <v>0</v>
      </c>
      <c r="J26" s="478">
        <f t="shared" si="10"/>
        <v>25.362282894778872</v>
      </c>
      <c r="K26" s="478">
        <f t="shared" si="11"/>
        <v>0</v>
      </c>
      <c r="L26" s="478">
        <f t="shared" si="12"/>
        <v>0</v>
      </c>
      <c r="M26" s="478">
        <f t="shared" si="13"/>
        <v>0</v>
      </c>
      <c r="N26" s="478">
        <f t="shared" si="14"/>
        <v>0</v>
      </c>
      <c r="O26" s="478">
        <f t="shared" si="15"/>
        <v>0</v>
      </c>
      <c r="P26" s="479">
        <f t="shared" si="16"/>
        <v>0</v>
      </c>
      <c r="Q26" s="477">
        <f t="shared" ca="1" si="17"/>
        <v>8951.9828328318472</v>
      </c>
    </row>
    <row r="27" spans="1:17" s="483" customFormat="1">
      <c r="A27" s="481" t="s">
        <v>571</v>
      </c>
      <c r="B27" s="781">
        <f t="shared" ca="1" si="2"/>
        <v>0.91227594780958965</v>
      </c>
      <c r="C27" s="482">
        <f t="shared" ca="1" si="3"/>
        <v>0</v>
      </c>
      <c r="D27" s="482">
        <f t="shared" si="4"/>
        <v>3.7538657131498399</v>
      </c>
      <c r="E27" s="482">
        <f t="shared" si="5"/>
        <v>25.629711707686504</v>
      </c>
      <c r="F27" s="482">
        <f t="shared" si="6"/>
        <v>0</v>
      </c>
      <c r="G27" s="482">
        <f t="shared" si="7"/>
        <v>7853.5262568586622</v>
      </c>
      <c r="H27" s="482">
        <f t="shared" si="8"/>
        <v>1714.3168709492934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9598.1389811766021</v>
      </c>
    </row>
    <row r="28" spans="1:17">
      <c r="A28" s="477" t="s">
        <v>561</v>
      </c>
      <c r="B28" s="478">
        <f t="shared" ca="1" si="2"/>
        <v>0</v>
      </c>
      <c r="C28" s="478">
        <f t="shared" ca="1" si="3"/>
        <v>0</v>
      </c>
      <c r="D28" s="478">
        <f t="shared" si="4"/>
        <v>0</v>
      </c>
      <c r="E28" s="478">
        <f t="shared" si="5"/>
        <v>0</v>
      </c>
      <c r="F28" s="478">
        <f t="shared" si="6"/>
        <v>0</v>
      </c>
      <c r="G28" s="478">
        <f t="shared" si="7"/>
        <v>316.31374051118132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316.31374051118132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132.58733208687966</v>
      </c>
      <c r="C32" s="478">
        <f t="shared" ca="1" si="3"/>
        <v>0</v>
      </c>
      <c r="D32" s="478">
        <f t="shared" si="4"/>
        <v>294.66170259434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427.24903468121965</v>
      </c>
    </row>
    <row r="33" spans="1:17" s="487" customFormat="1">
      <c r="A33" s="1051" t="s">
        <v>565</v>
      </c>
      <c r="B33" s="991">
        <f ca="1">SUM(B22:B32)</f>
        <v>11409.570413696649</v>
      </c>
      <c r="C33" s="991">
        <f t="shared" ref="C33:Q33" ca="1" si="18">SUM(C22:C32)</f>
        <v>0</v>
      </c>
      <c r="D33" s="991">
        <f t="shared" ca="1" si="18"/>
        <v>13667.411893785287</v>
      </c>
      <c r="E33" s="991">
        <f t="shared" si="18"/>
        <v>1371.476706774482</v>
      </c>
      <c r="F33" s="991">
        <f t="shared" ca="1" si="18"/>
        <v>6916.6627915750587</v>
      </c>
      <c r="G33" s="991">
        <f t="shared" si="18"/>
        <v>8169.8399973698433</v>
      </c>
      <c r="H33" s="991">
        <f t="shared" si="18"/>
        <v>1714.3168709492934</v>
      </c>
      <c r="I33" s="991">
        <f t="shared" si="18"/>
        <v>0</v>
      </c>
      <c r="J33" s="991">
        <f t="shared" si="18"/>
        <v>762.95848227584679</v>
      </c>
      <c r="K33" s="991">
        <f t="shared" si="18"/>
        <v>0</v>
      </c>
      <c r="L33" s="991">
        <f t="shared" ca="1" si="18"/>
        <v>0</v>
      </c>
      <c r="M33" s="991">
        <f t="shared" si="18"/>
        <v>0</v>
      </c>
      <c r="N33" s="991">
        <f t="shared" ca="1" si="18"/>
        <v>0</v>
      </c>
      <c r="O33" s="991">
        <f t="shared" si="18"/>
        <v>0</v>
      </c>
      <c r="P33" s="991">
        <f t="shared" si="18"/>
        <v>0</v>
      </c>
      <c r="Q33" s="991">
        <f t="shared" ca="1" si="18"/>
        <v>44012.237156426461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4260.0246417796779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6687</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7867.0588235294117</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10947.024641779677</v>
      </c>
      <c r="C10" s="1072">
        <f>SUM(C4:C9)</f>
        <v>0</v>
      </c>
      <c r="D10" s="1072">
        <f t="shared" ref="D10:H10" si="0">SUM(D8:D9)</f>
        <v>0</v>
      </c>
      <c r="E10" s="1072">
        <f t="shared" si="0"/>
        <v>0</v>
      </c>
      <c r="F10" s="1072">
        <f t="shared" si="0"/>
        <v>0</v>
      </c>
      <c r="G10" s="1072">
        <f t="shared" si="0"/>
        <v>0</v>
      </c>
      <c r="H10" s="1072">
        <f t="shared" si="0"/>
        <v>0</v>
      </c>
      <c r="I10" s="1072">
        <f>SUM(I8:I9)</f>
        <v>0</v>
      </c>
      <c r="J10" s="1072">
        <f>SUM(J8:J9)</f>
        <v>7867.0588235294117</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0.18233712251252057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9552.8571428571431</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11238.655462184875</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9552.8571428571431</v>
      </c>
      <c r="C20" s="1072">
        <f>SUM(C17:C19)</f>
        <v>0</v>
      </c>
      <c r="D20" s="1072">
        <f t="shared" ref="D20:H20" si="2">SUM(D17:D19)</f>
        <v>0</v>
      </c>
      <c r="E20" s="1072">
        <f t="shared" si="2"/>
        <v>0</v>
      </c>
      <c r="F20" s="1072">
        <f t="shared" si="2"/>
        <v>0</v>
      </c>
      <c r="G20" s="1072">
        <f t="shared" si="2"/>
        <v>0</v>
      </c>
      <c r="H20" s="1072">
        <f t="shared" si="2"/>
        <v>0</v>
      </c>
      <c r="I20" s="1072">
        <f>SUM(I17:I19)</f>
        <v>0</v>
      </c>
      <c r="J20" s="1072">
        <f>SUM(J17:J19)</f>
        <v>11238.655462184875</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0.18233712251252057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2019-08-12T08:08:57Z</dcterms:modified>
</cp:coreProperties>
</file>