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I101" i="18"/>
  <c r="H8" s="1"/>
  <c r="G101"/>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E101" i="18"/>
  <c r="E8" s="1"/>
  <c r="Q77" i="14"/>
  <c r="P9" i="59" s="1"/>
  <c r="F101" i="18"/>
  <c r="I8" s="1"/>
  <c r="C102"/>
  <c r="J17" s="1"/>
  <c r="H101"/>
  <c r="J8" s="1"/>
  <c r="O8" s="1"/>
  <c r="O10" s="1"/>
  <c r="C77" i="14"/>
  <c r="C9" i="59" s="1"/>
  <c r="H20" i="18"/>
  <c r="M87" i="14"/>
  <c r="F76"/>
  <c r="E10" i="18"/>
  <c r="C20"/>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I76" i="14" l="1"/>
  <c r="I8" i="59" s="1"/>
  <c r="I10" s="1"/>
  <c r="I10" i="18"/>
  <c r="J20"/>
  <c r="J87" i="14"/>
  <c r="F78"/>
  <c r="F8" i="59"/>
  <c r="F10" s="1"/>
  <c r="F90" i="14"/>
  <c r="F17" i="59"/>
  <c r="F20" s="1"/>
  <c r="H10" i="14"/>
  <c r="H16" s="1"/>
  <c r="G5" i="48"/>
  <c r="H5"/>
  <c r="I10" i="14"/>
  <c r="I16" s="1"/>
  <c r="M78"/>
  <c r="M8" i="59"/>
  <c r="M10" s="1"/>
  <c r="M90" i="14"/>
  <c r="M17" i="59"/>
  <c r="M20" s="1"/>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B78" i="14" l="1"/>
  <c r="B8" i="59"/>
  <c r="B10" s="1"/>
  <c r="B90" i="14"/>
  <c r="B17" i="59"/>
  <c r="B20" s="1"/>
  <c r="C78" i="14"/>
  <c r="C8" i="59"/>
  <c r="C10" s="1"/>
  <c r="C90" i="14"/>
  <c r="C17" i="59"/>
  <c r="C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J24" i="48"/>
  <c r="J32"/>
  <c r="J30"/>
  <c r="J27"/>
  <c r="J29"/>
  <c r="J28"/>
  <c r="J31"/>
  <c r="Q11" i="14"/>
  <c r="P4" i="48"/>
  <c r="P11" i="14"/>
  <c r="O4" i="48"/>
  <c r="I32"/>
  <c r="I28"/>
  <c r="I22"/>
  <c r="I25"/>
  <c r="I24"/>
  <c r="I31"/>
  <c r="I26"/>
  <c r="I30"/>
  <c r="I27"/>
  <c r="I29"/>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28"/>
  <c r="E30"/>
  <c r="M26"/>
  <c r="M25"/>
  <c r="M32"/>
  <c r="M29"/>
  <c r="M22"/>
  <c r="M30"/>
  <c r="M24"/>
  <c r="M23"/>
  <c r="L10" i="14"/>
  <c r="L16" s="1"/>
  <c r="L27" s="1"/>
  <c r="K5" i="48"/>
  <c r="D30"/>
  <c r="D29"/>
  <c r="D31"/>
  <c r="D24"/>
  <c r="D28"/>
  <c r="D32"/>
  <c r="L32"/>
  <c r="L29"/>
  <c r="L28"/>
  <c r="L27"/>
  <c r="L22"/>
  <c r="L30"/>
  <c r="L31"/>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J63" s="1"/>
  <c r="F20"/>
  <c r="F22" s="1"/>
  <c r="E9" i="48"/>
  <c r="E27" s="1"/>
  <c r="P15"/>
  <c r="P22"/>
  <c r="P33" s="1"/>
  <c r="E20" i="14"/>
  <c r="E22" s="1"/>
  <c r="D9" i="48"/>
  <c r="D27" s="1"/>
  <c r="P10" i="14"/>
  <c r="O5" i="48"/>
  <c r="O23" s="1"/>
  <c r="K24" i="14"/>
  <c r="K26" s="1"/>
  <c r="J7" i="48"/>
  <c r="J25" s="1"/>
  <c r="C20" i="14"/>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G10"/>
  <c r="H19" i="14"/>
  <c r="R19" s="1"/>
  <c r="E12" i="13"/>
  <c r="F41" i="14" s="1"/>
  <c r="F11"/>
  <c r="E4" i="48"/>
  <c r="I23"/>
  <c r="I33" s="1"/>
  <c r="I15"/>
  <c r="Q13"/>
  <c r="G31"/>
  <c r="J4"/>
  <c r="K11" i="14"/>
  <c r="E7" i="48"/>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<sst xmlns="http://schemas.openxmlformats.org/spreadsheetml/2006/main" count="2419" uniqueCount="907">
  <si>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</si>
  <si>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</si>
  <si>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</si>
  <si>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</si>
  <si>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</si>
  <si>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</si>
  <si>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</si>
  <si>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</si>
  <si>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</si>
  <si>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</si>
  <si>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</si>
  <si>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</si>
  <si>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</si>
  <si>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</si>
  <si>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</si>
  <si>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</si>
  <si>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</si>
  <si>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</si>
  <si>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</si>
  <si>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</si>
  <si>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</si>
  <si>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</si>
  <si>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</si>
  <si>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</si>
  <si>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</si>
  <si>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</si>
  <si>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</si>
  <si>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</si>
  <si>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</si>
  <si>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</si>
  <si>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</si>
  <si>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</si>
  <si>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</si>
  <si>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</si>
  <si>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</si>
  <si>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</si>
  <si>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</si>
  <si>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</si>
  <si>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</si>
  <si>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</si>
  <si>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</si>
  <si>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</si>
  <si>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</si>
  <si>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</si>
  <si>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</si>
  <si>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</si>
  <si>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</si>
  <si>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</si>
  <si>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</si>
  <si>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</si>
  <si>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</si>
  <si>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</si>
  <si>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</si>
  <si>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</si>
  <si>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</si>
  <si>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</si>
  <si>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</si>
  <si>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</si>
  <si>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</si>
  <si>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</si>
  <si>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</si>
  <si>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</si>
  <si>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</si>
  <si>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</si>
  <si>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</si>
  <si>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</si>
  <si>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</si>
  <si>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</si>
  <si>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</si>
  <si>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</si>
  <si>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</si>
  <si>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</si>
  <si>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</si>
  <si>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</si>
  <si>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</si>
  <si>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</si>
  <si>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</si>
  <si>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</si>
  <si>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</si>
  <si>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</si>
  <si>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</si>
  <si>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</si>
  <si>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</si>
  <si>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</si>
  <si>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</si>
  <si>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</si>
  <si>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</si>
  <si>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</si>
  <si>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</si>
  <si>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</si>
  <si>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</si>
  <si>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</si>
  <si>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</si>
  <si>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</si>
  <si>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</si>
  <si>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</si>
  <si>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</si>
  <si>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</si>
  <si>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</si>
  <si>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</si>
  <si>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</si>
  <si>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</si>
  <si>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</si>
  <si>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</si>
  <si>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</si>
  <si>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</si>
  <si>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</si>
  <si>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</si>
  <si>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</si>
  <si>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</si>
  <si>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</si>
  <si>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</si>
  <si>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</si>
  <si>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</si>
  <si>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</si>
  <si>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</si>
  <si>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</si>
  <si>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</si>
  <si>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</si>
  <si>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</si>
  <si>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</si>
  <si>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</si>
  <si>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</si>
  <si>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</si>
  <si>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</si>
  <si>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</si>
  <si>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</si>
  <si>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</si>
  <si>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</si>
  <si>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</si>
  <si>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</si>
  <si>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</si>
  <si>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</si>
  <si>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</si>
  <si>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</si>
  <si>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</si>
  <si>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</si>
  <si>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</si>
  <si>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</si>
  <si>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</si>
  <si>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</si>
  <si>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</si>
  <si>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</si>
  <si>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</si>
  <si>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</si>
  <si>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</si>
  <si>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</si>
  <si>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</si>
  <si>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</si>
  <si>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</si>
  <si>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</si>
  <si>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</si>
  <si>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</si>
  <si>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</si>
  <si>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</si>
  <si>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</si>
  <si>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</si>
  <si>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</si>
  <si>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</si>
  <si>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</si>
  <si>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</si>
  <si>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</si>
  <si>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</si>
  <si>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</si>
  <si>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</si>
  <si>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</si>
  <si>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</si>
  <si>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</si>
  <si>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</si>
  <si>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</si>
  <si>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</si>
  <si>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</si>
  <si>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</si>
  <si>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</si>
  <si>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</si>
  <si>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</si>
  <si>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</si>
  <si>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</si>
  <si>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</si>
  <si>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</si>
  <si>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</si>
  <si>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</si>
  <si>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</si>
  <si>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</si>
  <si>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</si>
  <si>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</si>
  <si>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</si>
  <si>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</si>
  <si>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</si>
  <si>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</si>
  <si>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</si>
  <si>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</si>
  <si>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</si>
  <si>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</si>
  <si>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</si>
  <si>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</si>
  <si>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</si>
  <si>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</si>
  <si>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</si>
  <si>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</si>
  <si>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</si>
  <si>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</si>
  <si>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</si>
  <si>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</si>
  <si>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</si>
  <si>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</si>
  <si>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</si>
  <si>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</si>
  <si>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</si>
  <si>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</si>
  <si>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</si>
  <si>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</si>
  <si>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</si>
  <si>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</si>
  <si>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</si>
  <si>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</si>
  <si>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</si>
  <si>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</si>
  <si>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</si>
  <si>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</si>
  <si>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</si>
  <si>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</si>
  <si>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</si>
  <si>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</si>
  <si>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</si>
  <si>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</si>
  <si>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</si>
  <si>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</si>
  <si>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</si>
  <si>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</si>
  <si>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</si>
  <si>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</si>
  <si>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</si>
  <si>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</si>
  <si>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</si>
  <si>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</si>
  <si>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</si>
  <si>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</si>
  <si>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</si>
  <si>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</si>
  <si>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</si>
  <si>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</si>
  <si>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</si>
  <si>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</si>
  <si>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</si>
  <si>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</si>
  <si>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</si>
  <si>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</si>
  <si>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</si>
  <si>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</si>
  <si>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</si>
  <si>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</si>
  <si>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</si>
  <si>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</si>
  <si>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</si>
  <si>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</si>
  <si>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</si>
  <si>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</si>
  <si>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</si>
  <si>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</si>
  <si>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</si>
  <si>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</si>
  <si>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</si>
  <si>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</si>
  <si>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</si>
  <si>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</si>
  <si>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</si>
  <si>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</si>
  <si>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</si>
  <si>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</si>
  <si>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</si>
  <si>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</si>
  <si>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</si>
  <si>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</si>
  <si>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</si>
  <si>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</si>
  <si>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</si>
  <si>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</si>
  <si>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</si>
  <si>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</si>
  <si>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</si>
  <si>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</si>
  <si>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</si>
  <si>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</si>
  <si>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</si>
  <si>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</si>
  <si>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</si>
  <si>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</si>
  <si>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</si>
  <si>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</si>
  <si>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</si>
  <si>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</si>
  <si>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</si>
  <si>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</si>
  <si>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</si>
  <si>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</si>
  <si>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</si>
  <si>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</si>
  <si>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</si>
  <si>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</si>
  <si>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</si>
  <si>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</si>
  <si>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</si>
  <si>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</si>
  <si>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</si>
  <si>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</si>
  <si>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</si>
  <si>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</si>
  <si>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</si>
  <si>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</si>
  <si>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</si>
  <si>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</si>
  <si>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</si>
  <si>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</si>
  <si>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</si>
  <si>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</si>
  <si>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</si>
  <si>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</si>
  <si>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</si>
  <si>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</si>
  <si>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</si>
  <si>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</si>
  <si>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</si>
  <si>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</si>
  <si>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</si>
  <si>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</si>
  <si>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</si>
  <si>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</si>
  <si>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</si>
  <si>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</si>
  <si>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</si>
  <si>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</si>
  <si>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</si>
  <si>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</si>
  <si>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</si>
  <si>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</si>
  <si>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</si>
  <si>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</si>
  <si>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</si>
  <si>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</si>
  <si>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</si>
  <si>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</si>
  <si>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</si>
  <si>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</si>
  <si>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</si>
  <si>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</si>
  <si>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</si>
  <si>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</si>
  <si>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</si>
  <si>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</si>
  <si>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</si>
  <si>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</si>
  <si>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</si>
  <si>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</si>
  <si>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</si>
  <si>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</si>
  <si>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</si>
  <si>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</si>
  <si>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</si>
  <si>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</si>
  <si>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</si>
  <si>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</si>
  <si>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</si>
  <si>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</si>
  <si>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</si>
  <si>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</si>
  <si>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</si>
  <si>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</si>
  <si>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</si>
  <si>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</si>
  <si>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</si>
  <si>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</si>
  <si>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</si>
  <si>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</si>
  <si>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</si>
  <si>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</si>
  <si>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</si>
  <si>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</si>
  <si>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</si>
  <si>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</si>
  <si>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</si>
  <si>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</si>
  <si>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</si>
  <si>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</si>
  <si>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</si>
  <si>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</si>
  <si>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</si>
  <si>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</si>
  <si>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</si>
  <si>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</si>
  <si>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</si>
  <si>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</si>
  <si>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</si>
  <si>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</si>
  <si>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</si>
  <si>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</si>
  <si>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</si>
  <si>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</si>
  <si>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</si>
  <si>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</si>
  <si>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</si>
  <si>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</si>
  <si>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</si>
  <si>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</si>
  <si>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</si>
  <si>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</si>
  <si>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</si>
  <si>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</si>
  <si>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</si>
  <si>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</si>
  <si>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</si>
  <si>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</si>
  <si>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</si>
  <si>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</si>
  <si>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</si>
  <si>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</si>
  <si>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</si>
  <si>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</si>
  <si>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</si>
  <si>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</si>
  <si>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</si>
  <si>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</si>
  <si>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</si>
  <si>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</si>
  <si>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</si>
  <si>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</si>
  <si>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</si>
  <si>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</si>
  <si>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</si>
  <si>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</si>
  <si>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</si>
  <si>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</si>
  <si>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</si>
  <si>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</si>
  <si>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</si>
  <si>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</si>
  <si>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</si>
  <si>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</si>
  <si>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</si>
  <si>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</si>
  <si>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</si>
  <si>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</si>
  <si>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</si>
  <si>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</si>
  <si>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</si>
  <si>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</si>
  <si>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</si>
  <si>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</si>
  <si>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</si>
  <si>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</si>
  <si>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</si>
  <si>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</si>
  <si>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</si>
  <si>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</si>
  <si>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</si>
  <si>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</si>
  <si>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</si>
  <si>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</si>
  <si>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</si>
  <si>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</si>
  <si>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</si>
  <si>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</si>
  <si>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</si>
  <si>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</si>
  <si>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</si>
  <si>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</si>
  <si>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</si>
  <si>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</si>
  <si>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</si>
  <si>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</si>
  <si>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</si>
  <si>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</si>
  <si>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</si>
  <si>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</si>
  <si>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</si>
  <si>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</si>
  <si>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</si>
  <si>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</si>
  <si>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</si>
  <si>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</si>
  <si>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</si>
  <si>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</si>
  <si>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</si>
  <si>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</si>
  <si>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</si>
  <si>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</si>
  <si>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</si>
  <si>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</si>
  <si>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</si>
  <si>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</si>
  <si>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</si>
  <si>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</si>
  <si>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</si>
  <si>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</si>
  <si>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</si>
  <si>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</si>
  <si>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</si>
  <si>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</si>
  <si>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</si>
  <si>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</si>
  <si>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</si>
  <si>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</si>
  <si>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</si>
  <si>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</si>
  <si>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</si>
  <si>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</si>
  <si>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</si>
  <si>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</si>
  <si>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</si>
  <si>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</si>
  <si>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</si>
  <si>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</si>
  <si>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</si>
  <si>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</si>
  <si>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</si>
  <si>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</si>
  <si>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</si>
  <si>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</si>
  <si>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</si>
  <si>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</si>
  <si>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</si>
  <si>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</si>
  <si>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</si>
  <si>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</si>
  <si>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</si>
  <si>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</si>
  <si>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</si>
  <si>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</si>
  <si>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</si>
  <si>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</si>
  <si>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</si>
  <si>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</si>
  <si>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</si>
  <si>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</si>
  <si>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</si>
  <si>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</si>
  <si>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</si>
  <si>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</si>
  <si>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</si>
  <si>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</si>
  <si>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</si>
  <si>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</si>
  <si>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</si>
  <si>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</si>
  <si>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</si>
  <si>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</si>
  <si>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</si>
  <si>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</si>
  <si>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</si>
  <si>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</si>
  <si>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</si>
  <si>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</si>
  <si>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</si>
  <si>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</si>
  <si>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</si>
  <si>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</si>
  <si>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</si>
  <si>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</si>
  <si>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</si>
  <si>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</si>
  <si>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</si>
  <si>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</si>
  <si>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</si>
  <si>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</si>
  <si>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</si>
  <si>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</si>
  <si>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</si>
  <si>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</si>
  <si>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</si>
  <si>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</si>
  <si>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</si>
  <si>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</si>
  <si>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</si>
  <si>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</si>
  <si>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</si>
  <si>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</si>
  <si>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</si>
  <si>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</si>
  <si>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</si>
  <si>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</si>
  <si>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</si>
  <si>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</si>
  <si>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</si>
  <si>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</si>
  <si>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</si>
  <si>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</si>
  <si>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</si>
  <si>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</si>
  <si>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</si>
  <si>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</si>
  <si>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</si>
  <si>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</si>
  <si>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</si>
  <si>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</si>
  <si>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</si>
  <si>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</si>
  <si>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</si>
  <si>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</si>
  <si>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</si>
  <si>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</si>
  <si>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</si>
  <si>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</si>
  <si>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</si>
  <si>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</si>
  <si>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</si>
  <si>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</si>
  <si>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</si>
  <si>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</si>
  <si>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</si>
  <si>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</si>
  <si>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</si>
  <si>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</si>
  <si>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</si>
  <si>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</si>
  <si>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</si>
  <si>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</si>
  <si>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</si>
  <si>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</si>
  <si>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</si>
  <si>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</si>
  <si>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</si>
  <si>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</si>
  <si>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</si>
  <si>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</si>
  <si>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</si>
  <si>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</si>
  <si>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</si>
  <si>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</si>
  <si>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</si>
  <si>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</si>
  <si>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</si>
  <si>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</si>
  <si>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</si>
  <si>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</si>
  <si>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</si>
  <si>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</si>
  <si>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</si>
  <si>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</si>
  <si>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</si>
  <si>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</si>
  <si>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</si>
  <si>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</si>
  <si>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</si>
  <si>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</si>
  <si>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</si>
  <si>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</si>
  <si>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</si>
  <si>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</si>
  <si>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</si>
  <si>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</si>
  <si>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</si>
  <si>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</si>
  <si>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</si>
  <si>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</si>
  <si>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</si>
  <si>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</si>
  <si>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</si>
  <si>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</si>
  <si>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</si>
  <si>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</si>
  <si>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</si>
  <si>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</si>
  <si>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</si>
  <si>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</si>
  <si>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</si>
  <si>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</si>
  <si>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</si>
  <si>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</si>
  <si>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</si>
  <si>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</si>
  <si>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</si>
  <si>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</si>
  <si>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</si>
  <si>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</si>
  <si>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</si>
  <si>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</si>
  <si>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</si>
  <si>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</si>
  <si>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</si>
  <si>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</si>
  <si>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</si>
  <si>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</si>
  <si>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</si>
  <si>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</si>
  <si>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</si>
  <si>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</si>
  <si>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</si>
  <si>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</si>
  <si>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</si>
  <si>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</si>
  <si>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</si>
  <si>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</si>
  <si>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</si>
  <si>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</si>
  <si>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</si>
  <si>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</si>
  <si>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</si>
  <si>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</si>
  <si>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</si>
  <si>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</si>
  <si>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</si>
  <si>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</si>
  <si>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</si>
  <si>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</si>
  <si>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</si>
  <si>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</si>
  <si>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</si>
  <si>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</si>
  <si>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</si>
  <si>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</si>
  <si>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</si>
  <si>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</si>
  <si>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</si>
  <si>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</si>
  <si>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</si>
  <si>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</si>
  <si>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</si>
  <si>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</si>
  <si>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</si>
  <si>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</si>
  <si>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</si>
  <si>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</si>
  <si>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</si>
  <si>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</si>
  <si>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</si>
  <si>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</si>
  <si>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</si>
  <si>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</si>
  <si>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</si>
  <si>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</si>
  <si>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</si>
  <si>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</si>
  <si>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</si>
  <si>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</si>
  <si>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</si>
  <si>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</si>
  <si>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</si>
  <si>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</si>
  <si>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</si>
  <si>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</si>
  <si>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</si>
  <si>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</si>
  <si>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</si>
  <si>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</si>
  <si>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</si>
  <si>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</si>
  <si>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</si>
  <si>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</si>
  <si>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</si>
  <si>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</si>
  <si>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</si>
  <si>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</si>
  <si>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</si>
  <si>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</si>
  <si>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</si>
  <si>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</si>
  <si>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</si>
  <si>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</si>
  <si>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</si>
  <si>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</si>
  <si>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</si>
  <si>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</si>
  <si>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</si>
  <si>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</si>
  <si>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</si>
  <si>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</si>
  <si>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</si>
  <si>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</si>
  <si>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</si>
  <si>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</si>
  <si>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</si>
  <si>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</si>
  <si>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</si>
  <si>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</si>
  <si>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</si>
  <si>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</si>
  <si>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</si>
  <si>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</si>
  <si>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</si>
  <si>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</si>
  <si>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</si>
  <si>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</si>
  <si>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</si>
  <si>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</si>
  <si>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</si>
  <si>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</si>
  <si>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</si>
  <si>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</si>
  <si>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</si>
  <si>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</si>
  <si>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</si>
  <si>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</si>
  <si>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</si>
  <si>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</si>
  <si>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</si>
  <si>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</si>
  <si>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</si>
  <si>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</si>
  <si>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</si>
  <si>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</si>
  <si>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</si>
  <si>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</si>
  <si>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</si>
  <si>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</si>
  <si>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</si>
  <si>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</si>
  <si>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</si>
  <si>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</si>
  <si>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</si>
  <si>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</si>
  <si>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</si>
  <si>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</si>
  <si>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</si>
  <si>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</si>
  <si>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</si>
  <si>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</si>
  <si>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</si>
  <si>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</si>
  <si>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</si>
  <si>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</si>
  <si>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</si>
  <si>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</si>
  <si>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</si>
  <si>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</si>
  <si>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</si>
  <si>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</si>
  <si>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</si>
  <si>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</si>
  <si>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</si>
  <si>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</si>
  <si>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</si>
  <si>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</si>
  <si>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</si>
  <si>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</si>
  <si>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</si>
  <si>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</si>
  <si>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</si>
  <si>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</si>
  <si>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</si>
  <si>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</si>
  <si>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</si>
  <si>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</si>
  <si>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</si>
  <si>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</si>
  <si>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</si>
  <si>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</si>
  <si>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</si>
  <si>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</si>
  <si>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</si>
  <si>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</si>
  <si>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</si>
  <si>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</si>
  <si>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</si>
  <si>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</si>
  <si>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</si>
  <si>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</si>
  <si>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</si>
  <si>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</si>
  <si>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</si>
  <si>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</si>
  <si>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</si>
  <si>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</si>
  <si>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</si>
  <si>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</si>
  <si>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</si>
  <si>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</si>
  <si>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</si>
  <si>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</si>
  <si>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</si>
  <si>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</si>
  <si>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</si>
  <si>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</si>
  <si>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</si>
  <si>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</si>
  <si>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</si>
  <si>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</si>
  <si>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</si>
  <si>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</si>
  <si>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</si>
  <si>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</si>
  <si>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</si>
  <si>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</si>
  <si>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</si>
  <si>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</si>
  <si>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</si>
  <si>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</si>
  <si>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</si>
  <si>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</si>
  <si>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</si>
  <si>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</si>
  <si>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</si>
  <si>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</si>
  <si>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</si>
  <si>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</si>
  <si>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</si>
  <si>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</si>
  <si>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</si>
  <si>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</si>
  <si>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</si>
  <si>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35029</t>
  </si>
  <si>
    <t>DE_HAAN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</si>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</sst>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99349.572832269594</c:v>
                </c:pt>
                <c:pt idx="1">
                  <c:v>81133.883298372763</c:v>
                </c:pt>
                <c:pt idx="2">
                  <c:v>1662.1949999999999</c:v>
                </c:pt>
                <c:pt idx="3">
                  <c:v>4225.5441837058861</c:v>
                </c:pt>
                <c:pt idx="4">
                  <c:v>6557.0251875751082</c:v>
                </c:pt>
                <c:pt idx="5">
                  <c:v>73836.942705847105</c:v>
                </c:pt>
                <c:pt idx="6">
                  <c:v>1609.3804793773982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9392"/>
        <c:axId val="182060928"/>
      </c:barChart>
      <c:catAx>
        <c:axId val="182059392"/>
        <c:scaling>
          <c:orientation val="minMax"/>
        </c:scaling>
        <c:axPos val="b"/>
        <c:numFmt formatCode="General" sourceLinked="0"/>
        <c:tickLblPos val="nextTo"/>
        <c:crossAx val="182060928"/>
        <c:crosses val="autoZero"/>
        <c:auto val="1"/>
        <c:lblAlgn val="ctr"/>
        <c:lblOffset val="100"/>
      </c:catAx>
      <c:valAx>
        <c:axId val="182060928"/>
        <c:scaling>
          <c:orientation val="minMax"/>
        </c:scaling>
        <c:axPos val="l"/>
        <c:majorGridlines/>
        <c:numFmt formatCode="#,##0" sourceLinked="1"/>
        <c:tickLblPos val="nextTo"/>
        <c:crossAx val="18205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99349.572832269594</c:v>
                </c:pt>
                <c:pt idx="1">
                  <c:v>81133.883298372763</c:v>
                </c:pt>
                <c:pt idx="2">
                  <c:v>1662.1949999999999</c:v>
                </c:pt>
                <c:pt idx="3">
                  <c:v>4225.5441837058861</c:v>
                </c:pt>
                <c:pt idx="4">
                  <c:v>6557.0251875751082</c:v>
                </c:pt>
                <c:pt idx="5">
                  <c:v>73836.942705847105</c:v>
                </c:pt>
                <c:pt idx="6">
                  <c:v>1609.3804793773982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20323.33218587864</c:v>
                </c:pt>
                <c:pt idx="2">
                  <c:v>16742.599195479834</c:v>
                </c:pt>
                <c:pt idx="3">
                  <c:v>356.70342399456075</c:v>
                </c:pt>
                <c:pt idx="4">
                  <c:v>1081.0584417652044</c:v>
                </c:pt>
                <c:pt idx="5">
                  <c:v>1337.1693563682243</c:v>
                </c:pt>
                <c:pt idx="6">
                  <c:v>18512.109572458667</c:v>
                </c:pt>
                <c:pt idx="7">
                  <c:v>357.07984514784721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02048"/>
        <c:axId val="182498048"/>
      </c:barChart>
      <c:catAx>
        <c:axId val="182402048"/>
        <c:scaling>
          <c:orientation val="minMax"/>
        </c:scaling>
        <c:axPos val="b"/>
        <c:numFmt formatCode="General" sourceLinked="0"/>
        <c:tickLblPos val="nextTo"/>
        <c:crossAx val="182498048"/>
        <c:crosses val="autoZero"/>
        <c:auto val="1"/>
        <c:lblAlgn val="ctr"/>
        <c:lblOffset val="100"/>
      </c:catAx>
      <c:valAx>
        <c:axId val="182498048"/>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20323.33218587864</c:v>
                </c:pt>
                <c:pt idx="2">
                  <c:v>16742.599195479834</c:v>
                </c:pt>
                <c:pt idx="3">
                  <c:v>356.70342399456075</c:v>
                </c:pt>
                <c:pt idx="4">
                  <c:v>1081.0584417652044</c:v>
                </c:pt>
                <c:pt idx="5">
                  <c:v>1337.1693563682243</c:v>
                </c:pt>
                <c:pt idx="6">
                  <c:v>18512.109572458667</c:v>
                </c:pt>
                <c:pt idx="7">
                  <c:v>357.07984514784721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35029</v>
      </c>
      <c r="B6" s="416"/>
      <c r="C6" s="417"/>
    </row>
    <row r="7" spans="1:7" s="414" customFormat="1" ht="15.75" customHeight="1">
      <c r="A7" s="418" t="str">
        <f>txtMunicipality</f>
        <v>DE_HAAN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0.21459782034873212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0.21459782034873212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6198</v>
      </c>
      <c r="C9" s="342">
        <v>6588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2679</v>
      </c>
    </row>
    <row r="15" spans="1:6">
      <c r="A15" s="348" t="s">
        <v>184</v>
      </c>
      <c r="B15" s="334">
        <v>460</v>
      </c>
    </row>
    <row r="16" spans="1:6">
      <c r="A16" s="348" t="s">
        <v>6</v>
      </c>
      <c r="B16" s="334">
        <v>829</v>
      </c>
    </row>
    <row r="17" spans="1:6">
      <c r="A17" s="348" t="s">
        <v>7</v>
      </c>
      <c r="B17" s="334">
        <v>400</v>
      </c>
    </row>
    <row r="18" spans="1:6">
      <c r="A18" s="348" t="s">
        <v>8</v>
      </c>
      <c r="B18" s="334">
        <v>766</v>
      </c>
    </row>
    <row r="19" spans="1:6">
      <c r="A19" s="348" t="s">
        <v>9</v>
      </c>
      <c r="B19" s="334">
        <v>716</v>
      </c>
    </row>
    <row r="20" spans="1:6">
      <c r="A20" s="348" t="s">
        <v>10</v>
      </c>
      <c r="B20" s="334">
        <v>573</v>
      </c>
    </row>
    <row r="21" spans="1:6">
      <c r="A21" s="348" t="s">
        <v>11</v>
      </c>
      <c r="B21" s="334">
        <v>2444</v>
      </c>
    </row>
    <row r="22" spans="1:6">
      <c r="A22" s="348" t="s">
        <v>12</v>
      </c>
      <c r="B22" s="334">
        <v>4333</v>
      </c>
    </row>
    <row r="23" spans="1:6">
      <c r="A23" s="348" t="s">
        <v>13</v>
      </c>
      <c r="B23" s="334">
        <v>85</v>
      </c>
    </row>
    <row r="24" spans="1:6">
      <c r="A24" s="348" t="s">
        <v>14</v>
      </c>
      <c r="B24" s="334">
        <v>5</v>
      </c>
    </row>
    <row r="25" spans="1:6">
      <c r="A25" s="348" t="s">
        <v>15</v>
      </c>
      <c r="B25" s="334">
        <v>560</v>
      </c>
    </row>
    <row r="26" spans="1:6">
      <c r="A26" s="348" t="s">
        <v>16</v>
      </c>
      <c r="B26" s="334">
        <v>558</v>
      </c>
    </row>
    <row r="27" spans="1:6">
      <c r="A27" s="348" t="s">
        <v>17</v>
      </c>
      <c r="B27" s="334">
        <v>387</v>
      </c>
    </row>
    <row r="28" spans="1:6" s="356" customFormat="1">
      <c r="A28" s="355" t="s">
        <v>18</v>
      </c>
      <c r="B28" s="355">
        <v>18709</v>
      </c>
    </row>
    <row r="29" spans="1:6">
      <c r="A29" s="355" t="s">
        <v>901</v>
      </c>
      <c r="B29" s="355">
        <v>179</v>
      </c>
      <c r="C29" s="356"/>
      <c r="D29" s="356"/>
      <c r="E29" s="356"/>
      <c r="F29" s="356"/>
    </row>
    <row r="30" spans="1:6">
      <c r="A30" s="341" t="s">
        <v>902</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34515.1</v>
      </c>
    </row>
    <row r="39" spans="1:6">
      <c r="A39" s="348" t="s">
        <v>30</v>
      </c>
      <c r="B39" s="348" t="s">
        <v>31</v>
      </c>
      <c r="C39" s="334">
        <v>5939</v>
      </c>
      <c r="D39" s="334">
        <v>70477675.331686199</v>
      </c>
      <c r="E39" s="334">
        <v>10491</v>
      </c>
      <c r="F39" s="334">
        <v>32678377</v>
      </c>
    </row>
    <row r="40" spans="1:6">
      <c r="A40" s="348" t="s">
        <v>30</v>
      </c>
      <c r="B40" s="348" t="s">
        <v>29</v>
      </c>
      <c r="C40" s="334">
        <v>0</v>
      </c>
      <c r="D40" s="334">
        <v>0</v>
      </c>
      <c r="E40" s="334">
        <v>1</v>
      </c>
      <c r="F40" s="334">
        <v>3570</v>
      </c>
    </row>
    <row r="41" spans="1:6">
      <c r="A41" s="348" t="s">
        <v>32</v>
      </c>
      <c r="B41" s="348" t="s">
        <v>33</v>
      </c>
      <c r="C41" s="334">
        <v>83</v>
      </c>
      <c r="D41" s="334">
        <v>1268036.45668448</v>
      </c>
      <c r="E41" s="334">
        <v>159</v>
      </c>
      <c r="F41" s="334">
        <v>967765.7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56071.792508348997</v>
      </c>
      <c r="E47" s="334">
        <v>8</v>
      </c>
      <c r="F47" s="334">
        <v>29062.080000000002</v>
      </c>
    </row>
    <row r="48" spans="1:6">
      <c r="A48" s="348" t="s">
        <v>32</v>
      </c>
      <c r="B48" s="348" t="s">
        <v>29</v>
      </c>
      <c r="C48" s="334">
        <v>23</v>
      </c>
      <c r="D48" s="334">
        <v>1024857.47216218</v>
      </c>
      <c r="E48" s="334">
        <v>37</v>
      </c>
      <c r="F48" s="334">
        <v>254464.7</v>
      </c>
    </row>
    <row r="49" spans="1:6">
      <c r="A49" s="348" t="s">
        <v>32</v>
      </c>
      <c r="B49" s="348" t="s">
        <v>40</v>
      </c>
      <c r="C49" s="334">
        <v>0</v>
      </c>
      <c r="D49" s="334">
        <v>0</v>
      </c>
      <c r="E49" s="334">
        <v>0</v>
      </c>
      <c r="F49" s="334">
        <v>0</v>
      </c>
    </row>
    <row r="50" spans="1:6">
      <c r="A50" s="348" t="s">
        <v>32</v>
      </c>
      <c r="B50" s="348" t="s">
        <v>41</v>
      </c>
      <c r="C50" s="334">
        <v>8</v>
      </c>
      <c r="D50" s="334">
        <v>524156.40204905398</v>
      </c>
      <c r="E50" s="334">
        <v>15</v>
      </c>
      <c r="F50" s="334">
        <v>359189.5</v>
      </c>
    </row>
    <row r="51" spans="1:6">
      <c r="A51" s="348" t="s">
        <v>42</v>
      </c>
      <c r="B51" s="348" t="s">
        <v>43</v>
      </c>
      <c r="C51" s="334">
        <v>4</v>
      </c>
      <c r="D51" s="334">
        <v>14627.9178534517</v>
      </c>
      <c r="E51" s="334">
        <v>53</v>
      </c>
      <c r="F51" s="334">
        <v>871364.1</v>
      </c>
    </row>
    <row r="52" spans="1:6">
      <c r="A52" s="348" t="s">
        <v>42</v>
      </c>
      <c r="B52" s="348" t="s">
        <v>29</v>
      </c>
      <c r="C52" s="334">
        <v>3</v>
      </c>
      <c r="D52" s="334">
        <v>28687.182876050301</v>
      </c>
      <c r="E52" s="334">
        <v>11</v>
      </c>
      <c r="F52" s="334">
        <v>260187.5</v>
      </c>
    </row>
    <row r="53" spans="1:6">
      <c r="A53" s="348" t="s">
        <v>44</v>
      </c>
      <c r="B53" s="348" t="s">
        <v>45</v>
      </c>
      <c r="C53" s="334">
        <v>756</v>
      </c>
      <c r="D53" s="334">
        <v>9136209.1978036705</v>
      </c>
      <c r="E53" s="334">
        <v>1700</v>
      </c>
      <c r="F53" s="334">
        <v>4755477</v>
      </c>
    </row>
    <row r="54" spans="1:6">
      <c r="A54" s="348" t="s">
        <v>46</v>
      </c>
      <c r="B54" s="348" t="s">
        <v>47</v>
      </c>
      <c r="C54" s="334">
        <v>0</v>
      </c>
      <c r="D54" s="334">
        <v>0</v>
      </c>
      <c r="E54" s="334">
        <v>1</v>
      </c>
      <c r="F54" s="334">
        <v>1662195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2106526.9037761898</v>
      </c>
      <c r="E57" s="334">
        <v>130</v>
      </c>
      <c r="F57" s="334">
        <v>1941860</v>
      </c>
    </row>
    <row r="58" spans="1:6">
      <c r="A58" s="348" t="s">
        <v>49</v>
      </c>
      <c r="B58" s="348" t="s">
        <v>51</v>
      </c>
      <c r="C58" s="334">
        <v>68</v>
      </c>
      <c r="D58" s="334">
        <v>4505522.8846799899</v>
      </c>
      <c r="E58" s="334">
        <v>86</v>
      </c>
      <c r="F58" s="334">
        <v>1287439</v>
      </c>
    </row>
    <row r="59" spans="1:6">
      <c r="A59" s="348" t="s">
        <v>49</v>
      </c>
      <c r="B59" s="348" t="s">
        <v>52</v>
      </c>
      <c r="C59" s="334">
        <v>62</v>
      </c>
      <c r="D59" s="334">
        <v>833389.95146052598</v>
      </c>
      <c r="E59" s="334">
        <v>177</v>
      </c>
      <c r="F59" s="334">
        <v>2880561</v>
      </c>
    </row>
    <row r="60" spans="1:6">
      <c r="A60" s="348" t="s">
        <v>49</v>
      </c>
      <c r="B60" s="348" t="s">
        <v>53</v>
      </c>
      <c r="C60" s="334">
        <v>197</v>
      </c>
      <c r="D60" s="334">
        <v>25614105.4309639</v>
      </c>
      <c r="E60" s="334">
        <v>296</v>
      </c>
      <c r="F60" s="334">
        <v>13662868</v>
      </c>
    </row>
    <row r="61" spans="1:6">
      <c r="A61" s="348" t="s">
        <v>49</v>
      </c>
      <c r="B61" s="348" t="s">
        <v>54</v>
      </c>
      <c r="C61" s="334">
        <v>237</v>
      </c>
      <c r="D61" s="334">
        <v>9120437.7055866607</v>
      </c>
      <c r="E61" s="334">
        <v>933</v>
      </c>
      <c r="F61" s="334">
        <v>6122109</v>
      </c>
    </row>
    <row r="62" spans="1:6">
      <c r="A62" s="348" t="s">
        <v>49</v>
      </c>
      <c r="B62" s="348" t="s">
        <v>55</v>
      </c>
      <c r="C62" s="334">
        <v>3</v>
      </c>
      <c r="D62" s="334">
        <v>266224.24956425402</v>
      </c>
      <c r="E62" s="334">
        <v>5</v>
      </c>
      <c r="F62" s="334">
        <v>291098.8</v>
      </c>
    </row>
    <row r="63" spans="1:6">
      <c r="A63" s="348" t="s">
        <v>49</v>
      </c>
      <c r="B63" s="348" t="s">
        <v>29</v>
      </c>
      <c r="C63" s="334">
        <v>134</v>
      </c>
      <c r="D63" s="334">
        <v>7373534.4383193403</v>
      </c>
      <c r="E63" s="334">
        <v>143</v>
      </c>
      <c r="F63" s="334">
        <v>2564043</v>
      </c>
    </row>
    <row r="64" spans="1:6">
      <c r="A64" s="348" t="s">
        <v>56</v>
      </c>
      <c r="B64" s="348" t="s">
        <v>57</v>
      </c>
      <c r="C64" s="334">
        <v>0</v>
      </c>
      <c r="D64" s="334">
        <v>0</v>
      </c>
      <c r="E64" s="334">
        <v>0</v>
      </c>
      <c r="F64" s="334">
        <v>0</v>
      </c>
    </row>
    <row r="65" spans="1:6">
      <c r="A65" s="348" t="s">
        <v>56</v>
      </c>
      <c r="B65" s="348" t="s">
        <v>29</v>
      </c>
      <c r="C65" s="334">
        <v>3</v>
      </c>
      <c r="D65" s="334">
        <v>66772.9001752396</v>
      </c>
      <c r="E65" s="334">
        <v>9</v>
      </c>
      <c r="F65" s="334">
        <v>69521.22</v>
      </c>
    </row>
    <row r="66" spans="1:6">
      <c r="A66" s="348" t="s">
        <v>56</v>
      </c>
      <c r="B66" s="348" t="s">
        <v>58</v>
      </c>
      <c r="C66" s="334">
        <v>0</v>
      </c>
      <c r="D66" s="334">
        <v>0</v>
      </c>
      <c r="E66" s="334">
        <v>13</v>
      </c>
      <c r="F66" s="334">
        <v>583021</v>
      </c>
    </row>
    <row r="67" spans="1:6">
      <c r="A67" s="355" t="s">
        <v>56</v>
      </c>
      <c r="B67" s="355" t="s">
        <v>59</v>
      </c>
      <c r="C67" s="334">
        <v>0</v>
      </c>
      <c r="D67" s="334">
        <v>0</v>
      </c>
      <c r="E67" s="334">
        <v>0</v>
      </c>
      <c r="F67" s="334">
        <v>0</v>
      </c>
    </row>
    <row r="68" spans="1:6">
      <c r="A68" s="341" t="s">
        <v>56</v>
      </c>
      <c r="B68" s="341" t="s">
        <v>60</v>
      </c>
      <c r="C68" s="334">
        <v>0</v>
      </c>
      <c r="D68" s="334">
        <v>0</v>
      </c>
      <c r="E68" s="334">
        <v>8</v>
      </c>
      <c r="F68" s="334">
        <v>1481079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69906362</v>
      </c>
      <c r="E73" s="476">
        <v>65375260.158856399</v>
      </c>
    </row>
    <row r="74" spans="1:6">
      <c r="A74" s="348" t="s">
        <v>64</v>
      </c>
      <c r="B74" s="348" t="s">
        <v>714</v>
      </c>
      <c r="C74" s="1311" t="s">
        <v>716</v>
      </c>
      <c r="D74" s="476">
        <v>7192570.5577183664</v>
      </c>
      <c r="E74" s="476">
        <v>6925481.5746733025</v>
      </c>
    </row>
    <row r="75" spans="1:6">
      <c r="A75" s="348" t="s">
        <v>65</v>
      </c>
      <c r="B75" s="348" t="s">
        <v>713</v>
      </c>
      <c r="C75" s="1311" t="s">
        <v>717</v>
      </c>
      <c r="D75" s="476">
        <v>10175080</v>
      </c>
      <c r="E75" s="476">
        <v>10063587.912303498</v>
      </c>
    </row>
    <row r="76" spans="1:6">
      <c r="A76" s="348" t="s">
        <v>65</v>
      </c>
      <c r="B76" s="348" t="s">
        <v>714</v>
      </c>
      <c r="C76" s="1311" t="s">
        <v>718</v>
      </c>
      <c r="D76" s="476">
        <v>1218457.5577183664</v>
      </c>
      <c r="E76" s="476">
        <v>1248762.4273867668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82354.88456326742</v>
      </c>
      <c r="C83" s="476">
        <v>83057.905014897449</v>
      </c>
    </row>
    <row r="84" spans="1:6">
      <c r="A84" s="341" t="s">
        <v>337</v>
      </c>
      <c r="B84" s="1307">
        <v>369132.94405657647</v>
      </c>
      <c r="C84" s="1307">
        <v>372533.86676901963</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1811.3425753365202</v>
      </c>
    </row>
    <row r="92" spans="1:6">
      <c r="A92" s="341" t="s">
        <v>69</v>
      </c>
      <c r="B92" s="342">
        <v>324.12162681766472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2725</v>
      </c>
    </row>
    <row r="98" spans="1:6">
      <c r="A98" s="348" t="s">
        <v>72</v>
      </c>
      <c r="B98" s="334">
        <v>0</v>
      </c>
    </row>
    <row r="99" spans="1:6">
      <c r="A99" s="348" t="s">
        <v>73</v>
      </c>
      <c r="B99" s="334">
        <v>104</v>
      </c>
    </row>
    <row r="100" spans="1:6">
      <c r="A100" s="348" t="s">
        <v>74</v>
      </c>
      <c r="B100" s="334">
        <v>935</v>
      </c>
    </row>
    <row r="101" spans="1:6">
      <c r="A101" s="348" t="s">
        <v>75</v>
      </c>
      <c r="B101" s="334">
        <v>42</v>
      </c>
    </row>
    <row r="102" spans="1:6">
      <c r="A102" s="348" t="s">
        <v>76</v>
      </c>
      <c r="B102" s="334">
        <v>139</v>
      </c>
    </row>
    <row r="103" spans="1:6">
      <c r="A103" s="348" t="s">
        <v>77</v>
      </c>
      <c r="B103" s="334">
        <v>66</v>
      </c>
    </row>
    <row r="104" spans="1:6">
      <c r="A104" s="348" t="s">
        <v>78</v>
      </c>
      <c r="B104" s="334">
        <v>967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3</v>
      </c>
    </row>
    <row r="131" spans="1:6">
      <c r="A131" s="348" t="s">
        <v>296</v>
      </c>
      <c r="B131" s="334">
        <v>3</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73715.143026736449</v>
      </c>
      <c r="C3" s="43" t="s">
        <v>170</v>
      </c>
      <c r="D3" s="43"/>
      <c r="E3" s="154"/>
      <c r="F3" s="43"/>
      <c r="G3" s="43"/>
      <c r="H3" s="43"/>
      <c r="I3" s="43"/>
      <c r="J3" s="43"/>
      <c r="K3" s="96"/>
    </row>
    <row r="4" spans="1:11">
      <c r="A4" s="384" t="s">
        <v>171</v>
      </c>
      <c r="B4" s="49">
        <f>IF(ISERROR('SEAP template'!B78+'SEAP template'!C78),0,'SEAP template'!B78+'SEAP template'!C78)</f>
        <v>2135.4642021541849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0.21459782034873212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1662.1949999999999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1662.1949999999999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0.21459782034873212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356.70342399456075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32681.947</v>
      </c>
      <c r="C5" s="17">
        <f>IF(ISERROR('Eigen informatie GS &amp; warmtenet'!B57),0,'Eigen informatie GS &amp; warmtenet'!B57)</f>
        <v>0</v>
      </c>
      <c r="D5" s="30">
        <f>(SUM(HH_hh_gas_kWh,HH_rest_gas_kWh)/1000)*0.902</f>
        <v>63570.863149180957</v>
      </c>
      <c r="E5" s="17">
        <f>B46*B57</f>
        <v>351.68753400537457</v>
      </c>
      <c r="F5" s="17">
        <f>B51*B62</f>
        <v>0</v>
      </c>
      <c r="G5" s="18"/>
      <c r="H5" s="17"/>
      <c r="I5" s="17"/>
      <c r="J5" s="17">
        <f>B50*B61+C50*C61</f>
        <v>0</v>
      </c>
      <c r="K5" s="17"/>
      <c r="L5" s="17"/>
      <c r="M5" s="17"/>
      <c r="N5" s="17">
        <f>B48*B59+C48*C59</f>
        <v>538.60590708007192</v>
      </c>
      <c r="O5" s="17">
        <f>B69*B70*B71</f>
        <v>128.19333333333336</v>
      </c>
      <c r="P5" s="17">
        <f>B77*B78*B79/1000-B77*B78*B79/1000/B80</f>
        <v>266.93333333333334</v>
      </c>
    </row>
    <row r="6" spans="1:16">
      <c r="A6" s="16" t="s">
        <v>631</v>
      </c>
      <c r="B6" s="789">
        <f>kWh_PV_kleiner_dan_10kW</f>
        <v>1811.3425753365202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34493.289575336523</v>
      </c>
      <c r="C8" s="21">
        <f>C5</f>
        <v>0</v>
      </c>
      <c r="D8" s="21">
        <f>D5</f>
        <v>63570.863149180957</v>
      </c>
      <c r="E8" s="21">
        <f>E5</f>
        <v>351.68753400537457</v>
      </c>
      <c r="F8" s="21">
        <f>F5</f>
        <v>0</v>
      </c>
      <c r="G8" s="21"/>
      <c r="H8" s="21"/>
      <c r="I8" s="21"/>
      <c r="J8" s="21">
        <f>J5</f>
        <v>0</v>
      </c>
      <c r="K8" s="21"/>
      <c r="L8" s="21">
        <f>L5</f>
        <v>0</v>
      </c>
      <c r="M8" s="21">
        <f>M5</f>
        <v>0</v>
      </c>
      <c r="N8" s="21">
        <f>N5</f>
        <v>538.60590708007192</v>
      </c>
      <c r="O8" s="21">
        <f>O5</f>
        <v>128.19333333333336</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0.21459782034873212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7402.1847595248619</v>
      </c>
      <c r="C12" s="23">
        <f ca="1">C10*C8</f>
        <v>0</v>
      </c>
      <c r="D12" s="23">
        <f>D8*D10</f>
        <v>12841.314356134555</v>
      </c>
      <c r="E12" s="23">
        <f>E10*E8</f>
        <v>79.833070219220033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2725</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9.6207215541165585</v>
      </c>
      <c r="D20" s="229"/>
      <c r="E20" s="15"/>
    </row>
    <row r="21" spans="1:7">
      <c r="A21" s="171" t="s">
        <v>74</v>
      </c>
      <c r="B21" s="37">
        <f>aantalw2001_elektriciteit</f>
        <v>935</v>
      </c>
      <c r="C21" s="167">
        <f>IF(ISERROR(B21/SUM($B$20,$B$21,$B$22)*100),0,B21/SUM($B$20,$B$21,$B$22)*100)</f>
        <v>86.493987049028675</v>
      </c>
      <c r="D21" s="229"/>
      <c r="E21" s="15"/>
    </row>
    <row r="22" spans="1:7">
      <c r="A22" s="171" t="s">
        <v>75</v>
      </c>
      <c r="B22" s="37">
        <f>aantalw2001_hout</f>
        <v>42</v>
      </c>
      <c r="C22" s="167">
        <f>IF(ISERROR(B22/SUM($B$20,$B$21,$B$22)*100),0,B22/SUM($B$20,$B$21,$B$22)*100)</f>
        <v>3.8852913968547642</v>
      </c>
      <c r="D22" s="229"/>
      <c r="E22" s="15"/>
    </row>
    <row r="23" spans="1:7">
      <c r="A23" s="171" t="s">
        <v>76</v>
      </c>
      <c r="B23" s="37">
        <f>aantalw2001_niet_gespec</f>
        <v>139</v>
      </c>
      <c r="C23" s="166" t="s">
        <v>111</v>
      </c>
      <c r="D23" s="228"/>
      <c r="E23" s="15"/>
    </row>
    <row r="24" spans="1:7">
      <c r="A24" s="171" t="s">
        <v>77</v>
      </c>
      <c r="B24" s="37">
        <f>aantalw2001_steenkool</f>
        <v>66</v>
      </c>
      <c r="C24" s="166" t="s">
        <v>111</v>
      </c>
      <c r="D24" s="229"/>
      <c r="E24" s="15"/>
    </row>
    <row r="25" spans="1:7">
      <c r="A25" s="171" t="s">
        <v>78</v>
      </c>
      <c r="B25" s="37">
        <f>aantalw2001_stookolie</f>
        <v>967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6198</v>
      </c>
      <c r="C28" s="36"/>
      <c r="D28" s="228"/>
    </row>
    <row r="29" spans="1:7" s="15" customFormat="1">
      <c r="A29" s="230" t="s">
        <v>741</v>
      </c>
      <c r="B29" s="37">
        <f>SUM(HH_hh_gas_aantal,HH_rest_gas_aantal)</f>
        <v>5939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5939</v>
      </c>
      <c r="C32" s="167">
        <f>IF(ISERROR(B32/SUM($B$32,$B$34,$B$35,$B$36,$B$38,$B$39)*100),0,B32/SUM($B$32,$B$34,$B$35,$B$36,$B$38,$B$39)*100)</f>
        <v>96.03816300129364</v>
      </c>
      <c r="D32" s="233"/>
      <c r="G32" s="15"/>
    </row>
    <row r="33" spans="1:7">
      <c r="A33" s="171" t="s">
        <v>72</v>
      </c>
      <c r="B33" s="34" t="s">
        <v>111</v>
      </c>
      <c r="C33" s="167"/>
      <c r="D33" s="233"/>
      <c r="G33" s="15"/>
    </row>
    <row r="34" spans="1:7">
      <c r="A34" s="171" t="s">
        <v>73</v>
      </c>
      <c r="B34" s="33">
        <f>IF((($B$28-$B$32-$B$39-$B$77-$B$38)*C20/100)&lt;0,0,($B$28-$B$32-$B$39-$B$77-$B$38)*C20/100)</f>
        <v>23.570767807585568</v>
      </c>
      <c r="C34" s="167">
        <f>IF(ISERROR(B34/SUM($B$32,$B$34,$B$35,$B$36,$B$38,$B$39)*100),0,B34/SUM($B$32,$B$34,$B$35,$B$36,$B$38,$B$39)*100)</f>
        <v>0.38115730607350523</v>
      </c>
      <c r="D34" s="233"/>
      <c r="G34" s="15"/>
    </row>
    <row r="35" spans="1:7">
      <c r="A35" s="171" t="s">
        <v>74</v>
      </c>
      <c r="B35" s="33">
        <f>IF((($B$28-$B$32-$B$39-$B$77-$B$38)*C21/100)&lt;0,0,($B$28-$B$32-$B$39-$B$77-$B$38)*C21/100)</f>
        <v>211.91026827012024</v>
      </c>
      <c r="C35" s="167">
        <f>IF(ISERROR(B35/SUM($B$32,$B$34,$B$35,$B$36,$B$38,$B$39)*100),0,B35/SUM($B$32,$B$34,$B$35,$B$36,$B$38,$B$39)*100)</f>
        <v>3.4267507805646864</v>
      </c>
      <c r="D35" s="233"/>
      <c r="G35" s="15"/>
    </row>
    <row r="36" spans="1:7">
      <c r="A36" s="171" t="s">
        <v>75</v>
      </c>
      <c r="B36" s="33">
        <f>IF((($B$28-$B$32-$B$39-$B$77-$B$38)*C22/100)&lt;0,0,($B$28-$B$32-$B$39-$B$77-$B$38)*C22/100)</f>
        <v>9.5189639222941711</v>
      </c>
      <c r="C36" s="167">
        <f>IF(ISERROR(B36/SUM($B$32,$B$34,$B$35,$B$36,$B$38,$B$39)*100),0,B36/SUM($B$32,$B$34,$B$35,$B$36,$B$38,$B$39)*100)</f>
        <v>0.15392891206814635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5939</v>
      </c>
      <c r="C44" s="34" t="s">
        <v>111</v>
      </c>
      <c r="D44" s="174"/>
    </row>
    <row r="45" spans="1:7">
      <c r="A45" s="171" t="s">
        <v>72</v>
      </c>
      <c r="B45" s="33" t="str">
        <f t="shared" si="0"/>
        <v>-</v>
      </c>
      <c r="C45" s="34" t="s">
        <v>111</v>
      </c>
      <c r="D45" s="174"/>
    </row>
    <row r="46" spans="1:7">
      <c r="A46" s="171" t="s">
        <v>73</v>
      </c>
      <c r="B46" s="33">
        <f t="shared" si="0"/>
        <v>23.570767807585568</v>
      </c>
      <c r="C46" s="34" t="s">
        <v>111</v>
      </c>
      <c r="D46" s="174"/>
    </row>
    <row r="47" spans="1:7">
      <c r="A47" s="171" t="s">
        <v>74</v>
      </c>
      <c r="B47" s="33">
        <f t="shared" si="0"/>
        <v>211.91026827012024</v>
      </c>
      <c r="C47" s="34" t="s">
        <v>111</v>
      </c>
      <c r="D47" s="174"/>
    </row>
    <row r="48" spans="1:7">
      <c r="A48" s="171" t="s">
        <v>75</v>
      </c>
      <c r="B48" s="33">
        <f t="shared" si="0"/>
        <v>9.5189639222941711</v>
      </c>
      <c r="C48" s="33">
        <f>B48*10</f>
        <v>95.189639222941707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28749.978800000001</v>
      </c>
      <c r="C5" s="17">
        <f>IF(ISERROR('Eigen informatie GS &amp; warmtenet'!B58),0,'Eigen informatie GS &amp; warmtenet'!B58)</f>
        <v>0</v>
      </c>
      <c r="D5" s="30">
        <f>SUM(D6:D12)</f>
        <v>44937.406891044484</v>
      </c>
      <c r="E5" s="17">
        <f>SUM(E6:E12)</f>
        <v>653.26816273834368</v>
      </c>
      <c r="F5" s="17">
        <f>SUM(F6:F12)</f>
        <v>5045.9488576591311</v>
      </c>
      <c r="G5" s="18"/>
      <c r="H5" s="17"/>
      <c r="I5" s="17"/>
      <c r="J5" s="17">
        <f>SUM(J6:J12)</f>
        <v>0</v>
      </c>
      <c r="K5" s="17"/>
      <c r="L5" s="17"/>
      <c r="M5" s="17"/>
      <c r="N5" s="17">
        <f>SUM(N6:N12)</f>
        <v>1685.3905869308037</v>
      </c>
      <c r="O5" s="17">
        <f>B38*B39*B40</f>
        <v>4.6900000000000004</v>
      </c>
      <c r="P5" s="17">
        <f>B46*B47*B48/1000-B46*B47*B48/1000/B49</f>
        <v>57.2</v>
      </c>
      <c r="R5" s="32"/>
    </row>
    <row r="6" spans="1:18">
      <c r="A6" s="32" t="s">
        <v>54</v>
      </c>
      <c r="B6" s="37">
        <f>B26</f>
        <v>6122.1090000000004</v>
      </c>
      <c r="C6" s="33"/>
      <c r="D6" s="37">
        <f>IF(ISERROR(TER_kantoor_gas_kWh/1000),0,TER_kantoor_gas_kWh/1000)*0.902</f>
        <v>8226.6348104391691</v>
      </c>
      <c r="E6" s="33">
        <f>$C$26*'E Balans VL '!I12/100/3.6*1000000</f>
        <v>17.736648013754191</v>
      </c>
      <c r="F6" s="33">
        <f>$C$26*('E Balans VL '!L12+'E Balans VL '!N12)/100/3.6*1000000</f>
        <v>692.88785828112714</v>
      </c>
      <c r="G6" s="34"/>
      <c r="H6" s="33"/>
      <c r="I6" s="33"/>
      <c r="J6" s="33">
        <f>$C$26*('E Balans VL '!D12+'E Balans VL '!E12)/100/3.6*1000000</f>
        <v>0</v>
      </c>
      <c r="K6" s="33"/>
      <c r="L6" s="33"/>
      <c r="M6" s="33"/>
      <c r="N6" s="33">
        <f>$C$26*'E Balans VL '!Y12/100/3.6*1000000</f>
        <v>61.277800118679501</v>
      </c>
      <c r="O6" s="33"/>
      <c r="P6" s="33"/>
      <c r="R6" s="32"/>
    </row>
    <row r="7" spans="1:18">
      <c r="A7" s="32" t="s">
        <v>53</v>
      </c>
      <c r="B7" s="37">
        <f t="shared" ref="B7:B12" si="0">B27</f>
        <v>13662.868</v>
      </c>
      <c r="C7" s="33"/>
      <c r="D7" s="37">
        <f>IF(ISERROR(TER_horeca_gas_kWh/1000),0,TER_horeca_gas_kWh/1000)*0.902</f>
        <v>23103.92309872944</v>
      </c>
      <c r="E7" s="33">
        <f>$C$27*'E Balans VL '!I9/100/3.6*1000000</f>
        <v>573.52902534125872</v>
      </c>
      <c r="F7" s="33">
        <f>$C$27*('E Balans VL '!L9+'E Balans VL '!N9)/100/3.6*1000000</f>
        <v>2935.7473732968474</v>
      </c>
      <c r="G7" s="34"/>
      <c r="H7" s="33"/>
      <c r="I7" s="33"/>
      <c r="J7" s="33">
        <f>$C$27*('E Balans VL '!D9+'E Balans VL '!E9)/100/3.6*1000000</f>
        <v>0</v>
      </c>
      <c r="K7" s="33"/>
      <c r="L7" s="33"/>
      <c r="M7" s="33"/>
      <c r="N7" s="33">
        <f>$C$27*'E Balans VL '!Y9/100/3.6*1000000</f>
        <v>3.5208015974847044</v>
      </c>
      <c r="O7" s="33"/>
      <c r="P7" s="33"/>
      <c r="R7" s="32"/>
    </row>
    <row r="8" spans="1:18">
      <c r="A8" s="6" t="s">
        <v>52</v>
      </c>
      <c r="B8" s="37">
        <f t="shared" si="0"/>
        <v>2880.5610000000001</v>
      </c>
      <c r="C8" s="33"/>
      <c r="D8" s="37">
        <f>IF(ISERROR(TER_handel_gas_kWh/1000),0,TER_handel_gas_kWh/1000)*0.902</f>
        <v>751.71773621739442</v>
      </c>
      <c r="E8" s="33">
        <f>$C$28*'E Balans VL '!I13/100/3.6*1000000</f>
        <v>30.939622562769745</v>
      </c>
      <c r="F8" s="33">
        <f>$C$28*('E Balans VL '!L13+'E Balans VL '!N13)/100/3.6*1000000</f>
        <v>372.91240863237022</v>
      </c>
      <c r="G8" s="34"/>
      <c r="H8" s="33"/>
      <c r="I8" s="33"/>
      <c r="J8" s="33">
        <f>$C$28*('E Balans VL '!D13+'E Balans VL '!E13)/100/3.6*1000000</f>
        <v>0</v>
      </c>
      <c r="K8" s="33"/>
      <c r="L8" s="33"/>
      <c r="M8" s="33"/>
      <c r="N8" s="33">
        <f>$C$28*'E Balans VL '!Y13/100/3.6*1000000</f>
        <v>23.367268117469298</v>
      </c>
      <c r="O8" s="33"/>
      <c r="P8" s="33"/>
      <c r="R8" s="32"/>
    </row>
    <row r="9" spans="1:18">
      <c r="A9" s="32" t="s">
        <v>51</v>
      </c>
      <c r="B9" s="37">
        <f t="shared" si="0"/>
        <v>1287.4390000000001</v>
      </c>
      <c r="C9" s="33"/>
      <c r="D9" s="37">
        <f>IF(ISERROR(TER_gezond_gas_kWh/1000),0,TER_gezond_gas_kWh/1000)*0.902</f>
        <v>4063.981641981351</v>
      </c>
      <c r="E9" s="33">
        <f>$C$29*'E Balans VL '!I10/100/3.6*1000000</f>
        <v>1.0248847133236689</v>
      </c>
      <c r="F9" s="33">
        <f>$C$29*('E Balans VL '!L10+'E Balans VL '!N10)/100/3.6*1000000</f>
        <v>156.50681561932515</v>
      </c>
      <c r="G9" s="34"/>
      <c r="H9" s="33"/>
      <c r="I9" s="33"/>
      <c r="J9" s="33">
        <f>$C$29*('E Balans VL '!D10+'E Balans VL '!E10)/100/3.6*1000000</f>
        <v>0</v>
      </c>
      <c r="K9" s="33"/>
      <c r="L9" s="33"/>
      <c r="M9" s="33"/>
      <c r="N9" s="33">
        <f>$C$29*'E Balans VL '!Y10/100/3.6*1000000</f>
        <v>10.399591157447468</v>
      </c>
      <c r="O9" s="33"/>
      <c r="P9" s="33"/>
      <c r="R9" s="32"/>
    </row>
    <row r="10" spans="1:18">
      <c r="A10" s="32" t="s">
        <v>50</v>
      </c>
      <c r="B10" s="37">
        <f t="shared" si="0"/>
        <v>1941.86</v>
      </c>
      <c r="C10" s="33"/>
      <c r="D10" s="37">
        <f>IF(ISERROR(TER_ander_gas_kWh/1000),0,TER_ander_gas_kWh/1000)*0.902</f>
        <v>1900.087267206123</v>
      </c>
      <c r="E10" s="33">
        <f>$C$30*'E Balans VL '!I14/100/3.6*1000000</f>
        <v>6.6548562322478624</v>
      </c>
      <c r="F10" s="33">
        <f>$C$30*('E Balans VL '!L14+'E Balans VL '!N14)/100/3.6*1000000</f>
        <v>433.73261610467398</v>
      </c>
      <c r="G10" s="34"/>
      <c r="H10" s="33"/>
      <c r="I10" s="33"/>
      <c r="J10" s="33">
        <f>$C$30*('E Balans VL '!D14+'E Balans VL '!E14)/100/3.6*1000000</f>
        <v>0</v>
      </c>
      <c r="K10" s="33"/>
      <c r="L10" s="33"/>
      <c r="M10" s="33"/>
      <c r="N10" s="33">
        <f>$C$30*'E Balans VL '!Y14/100/3.6*1000000</f>
        <v>1367.856792173819</v>
      </c>
      <c r="O10" s="33"/>
      <c r="P10" s="33"/>
      <c r="R10" s="32"/>
    </row>
    <row r="11" spans="1:18">
      <c r="A11" s="32" t="s">
        <v>55</v>
      </c>
      <c r="B11" s="37">
        <f t="shared" si="0"/>
        <v>291.09879999999998</v>
      </c>
      <c r="C11" s="33"/>
      <c r="D11" s="37">
        <f>IF(ISERROR(TER_onderwijs_gas_kWh/1000),0,TER_onderwijs_gas_kWh/1000)*0.902</f>
        <v>240.13427310695712</v>
      </c>
      <c r="E11" s="33">
        <f>$C$31*'E Balans VL '!I11/100/3.6*1000000</f>
        <v>0.20122763530252746</v>
      </c>
      <c r="F11" s="33">
        <f>$C$31*('E Balans VL '!L11+'E Balans VL '!N11)/100/3.6*1000000</f>
        <v>76.201209993602959</v>
      </c>
      <c r="G11" s="34"/>
      <c r="H11" s="33"/>
      <c r="I11" s="33"/>
      <c r="J11" s="33">
        <f>$C$31*('E Balans VL '!D11+'E Balans VL '!E11)/100/3.6*1000000</f>
        <v>0</v>
      </c>
      <c r="K11" s="33"/>
      <c r="L11" s="33"/>
      <c r="M11" s="33"/>
      <c r="N11" s="33">
        <f>$C$31*'E Balans VL '!Y11/100/3.6*1000000</f>
        <v>0.289764061538342</v>
      </c>
      <c r="O11" s="33"/>
      <c r="P11" s="33"/>
      <c r="R11" s="32"/>
    </row>
    <row r="12" spans="1:18">
      <c r="A12" s="32" t="s">
        <v>260</v>
      </c>
      <c r="B12" s="37">
        <f t="shared" si="0"/>
        <v>2564.0430000000001</v>
      </c>
      <c r="C12" s="33"/>
      <c r="D12" s="37">
        <f>IF(ISERROR(TER_rest_gas_kWh/1000),0,TER_rest_gas_kWh/1000)*0.902</f>
        <v>6650.9280633640456</v>
      </c>
      <c r="E12" s="33">
        <f>$C$32*'E Balans VL '!I8/100/3.6*1000000</f>
        <v>23.181898239686888</v>
      </c>
      <c r="F12" s="33">
        <f>$C$32*('E Balans VL '!L8+'E Balans VL '!N8)/100/3.6*1000000</f>
        <v>377.96057573118486</v>
      </c>
      <c r="G12" s="34"/>
      <c r="H12" s="33"/>
      <c r="I12" s="33"/>
      <c r="J12" s="33">
        <f>$C$32*('E Balans VL '!D8+'E Balans VL '!E8)/100/3.6*1000000</f>
        <v>0</v>
      </c>
      <c r="K12" s="33"/>
      <c r="L12" s="33"/>
      <c r="M12" s="33"/>
      <c r="N12" s="33">
        <f>$C$32*'E Balans VL '!Y8/100/3.6*1000000</f>
        <v>218.67856970436546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28749.978800000001</v>
      </c>
      <c r="C16" s="21">
        <f t="shared" ca="1" si="1"/>
        <v>0</v>
      </c>
      <c r="D16" s="21">
        <f t="shared" ca="1" si="1"/>
        <v>44937.406891044484</v>
      </c>
      <c r="E16" s="21">
        <f t="shared" si="1"/>
        <v>653.26816273834368</v>
      </c>
      <c r="F16" s="21">
        <f t="shared" ca="1" si="1"/>
        <v>5045.9488576591311</v>
      </c>
      <c r="G16" s="21">
        <f t="shared" si="1"/>
        <v>0</v>
      </c>
      <c r="H16" s="21">
        <f t="shared" si="1"/>
        <v>0</v>
      </c>
      <c r="I16" s="21">
        <f t="shared" si="1"/>
        <v>0</v>
      </c>
      <c r="J16" s="21">
        <f t="shared" si="1"/>
        <v>0</v>
      </c>
      <c r="K16" s="21">
        <f t="shared" si="1"/>
        <v>0</v>
      </c>
      <c r="L16" s="21">
        <f t="shared" ca="1" si="1"/>
        <v>0</v>
      </c>
      <c r="M16" s="21">
        <f t="shared" si="1"/>
        <v>0</v>
      </c>
      <c r="N16" s="21">
        <f t="shared" ca="1" si="1"/>
        <v>1685.3905869308037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0.21459782034873212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6169.682785552257</v>
      </c>
      <c r="C20" s="23">
        <f t="shared" ref="C20:P20" ca="1" si="2">C16*C18</f>
        <v>0</v>
      </c>
      <c r="D20" s="23">
        <f t="shared" ca="1" si="2"/>
        <v>9077.3561919909862</v>
      </c>
      <c r="E20" s="23">
        <f t="shared" si="2"/>
        <v>148.29187294160403</v>
      </c>
      <c r="F20" s="23">
        <f t="shared" ca="1" si="2"/>
        <v>1347.2683449949882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6122.1090000000004</v>
      </c>
      <c r="C26" s="39">
        <f>IF(ISERROR(B26*3.6/1000000/'E Balans VL '!Z12*100),0,B26*3.6/1000000/'E Balans VL '!Z12*100)</f>
        <v>0.13447920205176209</v>
      </c>
      <c r="D26" s="237" t="s">
        <v>692</v>
      </c>
      <c r="F26" s="6"/>
    </row>
    <row r="27" spans="1:18">
      <c r="A27" s="231" t="s">
        <v>53</v>
      </c>
      <c r="B27" s="33">
        <f>IF(ISERROR(TER_horeca_ele_kWh/1000),0,TER_horeca_ele_kWh/1000)</f>
        <v>13662.868</v>
      </c>
      <c r="C27" s="39">
        <f>IF(ISERROR(B27*3.6/1000000/'E Balans VL '!Z9*100),0,B27*3.6/1000000/'E Balans VL '!Z9*100)</f>
        <v>1.0979476368768113</v>
      </c>
      <c r="D27" s="237" t="s">
        <v>692</v>
      </c>
      <c r="F27" s="6"/>
    </row>
    <row r="28" spans="1:18">
      <c r="A28" s="171" t="s">
        <v>52</v>
      </c>
      <c r="B28" s="33">
        <f>IF(ISERROR(TER_handel_ele_kWh/1000),0,TER_handel_ele_kWh/1000)</f>
        <v>2880.5610000000001</v>
      </c>
      <c r="C28" s="39">
        <f>IF(ISERROR(B28*3.6/1000000/'E Balans VL '!Z13*100),0,B28*3.6/1000000/'E Balans VL '!Z13*100)</f>
        <v>8.5176176367831868E-2</v>
      </c>
      <c r="D28" s="237" t="s">
        <v>692</v>
      </c>
      <c r="F28" s="6"/>
    </row>
    <row r="29" spans="1:18">
      <c r="A29" s="231" t="s">
        <v>51</v>
      </c>
      <c r="B29" s="33">
        <f>IF(ISERROR(TER_gezond_ele_kWh/1000),0,TER_gezond_ele_kWh/1000)</f>
        <v>1287.4390000000001</v>
      </c>
      <c r="C29" s="39">
        <f>IF(ISERROR(B29*3.6/1000000/'E Balans VL '!Z10*100),0,B29*3.6/1000000/'E Balans VL '!Z10*100)</f>
        <v>0.14506113655502278</v>
      </c>
      <c r="D29" s="237" t="s">
        <v>692</v>
      </c>
      <c r="F29" s="6"/>
    </row>
    <row r="30" spans="1:18">
      <c r="A30" s="231" t="s">
        <v>50</v>
      </c>
      <c r="B30" s="33">
        <f>IF(ISERROR(TER_ander_ele_kWh/1000),0,TER_ander_ele_kWh/1000)</f>
        <v>1941.86</v>
      </c>
      <c r="C30" s="39">
        <f>IF(ISERROR(B30*3.6/1000000/'E Balans VL '!Z14*100),0,B30*3.6/1000000/'E Balans VL '!Z14*100)</f>
        <v>0.14685955234027021</v>
      </c>
      <c r="D30" s="237" t="s">
        <v>692</v>
      </c>
      <c r="F30" s="6"/>
    </row>
    <row r="31" spans="1:18">
      <c r="A31" s="231" t="s">
        <v>55</v>
      </c>
      <c r="B31" s="33">
        <f>IF(ISERROR(TER_onderwijs_ele_kWh/1000),0,TER_onderwijs_ele_kWh/1000)</f>
        <v>291.09879999999998</v>
      </c>
      <c r="C31" s="39">
        <f>IF(ISERROR(B31*3.6/1000000/'E Balans VL '!Z11*100),0,B31*3.6/1000000/'E Balans VL '!Z11*100)</f>
        <v>6.0425353311463287E-2</v>
      </c>
      <c r="D31" s="237" t="s">
        <v>692</v>
      </c>
    </row>
    <row r="32" spans="1:18">
      <c r="A32" s="231" t="s">
        <v>260</v>
      </c>
      <c r="B32" s="33">
        <f>IF(ISERROR(TER_rest_ele_kWh/1000),0,TER_rest_ele_kWh/1000)</f>
        <v>2564.0430000000001</v>
      </c>
      <c r="C32" s="39">
        <f>IF(ISERROR(B32*3.6/1000000/'E Balans VL '!Z8*100),0,B32*3.6/1000000/'E Balans VL '!Z8*100)</f>
        <v>2.1600553899583697E-2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1610.4819799999998</v>
      </c>
      <c r="C5" s="17">
        <f>IF(ISERROR('Eigen informatie GS &amp; warmtenet'!B59),0,'Eigen informatie GS &amp; warmtenet'!B59)</f>
        <v>0</v>
      </c>
      <c r="D5" s="30">
        <f>SUM(D6:D15)</f>
        <v>2591.5561553104649</v>
      </c>
      <c r="E5" s="17">
        <f>SUM(E6:E15)</f>
        <v>282.76321390212775</v>
      </c>
      <c r="F5" s="17">
        <f>SUM(F6:F15)</f>
        <v>1499.8529364245019</v>
      </c>
      <c r="G5" s="18"/>
      <c r="H5" s="17"/>
      <c r="I5" s="17"/>
      <c r="J5" s="17">
        <f>SUM(J6:J15)</f>
        <v>9.6641434900419156</v>
      </c>
      <c r="K5" s="17"/>
      <c r="L5" s="17"/>
      <c r="M5" s="17"/>
      <c r="N5" s="17">
        <f>SUM(N6:N15)</f>
        <v>562.70675844797188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967.76569999999992</v>
      </c>
      <c r="C9" s="33"/>
      <c r="D9" s="37">
        <f>IF( ISERROR(IND_andere_gas_kWh/1000),0,IND_andere_gas_kWh/1000)*0.902</f>
        <v>1143.7688839294008</v>
      </c>
      <c r="E9" s="33">
        <f>C31*'E Balans VL '!I19/100/3.6*1000000</f>
        <v>266.09587453601233</v>
      </c>
      <c r="F9" s="33">
        <f>C31*'E Balans VL '!L19/100/3.6*1000000+C31*'E Balans VL '!N19/100/3.6*1000000</f>
        <v>762.76777492281485</v>
      </c>
      <c r="G9" s="34"/>
      <c r="H9" s="33"/>
      <c r="I9" s="33"/>
      <c r="J9" s="40">
        <f>C31*'E Balans VL '!D19/100/3.6*1000000+C31*'E Balans VL '!E19/100/3.6*1000000</f>
        <v>0</v>
      </c>
      <c r="K9" s="33"/>
      <c r="L9" s="33"/>
      <c r="M9" s="33"/>
      <c r="N9" s="33">
        <f>C31*'E Balans VL '!Y19/100/3.6*1000000</f>
        <v>313.291301829845</v>
      </c>
      <c r="O9" s="33"/>
      <c r="P9" s="33"/>
      <c r="R9" s="32"/>
    </row>
    <row r="10" spans="1:18">
      <c r="A10" s="6" t="s">
        <v>41</v>
      </c>
      <c r="B10" s="37">
        <f t="shared" si="0"/>
        <v>359.18950000000001</v>
      </c>
      <c r="C10" s="33"/>
      <c r="D10" s="37">
        <f>IF( ISERROR(IND_voed_gas_kWh/1000),0,IND_voed_gas_kWh/1000)*0.902</f>
        <v>472.78907464824675</v>
      </c>
      <c r="E10" s="33">
        <f>C32*'E Balans VL '!I20/100/3.6*1000000</f>
        <v>3.6617390738753492</v>
      </c>
      <c r="F10" s="33">
        <f>C32*'E Balans VL '!L20/100/3.6*1000000+C32*'E Balans VL '!N20/100/3.6*1000000</f>
        <v>678.50671898653559</v>
      </c>
      <c r="G10" s="34"/>
      <c r="H10" s="33"/>
      <c r="I10" s="33"/>
      <c r="J10" s="40">
        <f>C32*'E Balans VL '!D20/100/3.6*1000000+C32*'E Balans VL '!E20/100/3.6*1000000</f>
        <v>8.5965800083649277</v>
      </c>
      <c r="K10" s="33"/>
      <c r="L10" s="33"/>
      <c r="M10" s="33"/>
      <c r="N10" s="33">
        <f>C32*'E Balans VL '!Y20/100/3.6*1000000</f>
        <v>189.3342400570269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29.062080000000002</v>
      </c>
      <c r="C13" s="33"/>
      <c r="D13" s="37">
        <f>IF( ISERROR(IND_papier_gas_kWh/1000),0,IND_papier_gas_kWh/1000)*0.902</f>
        <v>50.576756842530799</v>
      </c>
      <c r="E13" s="33">
        <f>C35*'E Balans VL '!I23/100/3.6*1000000</f>
        <v>6.0189529323164452E-2</v>
      </c>
      <c r="F13" s="33">
        <f>C35*'E Balans VL '!L23/100/3.6*1000000+C35*'E Balans VL '!N23/100/3.6*1000000</f>
        <v>0.57636335054753773</v>
      </c>
      <c r="G13" s="34"/>
      <c r="H13" s="33"/>
      <c r="I13" s="33"/>
      <c r="J13" s="40">
        <f>C35*'E Balans VL '!D23/100/3.6*1000000+C35*'E Balans VL '!E23/100/3.6*1000000</f>
        <v>0</v>
      </c>
      <c r="K13" s="33"/>
      <c r="L13" s="33"/>
      <c r="M13" s="33"/>
      <c r="N13" s="33">
        <f>C35*'E Balans VL '!Y23/100/3.6*1000000</f>
        <v>12.271401342321255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254.46470000000002</v>
      </c>
      <c r="C15" s="33"/>
      <c r="D15" s="37">
        <f>IF( ISERROR(IND_rest_gas_kWh/1000),0,IND_rest_gas_kWh/1000)*0.902</f>
        <v>924.42143989028648</v>
      </c>
      <c r="E15" s="33">
        <f>C37*'E Balans VL '!I15/100/3.6*1000000</f>
        <v>12.945410762916906</v>
      </c>
      <c r="F15" s="33">
        <f>C37*'E Balans VL '!L15/100/3.6*1000000+C37*'E Balans VL '!N15/100/3.6*1000000</f>
        <v>58.002079164603941</v>
      </c>
      <c r="G15" s="34"/>
      <c r="H15" s="33"/>
      <c r="I15" s="33"/>
      <c r="J15" s="40">
        <f>C37*'E Balans VL '!D15/100/3.6*1000000+C37*'E Balans VL '!E15/100/3.6*1000000</f>
        <v>1.067563481676987</v>
      </c>
      <c r="K15" s="33"/>
      <c r="L15" s="33"/>
      <c r="M15" s="33"/>
      <c r="N15" s="33">
        <f>C37*'E Balans VL '!Y15/100/3.6*1000000</f>
        <v>47.809815218778674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1610.4819799999998</v>
      </c>
      <c r="C18" s="21">
        <f>C5+C16</f>
        <v>0</v>
      </c>
      <c r="D18" s="21">
        <f>MAX((D5+D16),0)</f>
        <v>2591.5561553104649</v>
      </c>
      <c r="E18" s="21">
        <f>MAX((E5+E16),0)</f>
        <v>282.76321390212775</v>
      </c>
      <c r="F18" s="21">
        <f>MAX((F5+F16),0)</f>
        <v>1499.8529364245019</v>
      </c>
      <c r="G18" s="21"/>
      <c r="H18" s="21"/>
      <c r="I18" s="21"/>
      <c r="J18" s="21">
        <f>MAX((J5+J16),0)</f>
        <v>9.6641434900419156</v>
      </c>
      <c r="K18" s="21"/>
      <c r="L18" s="21">
        <f>MAX((L5+L16),0)</f>
        <v>0</v>
      </c>
      <c r="M18" s="21"/>
      <c r="N18" s="21">
        <f>MAX((N5+N16),0)</f>
        <v>562.70675844797188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0.21459782034873212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345.60592261891037</v>
      </c>
      <c r="C22" s="23">
        <f ca="1">C18*C20</f>
        <v>0</v>
      </c>
      <c r="D22" s="23">
        <f>D18*D20</f>
        <v>523.49434337271396</v>
      </c>
      <c r="E22" s="23">
        <f>E18*E20</f>
        <v>64.187249555782998</v>
      </c>
      <c r="F22" s="23">
        <f>F18*F20</f>
        <v>400.46073402534205</v>
      </c>
      <c r="G22" s="23"/>
      <c r="H22" s="23"/>
      <c r="I22" s="23"/>
      <c r="J22" s="23">
        <f>J18*J20</f>
        <v>3.421106795474838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967.76569999999992</v>
      </c>
      <c r="C31" s="39">
        <f>IF(ISERROR(B31*3.6/1000000/'E Balans VL '!Z19*100),0,B31*3.6/1000000/'E Balans VL '!Z19*100)</f>
        <v>4.2358947695098653E-2</v>
      </c>
      <c r="D31" s="237" t="s">
        <v>692</v>
      </c>
    </row>
    <row r="32" spans="1:18">
      <c r="A32" s="171" t="s">
        <v>41</v>
      </c>
      <c r="B32" s="37">
        <f>IF( ISERROR(IND_voed_ele_kWh/1000),0,IND_voed_ele_kWh/1000)</f>
        <v>359.18950000000001</v>
      </c>
      <c r="C32" s="39">
        <f>IF(ISERROR(B32*3.6/1000000/'E Balans VL '!Z20*100),0,B32*3.6/1000000/'E Balans VL '!Z20*100)</f>
        <v>8.8923392105064017E-2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29.062080000000002</v>
      </c>
      <c r="C35" s="39">
        <f>IF(ISERROR(B35*3.6/1000000/'E Balans VL '!Z22*100),0,B35*3.6/1000000/'E Balans VL '!Z22*100)</f>
        <v>8.2466326348591419E-4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254.46470000000002</v>
      </c>
      <c r="C37" s="39">
        <f>IF(ISERROR(B37*3.6/1000000/'E Balans VL '!Z15*100),0,B37*3.6/1000000/'E Balans VL '!Z15*100)</f>
        <v>1.8868121842997934E-3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1131.5516</v>
      </c>
      <c r="C5" s="17">
        <f>'Eigen informatie GS &amp; warmtenet'!B60</f>
        <v>0</v>
      </c>
      <c r="D5" s="30">
        <f>IF(ISERROR(SUM(LB_lb_gas_kWh,LB_rest_gas_kWh)/1000),0,SUM(LB_lb_gas_kWh,LB_rest_gas_kWh)/1000)*0.902</f>
        <v>39.070220858010806</v>
      </c>
      <c r="E5" s="17">
        <f>B17*'E Balans VL '!I25/3.6*1000000/100</f>
        <v>10.480904856575316</v>
      </c>
      <c r="F5" s="17">
        <f>B17*('E Balans VL '!L25/3.6*1000000+'E Balans VL '!N25/3.6*1000000)/100</f>
        <v>2870.961969558588</v>
      </c>
      <c r="G5" s="18"/>
      <c r="H5" s="17"/>
      <c r="I5" s="17"/>
      <c r="J5" s="17">
        <f>('E Balans VL '!D25+'E Balans VL '!E25)/3.6*1000000*landbouw!B17/100</f>
        <v>173.47948843271249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1131.5516</v>
      </c>
      <c r="C8" s="21">
        <f>C5+C6</f>
        <v>0</v>
      </c>
      <c r="D8" s="21">
        <f>MAX((D5+D6),0)</f>
        <v>39.070220858010806</v>
      </c>
      <c r="E8" s="21">
        <f>MAX((E5+E6),0)</f>
        <v>10.480904856575316</v>
      </c>
      <c r="F8" s="21">
        <f>MAX((F5+F6),0)</f>
        <v>2870.961969558588</v>
      </c>
      <c r="G8" s="21"/>
      <c r="H8" s="21"/>
      <c r="I8" s="21"/>
      <c r="J8" s="21">
        <f>MAX((J5+J6),0)</f>
        <v>173.47948843271249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0.21459782034873212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242.82850697212038</v>
      </c>
      <c r="C12" s="23">
        <f ca="1">C8*C10</f>
        <v>0</v>
      </c>
      <c r="D12" s="23">
        <f>D8*D10</f>
        <v>7.8921846133181832</v>
      </c>
      <c r="E12" s="23">
        <f>E8*E10</f>
        <v>2.379165402442597</v>
      </c>
      <c r="F12" s="23">
        <f>F8*F10</f>
        <v>766.54684587214308</v>
      </c>
      <c r="G12" s="23"/>
      <c r="H12" s="23"/>
      <c r="I12" s="23"/>
      <c r="J12" s="23">
        <f>J8*J10</f>
        <v>61.411738905180215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0.16088264447890518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264.99936953911327</v>
      </c>
      <c r="C26" s="247">
        <f>B26*'GWP N2O_CH4'!B5</f>
        <v>5564.9867603213788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76.522151594774783</v>
      </c>
      <c r="C27" s="247">
        <f>B27*'GWP N2O_CH4'!B5</f>
        <v>1606.9651834902704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3.7112052012068304</v>
      </c>
      <c r="C28" s="247">
        <f>B28*'GWP N2O_CH4'!B4</f>
        <v>1150.4736123741175</v>
      </c>
      <c r="D28" s="50"/>
    </row>
    <row r="29" spans="1:4">
      <c r="A29" s="41" t="s">
        <v>277</v>
      </c>
      <c r="B29" s="247">
        <f>B34*'ha_N2O bodem landbouw'!B4</f>
        <v>17.734409768391941</v>
      </c>
      <c r="C29" s="247">
        <f>B29*'GWP N2O_CH4'!B4</f>
        <v>5497.667028201502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3.9775156784492586E-3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3.9511596961788746E-5</v>
      </c>
      <c r="C5" s="464" t="s">
        <v>211</v>
      </c>
      <c r="D5" s="449">
        <f>SUM(D6:D11)</f>
        <v>1.0032131540984602E-4</v>
      </c>
      <c r="E5" s="449">
        <f>SUM(E6:E11)</f>
        <v>6.42920031370048E-4</v>
      </c>
      <c r="F5" s="462" t="s">
        <v>211</v>
      </c>
      <c r="G5" s="449">
        <f>SUM(G6:G11)</f>
        <v>0.21348959953310406</v>
      </c>
      <c r="H5" s="449">
        <f>SUM(H6:H11)</f>
        <v>3.8020821405992458E-2</v>
      </c>
      <c r="I5" s="464" t="s">
        <v>211</v>
      </c>
      <c r="J5" s="464" t="s">
        <v>211</v>
      </c>
      <c r="K5" s="464" t="s">
        <v>211</v>
      </c>
      <c r="L5" s="464" t="s">
        <v>211</v>
      </c>
      <c r="M5" s="449">
        <f>SUM(M6:M11)</f>
        <v>1.3519819858211391E-2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3.4491287012650251E-5</v>
      </c>
      <c r="C6" s="450"/>
      <c r="D6" s="893">
        <f>vkm_2011_GW_PW*SUMIFS(TableVerdeelsleutelVkm[CNG],TableVerdeelsleutelVkm[Voertuigtype],"Lichte voertuigen")*SUMIFS(TableECFTransport[EnergieConsumptieFactor (PJ per km)],TableECFTransport[Index],CONCATENATE($A6,"_CNG_CNG"))</f>
        <v>7.978214419365676E-5</v>
      </c>
      <c r="E6" s="893">
        <f>vkm_2011_GW_PW*SUMIFS(TableVerdeelsleutelVkm[LPG],TableVerdeelsleutelVkm[Voertuigtype],"Lichte voertuigen")*SUMIFS(TableECFTransport[EnergieConsumptieFactor (PJ per km)],TableECFTransport[Index],CONCATENATE($A6,"_LPG_LPG"))</f>
        <v>5.1949314390174371E-4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0.10792085729509139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3.0420659420336355E-2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7.1792075645424717E-3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6.7098372070876003E-2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2.2946424685039326E-5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3.8820211551329965E-3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5.0203099491384954E-6</v>
      </c>
      <c r="C8" s="450"/>
      <c r="D8" s="452">
        <f>vkm_2011_NGW_PW*SUMIFS(TableVerdeelsleutelVkm[CNG],TableVerdeelsleutelVkm[Voertuigtype],"Lichte voertuigen")*SUMIFS(TableECFTransport[EnergieConsumptieFactor (PJ per km)],TableECFTransport[Index],CONCATENATE($A8,"_CNG_CNG"))</f>
        <v>2.0539171216189258E-5</v>
      </c>
      <c r="E8" s="452">
        <f>vkm_2011_NGW_PW*SUMIFS(TableVerdeelsleutelVkm[LPG],TableVerdeelsleutelVkm[Voertuigtype],"Lichte voertuigen")*SUMIFS(TableECFTransport[EnergieConsumptieFactor (PJ per km)],TableECFTransport[Index],CONCATENATE($A8,"_LPG_LPG"))</f>
        <v>1.234268874683043E-4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2.3969320224283004E-2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7.5725231901277159E-3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1.6196314148777622E-3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1.4501049942853672E-2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4.6923708433484884E-6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8.3895972365816216E-4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10.975443600496874</v>
      </c>
      <c r="C14" s="21"/>
      <c r="D14" s="21">
        <f t="shared" ref="D14:M14" si="0">((D5)*10^9/3600)+D12</f>
        <v>27.867032058290562</v>
      </c>
      <c r="E14" s="21">
        <f t="shared" si="0"/>
        <v>178.58889760279109</v>
      </c>
      <c r="F14" s="21"/>
      <c r="G14" s="21">
        <f t="shared" si="0"/>
        <v>59302.666536973353</v>
      </c>
      <c r="H14" s="21">
        <f t="shared" si="0"/>
        <v>10561.339279442349</v>
      </c>
      <c r="I14" s="21"/>
      <c r="J14" s="21"/>
      <c r="K14" s="21"/>
      <c r="L14" s="21"/>
      <c r="M14" s="21">
        <f t="shared" si="0"/>
        <v>3755.5055161698306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0.21459782034873212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2.3553062740270696</v>
      </c>
      <c r="C18" s="23"/>
      <c r="D18" s="23">
        <f t="shared" ref="D18:M18" si="1">D14*D16</f>
        <v>5.6291404757746939</v>
      </c>
      <c r="E18" s="23">
        <f t="shared" si="1"/>
        <v>40.539679755833582</v>
      </c>
      <c r="F18" s="23"/>
      <c r="G18" s="23">
        <f t="shared" si="1"/>
        <v>15833.811965371886</v>
      </c>
      <c r="H18" s="23">
        <f t="shared" si="1"/>
        <v>2629.7734805811447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4.6842970600779552E-3</v>
      </c>
      <c r="C50" s="321">
        <f t="shared" ref="C50:P50" si="2">SUM(C51:C52)</f>
        <v>0</v>
      </c>
      <c r="D50" s="321">
        <f t="shared" si="2"/>
        <v>0</v>
      </c>
      <c r="E50" s="321">
        <f t="shared" si="2"/>
        <v>0</v>
      </c>
      <c r="F50" s="321">
        <f t="shared" si="2"/>
        <v>0</v>
      </c>
      <c r="G50" s="321">
        <f t="shared" si="2"/>
        <v>1.0496161182529844E-3</v>
      </c>
      <c r="H50" s="321">
        <f t="shared" si="2"/>
        <v>0</v>
      </c>
      <c r="I50" s="321">
        <f t="shared" si="2"/>
        <v>0</v>
      </c>
      <c r="J50" s="321">
        <f t="shared" si="2"/>
        <v>0</v>
      </c>
      <c r="K50" s="321">
        <f t="shared" si="2"/>
        <v>0</v>
      </c>
      <c r="L50" s="321">
        <f t="shared" si="2"/>
        <v>0</v>
      </c>
      <c r="M50" s="321">
        <f t="shared" si="2"/>
        <v>5.9856547427693573E-5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1.0496161182529844E-3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5.9856547427693573E-5</v>
      </c>
      <c r="N51" s="323"/>
      <c r="O51" s="323"/>
      <c r="P51" s="326"/>
    </row>
    <row r="52" spans="1:18">
      <c r="A52" s="4" t="s">
        <v>330</v>
      </c>
      <c r="B52" s="894">
        <f>vkm_2011_tram*SUMIFS(TableECFTransport[EnergieConsumptieFactor (PJ per km)],TableECFTransport[Index],"Tram_gemiddeld_Electric_Electric")</f>
        <v>4.6842970600779552E-3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1301.1936277994319</v>
      </c>
      <c r="C54" s="21">
        <f t="shared" ref="C54:P54" si="3">(C50)*10^9/3600</f>
        <v>0</v>
      </c>
      <c r="D54" s="21">
        <f t="shared" si="3"/>
        <v>0</v>
      </c>
      <c r="E54" s="21">
        <f t="shared" si="3"/>
        <v>0</v>
      </c>
      <c r="F54" s="21">
        <f t="shared" si="3"/>
        <v>0</v>
      </c>
      <c r="G54" s="21">
        <f t="shared" si="3"/>
        <v>291.56003284805126</v>
      </c>
      <c r="H54" s="21">
        <f t="shared" si="3"/>
        <v>0</v>
      </c>
      <c r="I54" s="21">
        <f t="shared" si="3"/>
        <v>0</v>
      </c>
      <c r="J54" s="21">
        <f t="shared" si="3"/>
        <v>0</v>
      </c>
      <c r="K54" s="21">
        <f t="shared" si="3"/>
        <v>0</v>
      </c>
      <c r="L54" s="21">
        <f t="shared" si="3"/>
        <v>0</v>
      </c>
      <c r="M54" s="21">
        <f t="shared" si="3"/>
        <v>16.626818729914881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0.21459782034873212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279.23331637741751</v>
      </c>
      <c r="C58" s="23">
        <f t="shared" ref="C58:P58" ca="1" si="4">C54*C56</f>
        <v>0</v>
      </c>
      <c r="D58" s="23">
        <f t="shared" si="4"/>
        <v>0</v>
      </c>
      <c r="E58" s="23">
        <f t="shared" si="4"/>
        <v>0</v>
      </c>
      <c r="F58" s="23">
        <f t="shared" si="4"/>
        <v>0</v>
      </c>
      <c r="G58" s="23">
        <f t="shared" si="4"/>
        <v>77.846528770429686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30412.1738</v>
      </c>
      <c r="D10" s="1025">
        <f ca="1">tertiair!C16</f>
        <v>0</v>
      </c>
      <c r="E10" s="1025">
        <f ca="1">tertiair!D16</f>
        <v>44937.406891044484</v>
      </c>
      <c r="F10" s="1025">
        <f>tertiair!E16</f>
        <v>653.26816273834368</v>
      </c>
      <c r="G10" s="1025">
        <f ca="1">tertiair!F16</f>
        <v>5045.9488576591311</v>
      </c>
      <c r="H10" s="1025">
        <f>tertiair!G16</f>
        <v>0</v>
      </c>
      <c r="I10" s="1025">
        <f>tertiair!H16</f>
        <v>0</v>
      </c>
      <c r="J10" s="1025">
        <f>tertiair!I16</f>
        <v>0</v>
      </c>
      <c r="K10" s="1025">
        <f>tertiair!J16</f>
        <v>0</v>
      </c>
      <c r="L10" s="1025">
        <f>tertiair!K16</f>
        <v>0</v>
      </c>
      <c r="M10" s="1025">
        <f ca="1">tertiair!L16</f>
        <v>0</v>
      </c>
      <c r="N10" s="1025">
        <f>tertiair!M16</f>
        <v>0</v>
      </c>
      <c r="O10" s="1025">
        <f ca="1">tertiair!N16</f>
        <v>1685.3905869308037</v>
      </c>
      <c r="P10" s="1025">
        <f>tertiair!O16</f>
        <v>4.6900000000000004</v>
      </c>
      <c r="Q10" s="1026">
        <f>tertiair!P16</f>
        <v>57.2</v>
      </c>
      <c r="R10" s="701">
        <f ca="1">SUM(C10:Q10)</f>
        <v>82796.078298372755</v>
      </c>
      <c r="S10" s="67"/>
    </row>
    <row r="11" spans="1:19" s="474" customFormat="1">
      <c r="A11" s="810" t="s">
        <v>225</v>
      </c>
      <c r="B11" s="815"/>
      <c r="C11" s="1025">
        <f>huishoudens!B8</f>
        <v>34493.289575336523</v>
      </c>
      <c r="D11" s="1025">
        <f>huishoudens!C8</f>
        <v>0</v>
      </c>
      <c r="E11" s="1025">
        <f>huishoudens!D8</f>
        <v>63570.863149180957</v>
      </c>
      <c r="F11" s="1025">
        <f>huishoudens!E8</f>
        <v>351.68753400537457</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538.60590708007192</v>
      </c>
      <c r="P11" s="1025">
        <f>huishoudens!O8</f>
        <v>128.19333333333336</v>
      </c>
      <c r="Q11" s="1026">
        <f>huishoudens!P8</f>
        <v>266.93333333333334</v>
      </c>
      <c r="R11" s="701">
        <f>SUM(C11:Q11)</f>
        <v>99349.572832269594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1610.4819799999998</v>
      </c>
      <c r="D13" s="1025">
        <f>industrie!C18</f>
        <v>0</v>
      </c>
      <c r="E13" s="1025">
        <f>industrie!D18</f>
        <v>2591.5561553104649</v>
      </c>
      <c r="F13" s="1025">
        <f>industrie!E18</f>
        <v>282.76321390212775</v>
      </c>
      <c r="G13" s="1025">
        <f>industrie!F18</f>
        <v>1499.8529364245019</v>
      </c>
      <c r="H13" s="1025">
        <f>industrie!G18</f>
        <v>0</v>
      </c>
      <c r="I13" s="1025">
        <f>industrie!H18</f>
        <v>0</v>
      </c>
      <c r="J13" s="1025">
        <f>industrie!I18</f>
        <v>0</v>
      </c>
      <c r="K13" s="1025">
        <f>industrie!J18</f>
        <v>9.6641434900419156</v>
      </c>
      <c r="L13" s="1025">
        <f>industrie!K18</f>
        <v>0</v>
      </c>
      <c r="M13" s="1025">
        <f>industrie!L18</f>
        <v>0</v>
      </c>
      <c r="N13" s="1025">
        <f>industrie!M18</f>
        <v>0</v>
      </c>
      <c r="O13" s="1025">
        <f>industrie!N18</f>
        <v>562.70675844797188</v>
      </c>
      <c r="P13" s="1025">
        <f>industrie!O18</f>
        <v>0</v>
      </c>
      <c r="Q13" s="1026">
        <f>industrie!P18</f>
        <v>0</v>
      </c>
      <c r="R13" s="701">
        <f>SUM(C13:Q13)</f>
        <v>6557.0251875751082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66515.945355336517</v>
      </c>
      <c r="D16" s="733">
        <f t="shared" ref="D16:R16" ca="1" si="0">SUM(D9:D15)</f>
        <v>0</v>
      </c>
      <c r="E16" s="733">
        <f t="shared" ca="1" si="0"/>
        <v>111099.8261955359</v>
      </c>
      <c r="F16" s="733">
        <f t="shared" si="0"/>
        <v>1287.7189106458459</v>
      </c>
      <c r="G16" s="733">
        <f t="shared" ca="1" si="0"/>
        <v>6545.8017940836326</v>
      </c>
      <c r="H16" s="733">
        <f t="shared" si="0"/>
        <v>0</v>
      </c>
      <c r="I16" s="733">
        <f t="shared" si="0"/>
        <v>0</v>
      </c>
      <c r="J16" s="733">
        <f t="shared" si="0"/>
        <v>0</v>
      </c>
      <c r="K16" s="733">
        <f t="shared" si="0"/>
        <v>9.6641434900419156</v>
      </c>
      <c r="L16" s="733">
        <f t="shared" si="0"/>
        <v>0</v>
      </c>
      <c r="M16" s="733">
        <f t="shared" ca="1" si="0"/>
        <v>0</v>
      </c>
      <c r="N16" s="733">
        <f t="shared" si="0"/>
        <v>0</v>
      </c>
      <c r="O16" s="733">
        <f t="shared" ca="1" si="0"/>
        <v>2786.7032524588476</v>
      </c>
      <c r="P16" s="733">
        <f t="shared" si="0"/>
        <v>132.88333333333335</v>
      </c>
      <c r="Q16" s="733">
        <f t="shared" si="0"/>
        <v>324.13333333333333</v>
      </c>
      <c r="R16" s="733">
        <f t="shared" ca="1" si="0"/>
        <v>188702.67631821745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1301.1936277994319</v>
      </c>
      <c r="D19" s="1025">
        <f>transport!C54</f>
        <v>0</v>
      </c>
      <c r="E19" s="1025">
        <f>transport!D54</f>
        <v>0</v>
      </c>
      <c r="F19" s="1025">
        <f>transport!E54</f>
        <v>0</v>
      </c>
      <c r="G19" s="1025">
        <f>transport!F54</f>
        <v>0</v>
      </c>
      <c r="H19" s="1025">
        <f>transport!G54</f>
        <v>291.56003284805126</v>
      </c>
      <c r="I19" s="1025">
        <f>transport!H54</f>
        <v>0</v>
      </c>
      <c r="J19" s="1025">
        <f>transport!I54</f>
        <v>0</v>
      </c>
      <c r="K19" s="1025">
        <f>transport!J54</f>
        <v>0</v>
      </c>
      <c r="L19" s="1025">
        <f>transport!K54</f>
        <v>0</v>
      </c>
      <c r="M19" s="1025">
        <f>transport!L54</f>
        <v>0</v>
      </c>
      <c r="N19" s="1025">
        <f>transport!M54</f>
        <v>16.626818729914881</v>
      </c>
      <c r="O19" s="1025">
        <f>transport!N54</f>
        <v>0</v>
      </c>
      <c r="P19" s="1025">
        <f>transport!O54</f>
        <v>0</v>
      </c>
      <c r="Q19" s="1026">
        <f>transport!P54</f>
        <v>0</v>
      </c>
      <c r="R19" s="701">
        <f>SUM(C19:Q19)</f>
        <v>1609.3804793773982</v>
      </c>
      <c r="S19" s="67"/>
    </row>
    <row r="20" spans="1:19" s="474" customFormat="1">
      <c r="A20" s="810" t="s">
        <v>307</v>
      </c>
      <c r="B20" s="815"/>
      <c r="C20" s="1025">
        <f>transport!B14</f>
        <v>10.975443600496874</v>
      </c>
      <c r="D20" s="1025">
        <f>transport!C14</f>
        <v>0</v>
      </c>
      <c r="E20" s="1025">
        <f>transport!D14</f>
        <v>27.867032058290562</v>
      </c>
      <c r="F20" s="1025">
        <f>transport!E14</f>
        <v>178.58889760279109</v>
      </c>
      <c r="G20" s="1025">
        <f>transport!F14</f>
        <v>0</v>
      </c>
      <c r="H20" s="1025">
        <f>transport!G14</f>
        <v>59302.666536973353</v>
      </c>
      <c r="I20" s="1025">
        <f>transport!H14</f>
        <v>10561.339279442349</v>
      </c>
      <c r="J20" s="1025">
        <f>transport!I14</f>
        <v>0</v>
      </c>
      <c r="K20" s="1025">
        <f>transport!J14</f>
        <v>0</v>
      </c>
      <c r="L20" s="1025">
        <f>transport!K14</f>
        <v>0</v>
      </c>
      <c r="M20" s="1025">
        <f>transport!L14</f>
        <v>0</v>
      </c>
      <c r="N20" s="1025">
        <f>transport!M14</f>
        <v>3755.5055161698306</v>
      </c>
      <c r="O20" s="1025">
        <f>transport!N14</f>
        <v>0</v>
      </c>
      <c r="P20" s="1025">
        <f>transport!O14</f>
        <v>0</v>
      </c>
      <c r="Q20" s="1026">
        <f>transport!P14</f>
        <v>0</v>
      </c>
      <c r="R20" s="701">
        <f>SUM(C20:Q20)</f>
        <v>73836.942705847105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1312.1690713999287</v>
      </c>
      <c r="D22" s="813">
        <f t="shared" ref="D22:R22" si="1">SUM(D18:D21)</f>
        <v>0</v>
      </c>
      <c r="E22" s="813">
        <f t="shared" si="1"/>
        <v>27.867032058290562</v>
      </c>
      <c r="F22" s="813">
        <f t="shared" si="1"/>
        <v>178.58889760279109</v>
      </c>
      <c r="G22" s="813">
        <f t="shared" si="1"/>
        <v>0</v>
      </c>
      <c r="H22" s="813">
        <f t="shared" si="1"/>
        <v>59594.226569821403</v>
      </c>
      <c r="I22" s="813">
        <f t="shared" si="1"/>
        <v>10561.339279442349</v>
      </c>
      <c r="J22" s="813">
        <f t="shared" si="1"/>
        <v>0</v>
      </c>
      <c r="K22" s="813">
        <f t="shared" si="1"/>
        <v>0</v>
      </c>
      <c r="L22" s="813">
        <f t="shared" si="1"/>
        <v>0</v>
      </c>
      <c r="M22" s="813">
        <f t="shared" si="1"/>
        <v>0</v>
      </c>
      <c r="N22" s="813">
        <f t="shared" si="1"/>
        <v>3772.1323348997453</v>
      </c>
      <c r="O22" s="813">
        <f t="shared" si="1"/>
        <v>0</v>
      </c>
      <c r="P22" s="813">
        <f t="shared" si="1"/>
        <v>0</v>
      </c>
      <c r="Q22" s="813">
        <f t="shared" si="1"/>
        <v>0</v>
      </c>
      <c r="R22" s="813">
        <f t="shared" si="1"/>
        <v>75446.323185224508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1131.5516</v>
      </c>
      <c r="D24" s="1025">
        <f>+landbouw!C8</f>
        <v>0</v>
      </c>
      <c r="E24" s="1025">
        <f>+landbouw!D8</f>
        <v>39.070220858010806</v>
      </c>
      <c r="F24" s="1025">
        <f>+landbouw!E8</f>
        <v>10.480904856575316</v>
      </c>
      <c r="G24" s="1025">
        <f>+landbouw!F8</f>
        <v>2870.961969558588</v>
      </c>
      <c r="H24" s="1025">
        <f>+landbouw!G8</f>
        <v>0</v>
      </c>
      <c r="I24" s="1025">
        <f>+landbouw!H8</f>
        <v>0</v>
      </c>
      <c r="J24" s="1025">
        <f>+landbouw!I8</f>
        <v>0</v>
      </c>
      <c r="K24" s="1025">
        <f>+landbouw!J8</f>
        <v>173.47948843271249</v>
      </c>
      <c r="L24" s="1025">
        <f>+landbouw!K8</f>
        <v>0</v>
      </c>
      <c r="M24" s="1025">
        <f>+landbouw!L8</f>
        <v>0</v>
      </c>
      <c r="N24" s="1025">
        <f>+landbouw!M8</f>
        <v>0</v>
      </c>
      <c r="O24" s="1025">
        <f>+landbouw!N8</f>
        <v>0</v>
      </c>
      <c r="P24" s="1025">
        <f>+landbouw!O8</f>
        <v>0</v>
      </c>
      <c r="Q24" s="1026">
        <f>+landbouw!P8</f>
        <v>0</v>
      </c>
      <c r="R24" s="701">
        <f>SUM(C24:Q24)</f>
        <v>4225.5441837058861</v>
      </c>
      <c r="S24" s="67"/>
    </row>
    <row r="25" spans="1:19" s="474" customFormat="1" ht="15" thickBot="1">
      <c r="A25" s="832" t="s">
        <v>864</v>
      </c>
      <c r="B25" s="1028"/>
      <c r="C25" s="1029">
        <f>IF(Onbekend_ele_kWh="---",0,Onbekend_ele_kWh)/1000+IF(REST_rest_ele_kWh="---",0,REST_rest_ele_kWh)/1000</f>
        <v>4755.4769999999999</v>
      </c>
      <c r="D25" s="1029"/>
      <c r="E25" s="1029">
        <f>IF(onbekend_gas_kWh="---",0,onbekend_gas_kWh)/1000+IF(REST_rest_gas_kWh="---",0,REST_rest_gas_kWh)/1000</f>
        <v>9136.2091978036697</v>
      </c>
      <c r="F25" s="1029"/>
      <c r="G25" s="1029"/>
      <c r="H25" s="1029"/>
      <c r="I25" s="1029"/>
      <c r="J25" s="1029"/>
      <c r="K25" s="1029"/>
      <c r="L25" s="1029"/>
      <c r="M25" s="1029"/>
      <c r="N25" s="1029"/>
      <c r="O25" s="1029"/>
      <c r="P25" s="1029"/>
      <c r="Q25" s="1030"/>
      <c r="R25" s="701">
        <f>SUM(C25:Q25)</f>
        <v>13891.686197803669</v>
      </c>
      <c r="S25" s="67"/>
    </row>
    <row r="26" spans="1:19" s="474" customFormat="1" ht="15.75" thickBot="1">
      <c r="A26" s="706" t="s">
        <v>865</v>
      </c>
      <c r="B26" s="818"/>
      <c r="C26" s="813">
        <f>SUM(C24:C25)</f>
        <v>5887.0285999999996</v>
      </c>
      <c r="D26" s="813">
        <f t="shared" ref="D26:R26" si="2">SUM(D24:D25)</f>
        <v>0</v>
      </c>
      <c r="E26" s="813">
        <f t="shared" si="2"/>
        <v>9175.2794186616811</v>
      </c>
      <c r="F26" s="813">
        <f t="shared" si="2"/>
        <v>10.480904856575316</v>
      </c>
      <c r="G26" s="813">
        <f t="shared" si="2"/>
        <v>2870.961969558588</v>
      </c>
      <c r="H26" s="813">
        <f t="shared" si="2"/>
        <v>0</v>
      </c>
      <c r="I26" s="813">
        <f t="shared" si="2"/>
        <v>0</v>
      </c>
      <c r="J26" s="813">
        <f t="shared" si="2"/>
        <v>0</v>
      </c>
      <c r="K26" s="813">
        <f t="shared" si="2"/>
        <v>173.47948843271249</v>
      </c>
      <c r="L26" s="813">
        <f t="shared" si="2"/>
        <v>0</v>
      </c>
      <c r="M26" s="813">
        <f t="shared" si="2"/>
        <v>0</v>
      </c>
      <c r="N26" s="813">
        <f t="shared" si="2"/>
        <v>0</v>
      </c>
      <c r="O26" s="813">
        <f t="shared" si="2"/>
        <v>0</v>
      </c>
      <c r="P26" s="813">
        <f t="shared" si="2"/>
        <v>0</v>
      </c>
      <c r="Q26" s="813">
        <f t="shared" si="2"/>
        <v>0</v>
      </c>
      <c r="R26" s="813">
        <f t="shared" si="2"/>
        <v>18117.230381509555</v>
      </c>
      <c r="S26" s="67"/>
    </row>
    <row r="27" spans="1:19" s="474" customFormat="1" ht="17.25" thickTop="1" thickBot="1">
      <c r="A27" s="707" t="s">
        <v>116</v>
      </c>
      <c r="B27" s="806"/>
      <c r="C27" s="708">
        <f ca="1">C22+C16+C26</f>
        <v>73715.143026736449</v>
      </c>
      <c r="D27" s="708">
        <f t="shared" ref="D27:R27" ca="1" si="3">D22+D16+D26</f>
        <v>0</v>
      </c>
      <c r="E27" s="708">
        <f t="shared" ca="1" si="3"/>
        <v>120302.97264625588</v>
      </c>
      <c r="F27" s="708">
        <f t="shared" si="3"/>
        <v>1476.7887131052123</v>
      </c>
      <c r="G27" s="708">
        <f t="shared" ca="1" si="3"/>
        <v>9416.7637636422205</v>
      </c>
      <c r="H27" s="708">
        <f t="shared" si="3"/>
        <v>59594.226569821403</v>
      </c>
      <c r="I27" s="708">
        <f t="shared" si="3"/>
        <v>10561.339279442349</v>
      </c>
      <c r="J27" s="708">
        <f t="shared" si="3"/>
        <v>0</v>
      </c>
      <c r="K27" s="708">
        <f t="shared" si="3"/>
        <v>183.14363192275439</v>
      </c>
      <c r="L27" s="708">
        <f t="shared" si="3"/>
        <v>0</v>
      </c>
      <c r="M27" s="708">
        <f t="shared" ca="1" si="3"/>
        <v>0</v>
      </c>
      <c r="N27" s="708">
        <f t="shared" si="3"/>
        <v>3772.1323348997453</v>
      </c>
      <c r="O27" s="708">
        <f t="shared" ca="1" si="3"/>
        <v>2786.7032524588476</v>
      </c>
      <c r="P27" s="708">
        <f t="shared" si="3"/>
        <v>132.88333333333335</v>
      </c>
      <c r="Q27" s="708">
        <f t="shared" si="3"/>
        <v>324.13333333333333</v>
      </c>
      <c r="R27" s="708">
        <f t="shared" ca="1" si="3"/>
        <v>282266.22988495155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6526.3862095468176</v>
      </c>
      <c r="D40" s="1025">
        <f ca="1">tertiair!C20</f>
        <v>0</v>
      </c>
      <c r="E40" s="1025">
        <f ca="1">tertiair!D20</f>
        <v>9077.3561919909862</v>
      </c>
      <c r="F40" s="1025">
        <f>tertiair!E20</f>
        <v>148.29187294160403</v>
      </c>
      <c r="G40" s="1025">
        <f ca="1">tertiair!F20</f>
        <v>1347.2683449949882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17099.302619474394</v>
      </c>
    </row>
    <row r="41" spans="1:18">
      <c r="A41" s="823" t="s">
        <v>225</v>
      </c>
      <c r="B41" s="830"/>
      <c r="C41" s="1025">
        <f ca="1">huishoudens!B12</f>
        <v>7402.1847595248619</v>
      </c>
      <c r="D41" s="1025">
        <f ca="1">huishoudens!C12</f>
        <v>0</v>
      </c>
      <c r="E41" s="1025">
        <f>huishoudens!D12</f>
        <v>12841.314356134555</v>
      </c>
      <c r="F41" s="1025">
        <f>huishoudens!E12</f>
        <v>79.833070219220033</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20323.33218587864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345.60592261891037</v>
      </c>
      <c r="D43" s="1025">
        <f ca="1">industrie!C22</f>
        <v>0</v>
      </c>
      <c r="E43" s="1025">
        <f>industrie!D22</f>
        <v>523.49434337271396</v>
      </c>
      <c r="F43" s="1025">
        <f>industrie!E22</f>
        <v>64.187249555782998</v>
      </c>
      <c r="G43" s="1025">
        <f>industrie!F22</f>
        <v>400.46073402534205</v>
      </c>
      <c r="H43" s="1025">
        <f>industrie!G22</f>
        <v>0</v>
      </c>
      <c r="I43" s="1025">
        <f>industrie!H22</f>
        <v>0</v>
      </c>
      <c r="J43" s="1025">
        <f>industrie!I22</f>
        <v>0</v>
      </c>
      <c r="K43" s="1025">
        <f>industrie!J22</f>
        <v>3.421106795474838</v>
      </c>
      <c r="L43" s="1025">
        <f>industrie!K22</f>
        <v>0</v>
      </c>
      <c r="M43" s="1025">
        <f>industrie!L22</f>
        <v>0</v>
      </c>
      <c r="N43" s="1025">
        <f>industrie!M22</f>
        <v>0</v>
      </c>
      <c r="O43" s="1025">
        <f>industrie!N22</f>
        <v>0</v>
      </c>
      <c r="P43" s="1025">
        <f>industrie!O22</f>
        <v>0</v>
      </c>
      <c r="Q43" s="775">
        <f>industrie!P22</f>
        <v>0</v>
      </c>
      <c r="R43" s="850">
        <f t="shared" ca="1" si="4"/>
        <v>1337.1693563682243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14274.176891690589</v>
      </c>
      <c r="D46" s="733">
        <f t="shared" ref="D46:Q46" ca="1" si="5">SUM(D39:D45)</f>
        <v>0</v>
      </c>
      <c r="E46" s="733">
        <f t="shared" ca="1" si="5"/>
        <v>22442.164891498254</v>
      </c>
      <c r="F46" s="733">
        <f t="shared" si="5"/>
        <v>292.31219271660706</v>
      </c>
      <c r="G46" s="733">
        <f t="shared" ca="1" si="5"/>
        <v>1747.7290790203301</v>
      </c>
      <c r="H46" s="733">
        <f t="shared" si="5"/>
        <v>0</v>
      </c>
      <c r="I46" s="733">
        <f t="shared" si="5"/>
        <v>0</v>
      </c>
      <c r="J46" s="733">
        <f t="shared" si="5"/>
        <v>0</v>
      </c>
      <c r="K46" s="733">
        <f t="shared" si="5"/>
        <v>3.421106795474838</v>
      </c>
      <c r="L46" s="733">
        <f t="shared" si="5"/>
        <v>0</v>
      </c>
      <c r="M46" s="733">
        <f t="shared" ca="1" si="5"/>
        <v>0</v>
      </c>
      <c r="N46" s="733">
        <f t="shared" si="5"/>
        <v>0</v>
      </c>
      <c r="O46" s="733">
        <f t="shared" ca="1" si="5"/>
        <v>0</v>
      </c>
      <c r="P46" s="733">
        <f t="shared" si="5"/>
        <v>0</v>
      </c>
      <c r="Q46" s="733">
        <f t="shared" si="5"/>
        <v>0</v>
      </c>
      <c r="R46" s="733">
        <f ca="1">SUM(R39:R45)</f>
        <v>38759.804161721266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279.23331637741751</v>
      </c>
      <c r="D49" s="1025">
        <f ca="1">transport!C58</f>
        <v>0</v>
      </c>
      <c r="E49" s="1025">
        <f>transport!D58</f>
        <v>0</v>
      </c>
      <c r="F49" s="1025">
        <f>transport!E58</f>
        <v>0</v>
      </c>
      <c r="G49" s="1025">
        <f>transport!F58</f>
        <v>0</v>
      </c>
      <c r="H49" s="1025">
        <f>transport!G58</f>
        <v>77.846528770429686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357.07984514784721</v>
      </c>
    </row>
    <row r="50" spans="1:18">
      <c r="A50" s="826" t="s">
        <v>307</v>
      </c>
      <c r="B50" s="836"/>
      <c r="C50" s="704">
        <f ca="1">transport!B18</f>
        <v>2.3553062740270696</v>
      </c>
      <c r="D50" s="704">
        <f>transport!C18</f>
        <v>0</v>
      </c>
      <c r="E50" s="704">
        <f>transport!D18</f>
        <v>5.6291404757746939</v>
      </c>
      <c r="F50" s="704">
        <f>transport!E18</f>
        <v>40.539679755833582</v>
      </c>
      <c r="G50" s="704">
        <f>transport!F18</f>
        <v>0</v>
      </c>
      <c r="H50" s="704">
        <f>transport!G18</f>
        <v>15833.811965371886</v>
      </c>
      <c r="I50" s="704">
        <f>transport!H18</f>
        <v>2629.7734805811447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18512.109572458667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281.58862265144455</v>
      </c>
      <c r="D52" s="733">
        <f t="shared" ref="D52:Q52" ca="1" si="6">SUM(D48:D51)</f>
        <v>0</v>
      </c>
      <c r="E52" s="733">
        <f t="shared" si="6"/>
        <v>5.6291404757746939</v>
      </c>
      <c r="F52" s="733">
        <f t="shared" si="6"/>
        <v>40.539679755833582</v>
      </c>
      <c r="G52" s="733">
        <f t="shared" si="6"/>
        <v>0</v>
      </c>
      <c r="H52" s="733">
        <f t="shared" si="6"/>
        <v>15911.658494142315</v>
      </c>
      <c r="I52" s="733">
        <f t="shared" si="6"/>
        <v>2629.7734805811447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18869.189417606514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242.82850697212038</v>
      </c>
      <c r="D54" s="704">
        <f ca="1">+landbouw!C12</f>
        <v>0</v>
      </c>
      <c r="E54" s="704">
        <f>+landbouw!D12</f>
        <v>7.8921846133181832</v>
      </c>
      <c r="F54" s="704">
        <f>+landbouw!E12</f>
        <v>2.379165402442597</v>
      </c>
      <c r="G54" s="704">
        <f>+landbouw!F12</f>
        <v>766.54684587214308</v>
      </c>
      <c r="H54" s="704">
        <f>+landbouw!G12</f>
        <v>0</v>
      </c>
      <c r="I54" s="704">
        <f>+landbouw!H12</f>
        <v>0</v>
      </c>
      <c r="J54" s="704">
        <f>+landbouw!I12</f>
        <v>0</v>
      </c>
      <c r="K54" s="704">
        <f>+landbouw!J12</f>
        <v>61.411738905180215</v>
      </c>
      <c r="L54" s="704">
        <f>+landbouw!K12</f>
        <v>0</v>
      </c>
      <c r="M54" s="704">
        <f>+landbouw!L12</f>
        <v>0</v>
      </c>
      <c r="N54" s="704">
        <f>+landbouw!M12</f>
        <v>0</v>
      </c>
      <c r="O54" s="704">
        <f>+landbouw!N12</f>
        <v>0</v>
      </c>
      <c r="P54" s="704">
        <f>+landbouw!O12</f>
        <v>0</v>
      </c>
      <c r="Q54" s="705">
        <f>+landbouw!P12</f>
        <v>0</v>
      </c>
      <c r="R54" s="732">
        <f ca="1">SUM(C54:Q54)</f>
        <v>1081.0584417652044</v>
      </c>
    </row>
    <row r="55" spans="1:18" ht="15" thickBot="1">
      <c r="A55" s="826" t="s">
        <v>864</v>
      </c>
      <c r="B55" s="836"/>
      <c r="C55" s="704">
        <f ca="1">C25*'EF ele_warmte'!B12</f>
        <v>1020.5149989185276</v>
      </c>
      <c r="D55" s="704"/>
      <c r="E55" s="704">
        <f>E25*EF_CO2_aardgas</f>
        <v>1845.5142579563415</v>
      </c>
      <c r="F55" s="704"/>
      <c r="G55" s="704"/>
      <c r="H55" s="704"/>
      <c r="I55" s="704"/>
      <c r="J55" s="704"/>
      <c r="K55" s="704"/>
      <c r="L55" s="704"/>
      <c r="M55" s="704"/>
      <c r="N55" s="704"/>
      <c r="O55" s="704"/>
      <c r="P55" s="704"/>
      <c r="Q55" s="705"/>
      <c r="R55" s="732">
        <f ca="1">SUM(C55:Q55)</f>
        <v>2866.0292568748691</v>
      </c>
    </row>
    <row r="56" spans="1:18" ht="15.75" thickBot="1">
      <c r="A56" s="824" t="s">
        <v>865</v>
      </c>
      <c r="B56" s="837"/>
      <c r="C56" s="733">
        <f ca="1">SUM(C54:C55)</f>
        <v>1263.343505890648</v>
      </c>
      <c r="D56" s="733">
        <f t="shared" ref="D56:Q56" ca="1" si="7">SUM(D54:D55)</f>
        <v>0</v>
      </c>
      <c r="E56" s="733">
        <f t="shared" si="7"/>
        <v>1853.4064425696597</v>
      </c>
      <c r="F56" s="733">
        <f t="shared" si="7"/>
        <v>2.379165402442597</v>
      </c>
      <c r="G56" s="733">
        <f t="shared" si="7"/>
        <v>766.54684587214308</v>
      </c>
      <c r="H56" s="733">
        <f t="shared" si="7"/>
        <v>0</v>
      </c>
      <c r="I56" s="733">
        <f t="shared" si="7"/>
        <v>0</v>
      </c>
      <c r="J56" s="733">
        <f t="shared" si="7"/>
        <v>0</v>
      </c>
      <c r="K56" s="733">
        <f t="shared" si="7"/>
        <v>61.411738905180215</v>
      </c>
      <c r="L56" s="733">
        <f t="shared" si="7"/>
        <v>0</v>
      </c>
      <c r="M56" s="733">
        <f t="shared" si="7"/>
        <v>0</v>
      </c>
      <c r="N56" s="733">
        <f t="shared" si="7"/>
        <v>0</v>
      </c>
      <c r="O56" s="733">
        <f t="shared" si="7"/>
        <v>0</v>
      </c>
      <c r="P56" s="733">
        <f t="shared" si="7"/>
        <v>0</v>
      </c>
      <c r="Q56" s="734">
        <f t="shared" si="7"/>
        <v>0</v>
      </c>
      <c r="R56" s="735">
        <f ca="1">SUM(R54:R55)</f>
        <v>3947.0876986400735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15819.109020232681</v>
      </c>
      <c r="D61" s="741">
        <f t="shared" ref="D61:Q61" ca="1" si="8">D46+D52+D56</f>
        <v>0</v>
      </c>
      <c r="E61" s="741">
        <f t="shared" ca="1" si="8"/>
        <v>24301.20047454369</v>
      </c>
      <c r="F61" s="741">
        <f t="shared" si="8"/>
        <v>335.23103787488321</v>
      </c>
      <c r="G61" s="741">
        <f t="shared" ca="1" si="8"/>
        <v>2514.2759248924731</v>
      </c>
      <c r="H61" s="741">
        <f t="shared" si="8"/>
        <v>15911.658494142315</v>
      </c>
      <c r="I61" s="741">
        <f t="shared" si="8"/>
        <v>2629.7734805811447</v>
      </c>
      <c r="J61" s="741">
        <f t="shared" si="8"/>
        <v>0</v>
      </c>
      <c r="K61" s="741">
        <f t="shared" si="8"/>
        <v>64.832845700655056</v>
      </c>
      <c r="L61" s="741">
        <f t="shared" si="8"/>
        <v>0</v>
      </c>
      <c r="M61" s="741">
        <f t="shared" ca="1" si="8"/>
        <v>0</v>
      </c>
      <c r="N61" s="741">
        <f t="shared" si="8"/>
        <v>0</v>
      </c>
      <c r="O61" s="741">
        <f t="shared" ca="1" si="8"/>
        <v>0</v>
      </c>
      <c r="P61" s="741">
        <f t="shared" si="8"/>
        <v>0</v>
      </c>
      <c r="Q61" s="741">
        <f t="shared" si="8"/>
        <v>0</v>
      </c>
      <c r="R61" s="741">
        <f ca="1">R46+R52+R56</f>
        <v>61576.08127796786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0.21459782034873212</v>
      </c>
      <c r="D63" s="782">
        <f t="shared" ca="1" si="9"/>
        <v>0</v>
      </c>
      <c r="E63" s="1036">
        <f t="shared" ca="1" si="9"/>
        <v>0.20200000000000001</v>
      </c>
      <c r="F63" s="782">
        <f t="shared" si="9"/>
        <v>0.22700000000000001</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2135.4642021541849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2135.4642021541849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2135.4642021541849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2135.4642021541849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34493.289575336523</v>
      </c>
      <c r="C4" s="478">
        <f>huishoudens!C8</f>
        <v>0</v>
      </c>
      <c r="D4" s="478">
        <f>huishoudens!D8</f>
        <v>63570.863149180957</v>
      </c>
      <c r="E4" s="478">
        <f>huishoudens!E8</f>
        <v>351.68753400537457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538.60590708007192</v>
      </c>
      <c r="O4" s="478">
        <f>huishoudens!O8</f>
        <v>128.19333333333336</v>
      </c>
      <c r="P4" s="479">
        <f>huishoudens!P8</f>
        <v>266.93333333333334</v>
      </c>
      <c r="Q4" s="480">
        <f>SUM(B4:P4)</f>
        <v>99349.572832269594</v>
      </c>
    </row>
    <row r="5" spans="1:17">
      <c r="A5" s="477" t="s">
        <v>156</v>
      </c>
      <c r="B5" s="478">
        <f ca="1">tertiair!B16</f>
        <v>28749.978800000001</v>
      </c>
      <c r="C5" s="478">
        <f ca="1">tertiair!C16</f>
        <v>0</v>
      </c>
      <c r="D5" s="478">
        <f ca="1">tertiair!D16</f>
        <v>44937.406891044484</v>
      </c>
      <c r="E5" s="478">
        <f>tertiair!E16</f>
        <v>653.26816273834368</v>
      </c>
      <c r="F5" s="478">
        <f ca="1">tertiair!F16</f>
        <v>5045.9488576591311</v>
      </c>
      <c r="G5" s="478">
        <f>tertiair!G16</f>
        <v>0</v>
      </c>
      <c r="H5" s="478">
        <f>tertiair!H16</f>
        <v>0</v>
      </c>
      <c r="I5" s="478">
        <f>tertiair!I16</f>
        <v>0</v>
      </c>
      <c r="J5" s="478">
        <f>tertiair!J16</f>
        <v>0</v>
      </c>
      <c r="K5" s="478">
        <f>tertiair!K16</f>
        <v>0</v>
      </c>
      <c r="L5" s="478">
        <f ca="1">tertiair!L16</f>
        <v>0</v>
      </c>
      <c r="M5" s="478">
        <f>tertiair!M16</f>
        <v>0</v>
      </c>
      <c r="N5" s="478">
        <f ca="1">tertiair!N16</f>
        <v>1685.3905869308037</v>
      </c>
      <c r="O5" s="478">
        <f>tertiair!O16</f>
        <v>4.6900000000000004</v>
      </c>
      <c r="P5" s="479">
        <f>tertiair!P16</f>
        <v>57.2</v>
      </c>
      <c r="Q5" s="477">
        <f t="shared" ref="Q5:Q14" ca="1" si="0">SUM(B5:P5)</f>
        <v>81133.883298372763</v>
      </c>
    </row>
    <row r="6" spans="1:17">
      <c r="A6" s="477" t="s">
        <v>194</v>
      </c>
      <c r="B6" s="478">
        <f>'openbare verlichting'!B8</f>
        <v>1662.1949999999999</v>
      </c>
      <c r="C6" s="478"/>
      <c r="D6" s="478"/>
      <c r="E6" s="478"/>
      <c r="F6" s="478"/>
      <c r="G6" s="478"/>
      <c r="H6" s="478"/>
      <c r="I6" s="478"/>
      <c r="J6" s="478"/>
      <c r="K6" s="478"/>
      <c r="L6" s="478"/>
      <c r="M6" s="478"/>
      <c r="N6" s="478"/>
      <c r="O6" s="478"/>
      <c r="P6" s="479"/>
      <c r="Q6" s="477">
        <f t="shared" si="0"/>
        <v>1662.1949999999999</v>
      </c>
    </row>
    <row r="7" spans="1:17">
      <c r="A7" s="477" t="s">
        <v>112</v>
      </c>
      <c r="B7" s="478">
        <f>landbouw!B8</f>
        <v>1131.5516</v>
      </c>
      <c r="C7" s="478">
        <f>landbouw!C8</f>
        <v>0</v>
      </c>
      <c r="D7" s="478">
        <f>landbouw!D8</f>
        <v>39.070220858010806</v>
      </c>
      <c r="E7" s="478">
        <f>landbouw!E8</f>
        <v>10.480904856575316</v>
      </c>
      <c r="F7" s="478">
        <f>landbouw!F8</f>
        <v>2870.961969558588</v>
      </c>
      <c r="G7" s="478">
        <f>landbouw!G8</f>
        <v>0</v>
      </c>
      <c r="H7" s="478">
        <f>landbouw!H8</f>
        <v>0</v>
      </c>
      <c r="I7" s="478">
        <f>landbouw!I8</f>
        <v>0</v>
      </c>
      <c r="J7" s="478">
        <f>landbouw!J8</f>
        <v>173.47948843271249</v>
      </c>
      <c r="K7" s="478">
        <f>landbouw!K8</f>
        <v>0</v>
      </c>
      <c r="L7" s="478">
        <f>landbouw!L8</f>
        <v>0</v>
      </c>
      <c r="M7" s="478">
        <f>landbouw!M8</f>
        <v>0</v>
      </c>
      <c r="N7" s="478">
        <f>landbouw!N8</f>
        <v>0</v>
      </c>
      <c r="O7" s="478">
        <f>landbouw!O8</f>
        <v>0</v>
      </c>
      <c r="P7" s="479">
        <f>landbouw!P8</f>
        <v>0</v>
      </c>
      <c r="Q7" s="477">
        <f t="shared" si="0"/>
        <v>4225.5441837058861</v>
      </c>
    </row>
    <row r="8" spans="1:17">
      <c r="A8" s="477" t="s">
        <v>650</v>
      </c>
      <c r="B8" s="478">
        <f>industrie!B18</f>
        <v>1610.4819799999998</v>
      </c>
      <c r="C8" s="478">
        <f>industrie!C18</f>
        <v>0</v>
      </c>
      <c r="D8" s="478">
        <f>industrie!D18</f>
        <v>2591.5561553104649</v>
      </c>
      <c r="E8" s="478">
        <f>industrie!E18</f>
        <v>282.76321390212775</v>
      </c>
      <c r="F8" s="478">
        <f>industrie!F18</f>
        <v>1499.8529364245019</v>
      </c>
      <c r="G8" s="478">
        <f>industrie!G18</f>
        <v>0</v>
      </c>
      <c r="H8" s="478">
        <f>industrie!H18</f>
        <v>0</v>
      </c>
      <c r="I8" s="478">
        <f>industrie!I18</f>
        <v>0</v>
      </c>
      <c r="J8" s="478">
        <f>industrie!J18</f>
        <v>9.6641434900419156</v>
      </c>
      <c r="K8" s="478">
        <f>industrie!K18</f>
        <v>0</v>
      </c>
      <c r="L8" s="478">
        <f>industrie!L18</f>
        <v>0</v>
      </c>
      <c r="M8" s="478">
        <f>industrie!M18</f>
        <v>0</v>
      </c>
      <c r="N8" s="478">
        <f>industrie!N18</f>
        <v>562.70675844797188</v>
      </c>
      <c r="O8" s="478">
        <f>industrie!O18</f>
        <v>0</v>
      </c>
      <c r="P8" s="479">
        <f>industrie!P18</f>
        <v>0</v>
      </c>
      <c r="Q8" s="477">
        <f t="shared" si="0"/>
        <v>6557.0251875751082</v>
      </c>
    </row>
    <row r="9" spans="1:17" s="483" customFormat="1">
      <c r="A9" s="481" t="s">
        <v>571</v>
      </c>
      <c r="B9" s="482">
        <f>transport!B14</f>
        <v>10.975443600496874</v>
      </c>
      <c r="C9" s="482">
        <f>transport!C14</f>
        <v>0</v>
      </c>
      <c r="D9" s="482">
        <f>transport!D14</f>
        <v>27.867032058290562</v>
      </c>
      <c r="E9" s="482">
        <f>transport!E14</f>
        <v>178.58889760279109</v>
      </c>
      <c r="F9" s="482">
        <f>transport!F14</f>
        <v>0</v>
      </c>
      <c r="G9" s="482">
        <f>transport!G14</f>
        <v>59302.666536973353</v>
      </c>
      <c r="H9" s="482">
        <f>transport!H14</f>
        <v>10561.339279442349</v>
      </c>
      <c r="I9" s="482">
        <f>transport!I14</f>
        <v>0</v>
      </c>
      <c r="J9" s="482">
        <f>transport!J14</f>
        <v>0</v>
      </c>
      <c r="K9" s="482">
        <f>transport!K14</f>
        <v>0</v>
      </c>
      <c r="L9" s="482">
        <f>transport!L14</f>
        <v>0</v>
      </c>
      <c r="M9" s="482">
        <f>transport!M14</f>
        <v>3755.5055161698306</v>
      </c>
      <c r="N9" s="482">
        <f>transport!N14</f>
        <v>0</v>
      </c>
      <c r="O9" s="482">
        <f>transport!O14</f>
        <v>0</v>
      </c>
      <c r="P9" s="482">
        <f>transport!P14</f>
        <v>0</v>
      </c>
      <c r="Q9" s="481">
        <f>SUM(B9:P9)</f>
        <v>73836.942705847105</v>
      </c>
    </row>
    <row r="10" spans="1:17">
      <c r="A10" s="477" t="s">
        <v>561</v>
      </c>
      <c r="B10" s="478">
        <f>transport!B54</f>
        <v>1301.1936277994319</v>
      </c>
      <c r="C10" s="478">
        <f>transport!C54</f>
        <v>0</v>
      </c>
      <c r="D10" s="478">
        <f>transport!D54</f>
        <v>0</v>
      </c>
      <c r="E10" s="478">
        <f>transport!E54</f>
        <v>0</v>
      </c>
      <c r="F10" s="478">
        <f>transport!F54</f>
        <v>0</v>
      </c>
      <c r="G10" s="478">
        <f>transport!G54</f>
        <v>291.56003284805126</v>
      </c>
      <c r="H10" s="478">
        <f>transport!H54</f>
        <v>0</v>
      </c>
      <c r="I10" s="478">
        <f>transport!I54</f>
        <v>0</v>
      </c>
      <c r="J10" s="478">
        <f>transport!J54</f>
        <v>0</v>
      </c>
      <c r="K10" s="478">
        <f>transport!K54</f>
        <v>0</v>
      </c>
      <c r="L10" s="478">
        <f>transport!L54</f>
        <v>0</v>
      </c>
      <c r="M10" s="478">
        <f>transport!M54</f>
        <v>16.626818729914881</v>
      </c>
      <c r="N10" s="478">
        <f>transport!N54</f>
        <v>0</v>
      </c>
      <c r="O10" s="478">
        <f>transport!O54</f>
        <v>0</v>
      </c>
      <c r="P10" s="479">
        <f>transport!P54</f>
        <v>0</v>
      </c>
      <c r="Q10" s="477">
        <f t="shared" si="0"/>
        <v>1609.3804793773982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4755.4769999999999</v>
      </c>
      <c r="C14" s="485"/>
      <c r="D14" s="485">
        <f>'SEAP template'!E25</f>
        <v>9136.2091978036697</v>
      </c>
      <c r="E14" s="485"/>
      <c r="F14" s="485"/>
      <c r="G14" s="485"/>
      <c r="H14" s="485"/>
      <c r="I14" s="485"/>
      <c r="J14" s="485"/>
      <c r="K14" s="485"/>
      <c r="L14" s="485"/>
      <c r="M14" s="485"/>
      <c r="N14" s="485"/>
      <c r="O14" s="485"/>
      <c r="P14" s="486"/>
      <c r="Q14" s="477">
        <f t="shared" si="0"/>
        <v>13891.686197803669</v>
      </c>
    </row>
    <row r="15" spans="1:17" s="487" customFormat="1">
      <c r="A15" s="1051" t="s">
        <v>565</v>
      </c>
      <c r="B15" s="991">
        <f ca="1">SUM(B4:B14)</f>
        <v>73715.143026736463</v>
      </c>
      <c r="C15" s="991">
        <f t="shared" ref="C15:Q15" ca="1" si="1">SUM(C4:C14)</f>
        <v>0</v>
      </c>
      <c r="D15" s="991">
        <f t="shared" ca="1" si="1"/>
        <v>120302.97264625586</v>
      </c>
      <c r="E15" s="991">
        <f t="shared" si="1"/>
        <v>1476.7887131052123</v>
      </c>
      <c r="F15" s="991">
        <f t="shared" ca="1" si="1"/>
        <v>9416.7637636422205</v>
      </c>
      <c r="G15" s="991">
        <f t="shared" si="1"/>
        <v>59594.226569821403</v>
      </c>
      <c r="H15" s="991">
        <f t="shared" si="1"/>
        <v>10561.339279442349</v>
      </c>
      <c r="I15" s="991">
        <f t="shared" si="1"/>
        <v>0</v>
      </c>
      <c r="J15" s="991">
        <f t="shared" si="1"/>
        <v>183.14363192275439</v>
      </c>
      <c r="K15" s="991">
        <f t="shared" si="1"/>
        <v>0</v>
      </c>
      <c r="L15" s="991">
        <f t="shared" ca="1" si="1"/>
        <v>0</v>
      </c>
      <c r="M15" s="991">
        <f t="shared" si="1"/>
        <v>3772.1323348997453</v>
      </c>
      <c r="N15" s="991">
        <f t="shared" ca="1" si="1"/>
        <v>2786.7032524588476</v>
      </c>
      <c r="O15" s="991">
        <f t="shared" si="1"/>
        <v>132.88333333333335</v>
      </c>
      <c r="P15" s="991">
        <f t="shared" si="1"/>
        <v>324.13333333333333</v>
      </c>
      <c r="Q15" s="991">
        <f t="shared" ca="1" si="1"/>
        <v>282266.22988495149</v>
      </c>
    </row>
    <row r="17" spans="1:17">
      <c r="A17" s="488" t="s">
        <v>566</v>
      </c>
      <c r="B17" s="787">
        <f ca="1">huishoudens!B10</f>
        <v>0.21459782034873212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7402.1847595248619</v>
      </c>
      <c r="C22" s="478">
        <f t="shared" ref="C22:C32" ca="1" si="3">C4*$C$17</f>
        <v>0</v>
      </c>
      <c r="D22" s="478">
        <f t="shared" ref="D22:D32" si="4">D4*$D$17</f>
        <v>12841.314356134555</v>
      </c>
      <c r="E22" s="478">
        <f t="shared" ref="E22:E32" si="5">E4*$E$17</f>
        <v>79.833070219220033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20323.33218587864</v>
      </c>
    </row>
    <row r="23" spans="1:17">
      <c r="A23" s="477" t="s">
        <v>156</v>
      </c>
      <c r="B23" s="478">
        <f t="shared" ca="1" si="2"/>
        <v>6169.682785552257</v>
      </c>
      <c r="C23" s="478">
        <f t="shared" ca="1" si="3"/>
        <v>0</v>
      </c>
      <c r="D23" s="478">
        <f t="shared" ca="1" si="4"/>
        <v>9077.3561919909862</v>
      </c>
      <c r="E23" s="478">
        <f t="shared" si="5"/>
        <v>148.29187294160403</v>
      </c>
      <c r="F23" s="478">
        <f t="shared" ca="1" si="6"/>
        <v>1347.2683449949882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16742.599195479834</v>
      </c>
    </row>
    <row r="24" spans="1:17">
      <c r="A24" s="477" t="s">
        <v>194</v>
      </c>
      <c r="B24" s="478">
        <f t="shared" ca="1" si="2"/>
        <v>356.70342399456075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356.70342399456075</v>
      </c>
    </row>
    <row r="25" spans="1:17">
      <c r="A25" s="477" t="s">
        <v>112</v>
      </c>
      <c r="B25" s="478">
        <f t="shared" ca="1" si="2"/>
        <v>242.82850697212038</v>
      </c>
      <c r="C25" s="478">
        <f t="shared" ca="1" si="3"/>
        <v>0</v>
      </c>
      <c r="D25" s="478">
        <f t="shared" si="4"/>
        <v>7.8921846133181832</v>
      </c>
      <c r="E25" s="478">
        <f t="shared" si="5"/>
        <v>2.379165402442597</v>
      </c>
      <c r="F25" s="478">
        <f t="shared" si="6"/>
        <v>766.54684587214308</v>
      </c>
      <c r="G25" s="478">
        <f t="shared" si="7"/>
        <v>0</v>
      </c>
      <c r="H25" s="478">
        <f t="shared" si="8"/>
        <v>0</v>
      </c>
      <c r="I25" s="478">
        <f t="shared" si="9"/>
        <v>0</v>
      </c>
      <c r="J25" s="478">
        <f t="shared" si="10"/>
        <v>61.411738905180215</v>
      </c>
      <c r="K25" s="478">
        <f t="shared" si="11"/>
        <v>0</v>
      </c>
      <c r="L25" s="478">
        <f t="shared" si="12"/>
        <v>0</v>
      </c>
      <c r="M25" s="478">
        <f t="shared" si="13"/>
        <v>0</v>
      </c>
      <c r="N25" s="478">
        <f t="shared" si="14"/>
        <v>0</v>
      </c>
      <c r="O25" s="478">
        <f t="shared" si="15"/>
        <v>0</v>
      </c>
      <c r="P25" s="479">
        <f t="shared" si="16"/>
        <v>0</v>
      </c>
      <c r="Q25" s="477">
        <f t="shared" ca="1" si="17"/>
        <v>1081.0584417652044</v>
      </c>
    </row>
    <row r="26" spans="1:17">
      <c r="A26" s="477" t="s">
        <v>650</v>
      </c>
      <c r="B26" s="478">
        <f t="shared" ca="1" si="2"/>
        <v>345.60592261891037</v>
      </c>
      <c r="C26" s="478">
        <f t="shared" ca="1" si="3"/>
        <v>0</v>
      </c>
      <c r="D26" s="478">
        <f t="shared" si="4"/>
        <v>523.49434337271396</v>
      </c>
      <c r="E26" s="478">
        <f t="shared" si="5"/>
        <v>64.187249555782998</v>
      </c>
      <c r="F26" s="478">
        <f t="shared" si="6"/>
        <v>400.46073402534205</v>
      </c>
      <c r="G26" s="478">
        <f t="shared" si="7"/>
        <v>0</v>
      </c>
      <c r="H26" s="478">
        <f t="shared" si="8"/>
        <v>0</v>
      </c>
      <c r="I26" s="478">
        <f t="shared" si="9"/>
        <v>0</v>
      </c>
      <c r="J26" s="478">
        <f t="shared" si="10"/>
        <v>3.421106795474838</v>
      </c>
      <c r="K26" s="478">
        <f t="shared" si="11"/>
        <v>0</v>
      </c>
      <c r="L26" s="478">
        <f t="shared" si="12"/>
        <v>0</v>
      </c>
      <c r="M26" s="478">
        <f t="shared" si="13"/>
        <v>0</v>
      </c>
      <c r="N26" s="478">
        <f t="shared" si="14"/>
        <v>0</v>
      </c>
      <c r="O26" s="478">
        <f t="shared" si="15"/>
        <v>0</v>
      </c>
      <c r="P26" s="479">
        <f t="shared" si="16"/>
        <v>0</v>
      </c>
      <c r="Q26" s="477">
        <f t="shared" ca="1" si="17"/>
        <v>1337.1693563682243</v>
      </c>
    </row>
    <row r="27" spans="1:17" s="483" customFormat="1">
      <c r="A27" s="481" t="s">
        <v>571</v>
      </c>
      <c r="B27" s="781">
        <f t="shared" ca="1" si="2"/>
        <v>2.3553062740270696</v>
      </c>
      <c r="C27" s="482">
        <f t="shared" ca="1" si="3"/>
        <v>0</v>
      </c>
      <c r="D27" s="482">
        <f t="shared" si="4"/>
        <v>5.6291404757746939</v>
      </c>
      <c r="E27" s="482">
        <f t="shared" si="5"/>
        <v>40.539679755833582</v>
      </c>
      <c r="F27" s="482">
        <f t="shared" si="6"/>
        <v>0</v>
      </c>
      <c r="G27" s="482">
        <f t="shared" si="7"/>
        <v>15833.811965371886</v>
      </c>
      <c r="H27" s="482">
        <f t="shared" si="8"/>
        <v>2629.7734805811447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18512.109572458667</v>
      </c>
    </row>
    <row r="28" spans="1:17">
      <c r="A28" s="477" t="s">
        <v>561</v>
      </c>
      <c r="B28" s="478">
        <f t="shared" ca="1" si="2"/>
        <v>279.23331637741751</v>
      </c>
      <c r="C28" s="478">
        <f t="shared" ca="1" si="3"/>
        <v>0</v>
      </c>
      <c r="D28" s="478">
        <f t="shared" si="4"/>
        <v>0</v>
      </c>
      <c r="E28" s="478">
        <f t="shared" si="5"/>
        <v>0</v>
      </c>
      <c r="F28" s="478">
        <f t="shared" si="6"/>
        <v>0</v>
      </c>
      <c r="G28" s="478">
        <f t="shared" si="7"/>
        <v>77.846528770429686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357.07984514784721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1020.5149989185276</v>
      </c>
      <c r="C32" s="478">
        <f t="shared" ca="1" si="3"/>
        <v>0</v>
      </c>
      <c r="D32" s="478">
        <f t="shared" si="4"/>
        <v>1845.5142579563415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2866.0292568748691</v>
      </c>
    </row>
    <row r="33" spans="1:17" s="487" customFormat="1">
      <c r="A33" s="1051" t="s">
        <v>565</v>
      </c>
      <c r="B33" s="991">
        <f ca="1">SUM(B22:B32)</f>
        <v>15819.109020232683</v>
      </c>
      <c r="C33" s="991">
        <f t="shared" ref="C33:Q33" ca="1" si="18">SUM(C22:C32)</f>
        <v>0</v>
      </c>
      <c r="D33" s="991">
        <f t="shared" ca="1" si="18"/>
        <v>24301.20047454369</v>
      </c>
      <c r="E33" s="991">
        <f t="shared" si="18"/>
        <v>335.23103787488321</v>
      </c>
      <c r="F33" s="991">
        <f t="shared" ca="1" si="18"/>
        <v>2514.2759248924731</v>
      </c>
      <c r="G33" s="991">
        <f t="shared" si="18"/>
        <v>15911.658494142315</v>
      </c>
      <c r="H33" s="991">
        <f t="shared" si="18"/>
        <v>2629.7734805811447</v>
      </c>
      <c r="I33" s="991">
        <f t="shared" si="18"/>
        <v>0</v>
      </c>
      <c r="J33" s="991">
        <f t="shared" si="18"/>
        <v>64.832845700655056</v>
      </c>
      <c r="K33" s="991">
        <f t="shared" si="18"/>
        <v>0</v>
      </c>
      <c r="L33" s="991">
        <f t="shared" ca="1" si="18"/>
        <v>0</v>
      </c>
      <c r="M33" s="991">
        <f t="shared" si="18"/>
        <v>0</v>
      </c>
      <c r="N33" s="991">
        <f t="shared" ca="1" si="18"/>
        <v>0</v>
      </c>
      <c r="O33" s="991">
        <f t="shared" si="18"/>
        <v>0</v>
      </c>
      <c r="P33" s="991">
        <f t="shared" si="18"/>
        <v>0</v>
      </c>
      <c r="Q33" s="991">
        <f t="shared" ca="1" si="18"/>
        <v>61576.081277967853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2135.4642021541849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2135.4642021541849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0.21459782034873212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0.21459782034873212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2019-08-12T08:08:52Z</dcterms:modified>
</cp:coreProperties>
</file>