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H78" i="14"/>
  <c r="H9" i="59"/>
  <c r="H10" s="1"/>
  <c r="B89" i="14"/>
  <c r="B19" i="59" s="1"/>
  <c r="J17" i="18"/>
  <c r="J20" s="1"/>
  <c r="G78" i="14"/>
  <c r="G102" i="18"/>
  <c r="Q89" i="14"/>
  <c r="P19" i="59" s="1"/>
  <c r="B102" i="18"/>
  <c r="C17" s="1"/>
  <c r="D87" i="14" s="1"/>
  <c r="D17" i="59" s="1"/>
  <c r="D20" s="1"/>
  <c r="G90" i="14"/>
  <c r="C89"/>
  <c r="C19" i="59" s="1"/>
  <c r="Q14" i="48"/>
  <c r="N90" i="14"/>
  <c r="N18" i="59"/>
  <c r="N20" s="1"/>
  <c r="E90" i="14"/>
  <c r="I8" i="18"/>
  <c r="I10" s="1"/>
  <c r="C77" i="14"/>
  <c r="C9" i="59" s="1"/>
  <c r="J87" i="14"/>
  <c r="H20" i="18"/>
  <c r="M87" i="14"/>
  <c r="F76"/>
  <c r="E10" i="18"/>
  <c r="C20"/>
  <c r="H10"/>
  <c r="M76" i="14"/>
  <c r="B88"/>
  <c r="B18" i="59" s="1"/>
  <c r="I17" i="18"/>
  <c r="D76" i="14"/>
  <c r="D8" i="59" s="1"/>
  <c r="D10" s="1"/>
  <c r="C10" i="18"/>
  <c r="J8"/>
  <c r="C88" i="14"/>
  <c r="C18" i="59" s="1"/>
  <c r="B77" i="14"/>
  <c r="B9" i="59" s="1"/>
  <c r="E20" i="18"/>
  <c r="F87" i="14"/>
  <c r="Q88"/>
  <c r="P18" i="59" s="1"/>
  <c r="H14" i="15"/>
  <c r="H16" s="1"/>
  <c r="G14"/>
  <c r="G16" s="1"/>
  <c r="F78" i="14" l="1"/>
  <c r="F8" i="59"/>
  <c r="F10" s="1"/>
  <c r="H10" i="14"/>
  <c r="H16" s="1"/>
  <c r="G5" i="48"/>
  <c r="M78" i="14"/>
  <c r="M8" i="59"/>
  <c r="M10" s="1"/>
  <c r="M90" i="14"/>
  <c r="M17" i="59"/>
  <c r="M20" s="1"/>
  <c r="I76" i="14"/>
  <c r="I8" i="59" s="1"/>
  <c r="I10" s="1"/>
  <c r="I10" i="14"/>
  <c r="I16" s="1"/>
  <c r="H5" i="48"/>
  <c r="F90" i="14"/>
  <c r="F17" i="59"/>
  <c r="F20" s="1"/>
  <c r="J90" i="14"/>
  <c r="J17" i="59"/>
  <c r="J20" s="1"/>
  <c r="O8" i="18"/>
  <c r="O10" s="1"/>
  <c r="O17"/>
  <c r="O20" s="1"/>
  <c r="Q76" i="14"/>
  <c r="D78"/>
  <c r="I78"/>
  <c r="B76"/>
  <c r="J10" i="18"/>
  <c r="J76" i="14"/>
  <c r="I87"/>
  <c r="I17" i="59" s="1"/>
  <c r="I20" s="1"/>
  <c r="I20" i="18"/>
  <c r="Q87" i="14"/>
  <c r="D90"/>
  <c r="C87"/>
  <c r="A31" i="23"/>
  <c r="A32"/>
  <c r="A33"/>
  <c r="Q78" i="14" l="1"/>
  <c r="B9" i="6" s="1"/>
  <c r="P8" i="59"/>
  <c r="P10" s="1"/>
  <c r="C90" i="14"/>
  <c r="C17" i="59"/>
  <c r="C20" s="1"/>
  <c r="Q90" i="14"/>
  <c r="B17" i="6" s="1"/>
  <c r="P17" i="59"/>
  <c r="P20" s="1"/>
  <c r="B78" i="14"/>
  <c r="B8" i="59"/>
  <c r="B10" s="1"/>
  <c r="J78" i="14"/>
  <c r="J8" i="59"/>
  <c r="J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P11" i="14"/>
  <c r="O4" i="48"/>
  <c r="D4"/>
  <c r="D22" s="1"/>
  <c r="E11" i="14"/>
  <c r="D11"/>
  <c r="C4" i="48"/>
  <c r="L10" i="14"/>
  <c r="L16" s="1"/>
  <c r="L27" s="1"/>
  <c r="K5" i="48"/>
  <c r="D30"/>
  <c r="D31"/>
  <c r="D24"/>
  <c r="D28"/>
  <c r="D29"/>
  <c r="D32"/>
  <c r="L32"/>
  <c r="L27"/>
  <c r="L28"/>
  <c r="L29"/>
  <c r="L30"/>
  <c r="L24"/>
  <c r="L31"/>
  <c r="L22"/>
  <c r="Q10" i="14"/>
  <c r="P5" i="48"/>
  <c r="P23" s="1"/>
  <c r="K28"/>
  <c r="K32"/>
  <c r="K27"/>
  <c r="K31"/>
  <c r="K26"/>
  <c r="K22"/>
  <c r="K30"/>
  <c r="K24"/>
  <c r="K25"/>
  <c r="K29"/>
  <c r="B7"/>
  <c r="C24" i="14"/>
  <c r="C26" s="1"/>
  <c r="J15" i="16"/>
  <c r="Q11" i="14"/>
  <c r="P4" i="48"/>
  <c r="I32"/>
  <c r="I28"/>
  <c r="I22"/>
  <c r="I26"/>
  <c r="I29"/>
  <c r="I27"/>
  <c r="I30"/>
  <c r="I25"/>
  <c r="I31"/>
  <c r="I24"/>
  <c r="H32"/>
  <c r="H29"/>
  <c r="H28"/>
  <c r="H26"/>
  <c r="H24"/>
  <c r="H22"/>
  <c r="H30"/>
  <c r="H25"/>
  <c r="H23"/>
  <c r="G26"/>
  <c r="G29"/>
  <c r="G32"/>
  <c r="G22"/>
  <c r="G30"/>
  <c r="G25"/>
  <c r="G24"/>
  <c r="G23"/>
  <c r="C11" i="14"/>
  <c r="B4" i="48"/>
  <c r="F24"/>
  <c r="F32"/>
  <c r="F29"/>
  <c r="F30"/>
  <c r="F31"/>
  <c r="F27"/>
  <c r="F28"/>
  <c r="N31"/>
  <c r="N24"/>
  <c r="N32"/>
  <c r="N30"/>
  <c r="N29"/>
  <c r="N27"/>
  <c r="N28"/>
  <c r="C19" i="14"/>
  <c r="B10" i="48"/>
  <c r="E32"/>
  <c r="E28"/>
  <c r="E31"/>
  <c r="E29"/>
  <c r="E30"/>
  <c r="E24"/>
  <c r="M26"/>
  <c r="M25"/>
  <c r="M32"/>
  <c r="M22"/>
  <c r="M30"/>
  <c r="M29"/>
  <c r="M24"/>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C20"/>
  <c r="B9" i="48"/>
  <c r="P22"/>
  <c r="P15"/>
  <c r="G11" i="14"/>
  <c r="F4" i="48"/>
  <c r="F22" s="1"/>
  <c r="O22"/>
  <c r="L46" i="14"/>
  <c r="L61" s="1"/>
  <c r="G13" i="48"/>
  <c r="H18" i="14"/>
  <c r="R18" s="1"/>
  <c r="H13" i="48"/>
  <c r="H31" s="1"/>
  <c r="I18" i="14"/>
  <c r="P22" i="16"/>
  <c r="Q43" i="14" s="1"/>
  <c r="Q13"/>
  <c r="P8" i="48"/>
  <c r="P26" s="1"/>
  <c r="I5"/>
  <c r="J10" i="14"/>
  <c r="J16" s="1"/>
  <c r="J27" s="1"/>
  <c r="J63" s="1"/>
  <c r="C22"/>
  <c r="F20"/>
  <c r="F22" s="1"/>
  <c r="E9" i="48"/>
  <c r="E27" s="1"/>
  <c r="E20" i="14"/>
  <c r="E22" s="1"/>
  <c r="D9" i="48"/>
  <c r="D27" s="1"/>
  <c r="P10" i="14"/>
  <c r="O5" i="48"/>
  <c r="O23" s="1"/>
  <c r="J7"/>
  <c r="J25" s="1"/>
  <c r="K24" i="14"/>
  <c r="K26" s="1"/>
  <c r="K23" i="48"/>
  <c r="K15"/>
  <c r="K33"/>
  <c r="Q16" i="14"/>
  <c r="Q27" s="1"/>
  <c r="Q63" s="1"/>
  <c r="L63"/>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46" s="1"/>
  <c r="P61" s="1"/>
  <c r="P13"/>
  <c r="P16" s="1"/>
  <c r="P27" s="1"/>
  <c r="O8" i="48"/>
  <c r="O26" s="1"/>
  <c r="I23"/>
  <c r="I33" s="1"/>
  <c r="I15"/>
  <c r="E12" i="13"/>
  <c r="F41" i="14" s="1"/>
  <c r="F11"/>
  <c r="R11" s="1"/>
  <c r="E4" i="48"/>
  <c r="K11" i="14"/>
  <c r="J4" i="48"/>
  <c r="O15"/>
  <c r="M14" i="22"/>
  <c r="G14"/>
  <c r="H19" i="14"/>
  <c r="G10" i="48"/>
  <c r="G31"/>
  <c r="Q13"/>
  <c r="E7"/>
  <c r="E25" s="1"/>
  <c r="F24" i="14"/>
  <c r="F26" s="1"/>
  <c r="O33"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P63" l="1"/>
  <c r="N52"/>
  <c r="N61" s="1"/>
  <c r="H9" i="48"/>
  <c r="I20" i="14"/>
  <c r="I22" s="1"/>
  <c r="I27" s="1"/>
  <c r="G28" i="48"/>
  <c r="Q10"/>
  <c r="E22"/>
  <c r="Q4"/>
  <c r="N20" i="14"/>
  <c r="N22" s="1"/>
  <c r="N27" s="1"/>
  <c r="M9" i="48"/>
  <c r="J5"/>
  <c r="J23" s="1"/>
  <c r="K10" i="14"/>
  <c r="G9" i="48"/>
  <c r="H20" i="14"/>
  <c r="J22" i="48"/>
  <c r="F10" i="14"/>
  <c r="E5" i="48"/>
  <c r="E23" s="1"/>
  <c r="M18" i="22"/>
  <c r="N50" i="14" s="1"/>
  <c r="R19"/>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R22" s="1"/>
  <c r="F46"/>
  <c r="F61" s="1"/>
  <c r="F63" s="1"/>
  <c r="E33" i="48"/>
  <c r="E15"/>
  <c r="M27"/>
  <c r="M33" s="1"/>
  <c r="M15"/>
  <c r="H27"/>
  <c r="H33" s="1"/>
  <c r="H15"/>
  <c r="J22" i="16"/>
  <c r="K43" i="14" s="1"/>
  <c r="K46" s="1"/>
  <c r="K61" s="1"/>
  <c r="K63" s="1"/>
  <c r="J8" i="48"/>
  <c r="J26" s="1"/>
  <c r="K13" i="14"/>
  <c r="F13"/>
  <c r="E8" i="48"/>
  <c r="E26" s="1"/>
  <c r="G27"/>
  <c r="G33" s="1"/>
  <c r="G15"/>
  <c r="Q9"/>
  <c r="J33"/>
  <c r="F16" i="14"/>
  <c r="F27" s="1"/>
  <c r="N63"/>
  <c r="I63"/>
  <c r="K16"/>
  <c r="K27" s="1"/>
  <c r="O13"/>
  <c r="N8" i="48"/>
  <c r="N26" s="1"/>
  <c r="F8"/>
  <c r="G13" i="14"/>
  <c r="R13" l="1"/>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<sst xmlns="http://schemas.openxmlformats.org/spreadsheetml/2006/main" count="2419" uniqueCount="907">
  <si>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</si>
  <si>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</si>
  <si>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</si>
  <si>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</si>
  <si>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</si>
  <si>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</si>
  <si>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</si>
  <si>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</si>
  <si>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</si>
  <si>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</si>
  <si>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</si>
  <si>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</si>
  <si>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</si>
  <si>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</si>
  <si>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</si>
  <si>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</si>
  <si>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</si>
  <si>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</si>
  <si>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</si>
  <si>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</si>
  <si>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</si>
  <si>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</si>
  <si>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</si>
  <si>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</si>
  <si>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</si>
  <si>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</si>
  <si>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</si>
  <si>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</si>
  <si>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</si>
  <si>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</si>
  <si>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</si>
  <si>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</si>
  <si>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</si>
  <si>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</si>
  <si>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</si>
  <si>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</si>
  <si>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</si>
  <si>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</si>
  <si>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</si>
  <si>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</si>
  <si>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</si>
  <si>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</si>
  <si>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</si>
  <si>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</si>
  <si>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</si>
  <si>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</si>
  <si>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</si>
  <si>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</si>
  <si>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</si>
  <si>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</si>
  <si>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</si>
  <si>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</si>
  <si>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</si>
  <si>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</si>
  <si>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</si>
  <si>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</si>
  <si>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</si>
  <si>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</si>
  <si>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</si>
  <si>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</si>
  <si>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</si>
  <si>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</si>
  <si>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</si>
  <si>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</si>
  <si>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</si>
  <si>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</si>
  <si>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</si>
  <si>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</si>
  <si>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</si>
  <si>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</si>
  <si>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</si>
  <si>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</si>
  <si>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</si>
  <si>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</si>
  <si>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</si>
  <si>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</si>
  <si>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</si>
  <si>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</si>
  <si>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</si>
  <si>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</si>
  <si>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</si>
  <si>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</si>
  <si>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</si>
  <si>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</si>
  <si>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</si>
  <si>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</si>
  <si>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</si>
  <si>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</si>
  <si>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</si>
  <si>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</si>
  <si>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</si>
  <si>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</si>
  <si>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</si>
  <si>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</si>
  <si>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</si>
  <si>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</si>
  <si>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</si>
  <si>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</si>
  <si>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</si>
  <si>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</si>
  <si>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</si>
  <si>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</si>
  <si>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</si>
  <si>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</si>
  <si>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</si>
  <si>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</si>
  <si>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</si>
  <si>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</si>
  <si>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</si>
  <si>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</si>
  <si>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</si>
  <si>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</si>
  <si>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</si>
  <si>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</si>
  <si>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</si>
  <si>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</si>
  <si>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</si>
  <si>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</si>
  <si>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</si>
  <si>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</si>
  <si>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</si>
  <si>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</si>
  <si>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</si>
  <si>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</si>
  <si>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</si>
  <si>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</si>
  <si>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</si>
  <si>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</si>
  <si>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</si>
  <si>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</si>
  <si>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</si>
  <si>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</si>
  <si>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</si>
  <si>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</si>
  <si>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</si>
  <si>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</si>
  <si>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</si>
  <si>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</si>
  <si>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</si>
  <si>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</si>
  <si>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</si>
  <si>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</si>
  <si>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</si>
  <si>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</si>
  <si>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</si>
  <si>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</si>
  <si>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</si>
  <si>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</si>
  <si>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</si>
  <si>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</si>
  <si>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</si>
  <si>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</si>
  <si>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</si>
  <si>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</si>
  <si>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</si>
  <si>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</si>
  <si>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</si>
  <si>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</si>
  <si>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</si>
  <si>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</si>
  <si>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</si>
  <si>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</si>
  <si>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</si>
  <si>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</si>
  <si>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</si>
  <si>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</si>
  <si>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</si>
  <si>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</si>
  <si>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</si>
  <si>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</si>
  <si>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</si>
  <si>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</si>
  <si>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</si>
  <si>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</si>
  <si>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</si>
  <si>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</si>
  <si>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</si>
  <si>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</si>
  <si>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</si>
  <si>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</si>
  <si>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</si>
  <si>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</si>
  <si>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</si>
  <si>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</si>
  <si>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</si>
  <si>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</si>
  <si>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</si>
  <si>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</si>
  <si>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</si>
  <si>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</si>
  <si>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</si>
  <si>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</si>
  <si>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</si>
  <si>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</si>
  <si>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</si>
  <si>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</si>
  <si>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</si>
  <si>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</si>
  <si>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</si>
  <si>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</si>
  <si>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</si>
  <si>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</si>
  <si>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</si>
  <si>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</si>
  <si>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</si>
  <si>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</si>
  <si>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</si>
  <si>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</si>
  <si>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</si>
  <si>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</si>
  <si>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</si>
  <si>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</si>
  <si>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</si>
  <si>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</si>
  <si>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</si>
  <si>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</si>
  <si>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</si>
  <si>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</si>
  <si>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</si>
  <si>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</si>
  <si>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</si>
  <si>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</si>
  <si>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</si>
  <si>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</si>
  <si>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</si>
  <si>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</si>
  <si>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</si>
  <si>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</si>
  <si>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</si>
  <si>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</si>
  <si>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</si>
  <si>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</si>
  <si>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</si>
  <si>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</si>
  <si>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</si>
  <si>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</si>
  <si>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</si>
  <si>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</si>
  <si>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</si>
  <si>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</si>
  <si>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</si>
  <si>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</si>
  <si>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</si>
  <si>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</si>
  <si>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</si>
  <si>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</si>
  <si>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</si>
  <si>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</si>
  <si>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</si>
  <si>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</si>
  <si>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</si>
  <si>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</si>
  <si>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</si>
  <si>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</si>
  <si>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</si>
  <si>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</si>
  <si>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</si>
  <si>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</si>
  <si>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</si>
  <si>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</si>
  <si>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</si>
  <si>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</si>
  <si>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</si>
  <si>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</si>
  <si>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</si>
  <si>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</si>
  <si>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</si>
  <si>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</si>
  <si>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</si>
  <si>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</si>
  <si>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</si>
  <si>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</si>
  <si>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</si>
  <si>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</si>
  <si>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</si>
  <si>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</si>
  <si>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</si>
  <si>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</si>
  <si>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</si>
  <si>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</si>
  <si>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</si>
  <si>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</si>
  <si>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</si>
  <si>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</si>
  <si>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</si>
  <si>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</si>
  <si>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</si>
  <si>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</si>
  <si>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</si>
  <si>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</si>
  <si>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</si>
  <si>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</si>
  <si>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</si>
  <si>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</si>
  <si>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</si>
  <si>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</si>
  <si>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</si>
  <si>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</si>
  <si>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</si>
  <si>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</si>
  <si>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</si>
  <si>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</si>
  <si>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</si>
  <si>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</si>
  <si>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</si>
  <si>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</si>
  <si>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</si>
  <si>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</si>
  <si>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</si>
  <si>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</si>
  <si>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</si>
  <si>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</si>
  <si>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</si>
  <si>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</si>
  <si>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</si>
  <si>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</si>
  <si>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</si>
  <si>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</si>
  <si>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</si>
  <si>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</si>
  <si>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</si>
  <si>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</si>
  <si>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</si>
  <si>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</si>
  <si>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</si>
  <si>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</si>
  <si>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</si>
  <si>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</si>
  <si>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</si>
  <si>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</si>
  <si>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</si>
  <si>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</si>
  <si>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</si>
  <si>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</si>
  <si>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</si>
  <si>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</si>
  <si>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</si>
  <si>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</si>
  <si>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</si>
  <si>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</si>
  <si>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</si>
  <si>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</si>
  <si>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</si>
  <si>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</si>
  <si>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</si>
  <si>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</si>
  <si>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</si>
  <si>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</si>
  <si>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</si>
  <si>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</si>
  <si>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</si>
  <si>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</si>
  <si>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</si>
  <si>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</si>
  <si>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</si>
  <si>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</si>
  <si>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</si>
  <si>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</si>
  <si>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</si>
  <si>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</si>
  <si>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</si>
  <si>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</si>
  <si>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</si>
  <si>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</si>
  <si>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</si>
  <si>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</si>
  <si>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</si>
  <si>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</si>
  <si>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</si>
  <si>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</si>
  <si>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</si>
  <si>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</si>
  <si>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</si>
  <si>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</si>
  <si>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</si>
  <si>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</si>
  <si>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</si>
  <si>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</si>
  <si>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</si>
  <si>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</si>
  <si>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</si>
  <si>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</si>
  <si>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</si>
  <si>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</si>
  <si>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</si>
  <si>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</si>
  <si>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</si>
  <si>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</si>
  <si>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</si>
  <si>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</si>
  <si>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</si>
  <si>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</si>
  <si>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</si>
  <si>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</si>
  <si>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</si>
  <si>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</si>
  <si>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</si>
  <si>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</si>
  <si>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</si>
  <si>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</si>
  <si>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</si>
  <si>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</si>
  <si>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</si>
  <si>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</si>
  <si>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</si>
  <si>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</si>
  <si>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</si>
  <si>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</si>
  <si>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</si>
  <si>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</si>
  <si>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</si>
  <si>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</si>
  <si>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</si>
  <si>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</si>
  <si>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</si>
  <si>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</si>
  <si>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</si>
  <si>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</si>
  <si>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</si>
  <si>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</si>
  <si>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</si>
  <si>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</si>
  <si>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</si>
  <si>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</si>
  <si>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</si>
  <si>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</si>
  <si>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</si>
  <si>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</si>
  <si>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</si>
  <si>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</si>
  <si>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</si>
  <si>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</si>
  <si>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</si>
  <si>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</si>
  <si>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</si>
  <si>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</si>
  <si>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</si>
  <si>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</si>
  <si>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</si>
  <si>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</si>
  <si>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</si>
  <si>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</si>
  <si>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</si>
  <si>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</si>
  <si>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</si>
  <si>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</si>
  <si>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</si>
  <si>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</si>
  <si>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</si>
  <si>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</si>
  <si>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</si>
  <si>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</si>
  <si>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</si>
  <si>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</si>
  <si>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</si>
  <si>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</si>
  <si>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</si>
  <si>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</si>
  <si>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</si>
  <si>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</si>
  <si>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</si>
  <si>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</si>
  <si>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</si>
  <si>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</si>
  <si>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</si>
  <si>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</si>
  <si>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</si>
  <si>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</si>
  <si>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</si>
  <si>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</si>
  <si>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</si>
  <si>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</si>
  <si>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</si>
  <si>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</si>
  <si>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</si>
  <si>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</si>
  <si>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</si>
  <si>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</si>
  <si>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</si>
  <si>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</si>
  <si>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</si>
  <si>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</si>
  <si>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</si>
  <si>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</si>
  <si>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</si>
  <si>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</si>
  <si>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</si>
  <si>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</si>
  <si>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</si>
  <si>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</si>
  <si>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</si>
  <si>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</si>
  <si>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</si>
  <si>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</si>
  <si>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</si>
  <si>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</si>
  <si>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</si>
  <si>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</si>
  <si>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</si>
  <si>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</si>
  <si>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</si>
  <si>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</si>
  <si>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</si>
  <si>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</si>
  <si>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</si>
  <si>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</si>
  <si>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</si>
  <si>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</si>
  <si>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</si>
  <si>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</si>
  <si>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</si>
  <si>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</si>
  <si>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</si>
  <si>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</si>
  <si>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</si>
  <si>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</si>
  <si>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</si>
  <si>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</si>
  <si>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</si>
  <si>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</si>
  <si>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</si>
  <si>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</si>
  <si>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</si>
  <si>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</si>
  <si>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</si>
  <si>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</si>
  <si>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</si>
  <si>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</si>
  <si>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</si>
  <si>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</si>
  <si>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</si>
  <si>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</si>
  <si>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</si>
  <si>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</si>
  <si>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</si>
  <si>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</si>
  <si>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</si>
  <si>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</si>
  <si>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</si>
  <si>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</si>
  <si>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</si>
  <si>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</si>
  <si>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</si>
  <si>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</si>
  <si>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</si>
  <si>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</si>
  <si>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</si>
  <si>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</si>
  <si>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</si>
  <si>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</si>
  <si>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</si>
  <si>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</si>
  <si>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</si>
  <si>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</si>
  <si>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</si>
  <si>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</si>
  <si>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</si>
  <si>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</si>
  <si>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</si>
  <si>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</si>
  <si>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</si>
  <si>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</si>
  <si>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</si>
  <si>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</si>
  <si>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</si>
  <si>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</si>
  <si>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</si>
  <si>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</si>
  <si>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</si>
  <si>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</si>
  <si>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</si>
  <si>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</si>
  <si>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</si>
  <si>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</si>
  <si>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</si>
  <si>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</si>
  <si>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</si>
  <si>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</si>
  <si>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</si>
  <si>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</si>
  <si>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</si>
  <si>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</si>
  <si>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</si>
  <si>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</si>
  <si>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</si>
  <si>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</si>
  <si>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</si>
  <si>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</si>
  <si>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</si>
  <si>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</si>
  <si>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</si>
  <si>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</si>
  <si>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</si>
  <si>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</si>
  <si>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</si>
  <si>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</si>
  <si>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</si>
  <si>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</si>
  <si>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</si>
  <si>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</si>
  <si>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</si>
  <si>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</si>
  <si>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</si>
  <si>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</si>
  <si>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</si>
  <si>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</si>
  <si>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</si>
  <si>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</si>
  <si>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</si>
  <si>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</si>
  <si>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</si>
  <si>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</si>
  <si>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</si>
  <si>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</si>
  <si>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</si>
  <si>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</si>
  <si>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</si>
  <si>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</si>
  <si>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</si>
  <si>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</si>
  <si>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</si>
  <si>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</si>
  <si>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</si>
  <si>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</si>
  <si>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</si>
  <si>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</si>
  <si>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</si>
  <si>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</si>
  <si>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</si>
  <si>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</si>
  <si>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</si>
  <si>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</si>
  <si>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</si>
  <si>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</si>
  <si>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</si>
  <si>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</si>
  <si>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</si>
  <si>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</si>
  <si>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</si>
  <si>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</si>
  <si>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</si>
  <si>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</si>
  <si>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</si>
  <si>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</si>
  <si>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</si>
  <si>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</si>
  <si>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</si>
  <si>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</si>
  <si>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</si>
  <si>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</si>
  <si>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</si>
  <si>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</si>
  <si>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</si>
  <si>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</si>
  <si>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</si>
  <si>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</si>
  <si>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</si>
  <si>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</si>
  <si>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</si>
  <si>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</si>
  <si>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</si>
  <si>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</si>
  <si>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</si>
  <si>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</si>
  <si>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</si>
  <si>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</si>
  <si>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</si>
  <si>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</si>
  <si>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</si>
  <si>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</si>
  <si>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</si>
  <si>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</si>
  <si>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</si>
  <si>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</si>
  <si>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</si>
  <si>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</si>
  <si>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</si>
  <si>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</si>
  <si>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</si>
  <si>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</si>
  <si>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</si>
  <si>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</si>
  <si>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</si>
  <si>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</si>
  <si>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</si>
  <si>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</si>
  <si>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</si>
  <si>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</si>
  <si>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</si>
  <si>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</si>
  <si>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</si>
  <si>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</si>
  <si>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</si>
  <si>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</si>
  <si>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</si>
  <si>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</si>
  <si>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</si>
  <si>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</si>
  <si>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</si>
  <si>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</si>
  <si>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</si>
  <si>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</si>
  <si>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</si>
  <si>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</si>
  <si>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</si>
  <si>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</si>
  <si>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</si>
  <si>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</si>
  <si>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</si>
  <si>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</si>
  <si>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</si>
  <si>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</si>
  <si>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</si>
  <si>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</si>
  <si>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</si>
  <si>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</si>
  <si>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</si>
  <si>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</si>
  <si>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</si>
  <si>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</si>
  <si>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</si>
  <si>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</si>
  <si>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</si>
  <si>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</si>
  <si>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</si>
  <si>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</si>
  <si>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</si>
  <si>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</si>
  <si>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</si>
  <si>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</si>
  <si>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</si>
  <si>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</si>
  <si>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</si>
  <si>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</si>
  <si>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</si>
  <si>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</si>
  <si>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</si>
  <si>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</si>
  <si>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</si>
  <si>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</si>
  <si>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</si>
  <si>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</si>
  <si>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</si>
  <si>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</si>
  <si>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</si>
  <si>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</si>
  <si>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</si>
  <si>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</si>
  <si>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</si>
  <si>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</si>
  <si>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</si>
  <si>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</si>
  <si>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</si>
  <si>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</si>
  <si>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</si>
  <si>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</si>
  <si>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</si>
  <si>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</si>
  <si>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</si>
  <si>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</si>
  <si>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</si>
  <si>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</si>
  <si>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</si>
  <si>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</si>
  <si>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</si>
  <si>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</si>
  <si>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</si>
  <si>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</si>
  <si>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</si>
  <si>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</si>
  <si>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</si>
  <si>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</si>
  <si>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</si>
  <si>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</si>
  <si>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</si>
  <si>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</si>
  <si>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</si>
  <si>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</si>
  <si>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</si>
  <si>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</si>
  <si>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</si>
  <si>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</si>
  <si>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</si>
  <si>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</si>
  <si>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</si>
  <si>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</si>
  <si>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</si>
  <si>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</si>
  <si>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</si>
  <si>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</si>
  <si>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</si>
  <si>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</si>
  <si>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</si>
  <si>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</si>
  <si>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</si>
  <si>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</si>
  <si>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</si>
  <si>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</si>
  <si>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</si>
  <si>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</si>
  <si>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</si>
  <si>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</si>
  <si>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</si>
  <si>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</si>
  <si>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</si>
  <si>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</si>
  <si>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</si>
  <si>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</si>
  <si>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</si>
  <si>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</si>
  <si>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</si>
  <si>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</si>
  <si>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</si>
  <si>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</si>
  <si>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</si>
  <si>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</si>
  <si>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</si>
  <si>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</si>
  <si>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</si>
  <si>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</si>
  <si>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</si>
  <si>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</si>
  <si>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</si>
  <si>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</si>
  <si>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</si>
  <si>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</si>
  <si>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</si>
  <si>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</si>
  <si>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</si>
  <si>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</si>
  <si>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</si>
  <si>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</si>
  <si>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</si>
  <si>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</si>
  <si>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</si>
  <si>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</si>
  <si>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</si>
  <si>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</si>
  <si>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</si>
  <si>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</si>
  <si>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</si>
  <si>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</si>
  <si>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</si>
  <si>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</si>
  <si>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</si>
  <si>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</si>
  <si>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</si>
  <si>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</si>
  <si>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</si>
  <si>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</si>
  <si>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</si>
  <si>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</si>
  <si>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</si>
  <si>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</si>
  <si>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</si>
  <si>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</si>
  <si>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</si>
  <si>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</si>
  <si>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</si>
  <si>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</si>
  <si>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</si>
  <si>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</si>
  <si>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</si>
  <si>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</si>
  <si>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</si>
  <si>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</si>
  <si>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</si>
  <si>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</si>
  <si>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</si>
  <si>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</si>
  <si>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</si>
  <si>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</si>
  <si>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</si>
  <si>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</si>
  <si>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</si>
  <si>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</si>
  <si>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</si>
  <si>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</si>
  <si>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</si>
  <si>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</si>
  <si>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</si>
  <si>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</si>
  <si>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</si>
  <si>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</si>
  <si>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</si>
  <si>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</si>
  <si>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</si>
  <si>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</si>
  <si>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</si>
  <si>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</si>
  <si>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</si>
  <si>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</si>
  <si>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</si>
  <si>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</si>
  <si>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</si>
  <si>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</si>
  <si>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</si>
  <si>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</si>
  <si>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</si>
  <si>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34041</t>
  </si>
  <si>
    <t>WEVELGEM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</si>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</sst>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208678.54533162247</c:v>
                </c:pt>
                <c:pt idx="1">
                  <c:v>98643.217880958953</c:v>
                </c:pt>
                <c:pt idx="2">
                  <c:v>2528.4989999999998</c:v>
                </c:pt>
                <c:pt idx="3">
                  <c:v>12800.488728228273</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208678.54533162247</c:v>
                </c:pt>
                <c:pt idx="1">
                  <c:v>98643.217880958953</c:v>
                </c:pt>
                <c:pt idx="2">
                  <c:v>2528.4989999999998</c:v>
                </c:pt>
                <c:pt idx="3">
                  <c:v>12800.488728228273</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38744.571217435463</c:v>
                </c:pt>
                <c:pt idx="2">
                  <c:v>19761.047606359421</c:v>
                </c:pt>
                <c:pt idx="3">
                  <c:v>510.75242870041154</c:v>
                </c:pt>
                <c:pt idx="4">
                  <c:v>3228.2689845811924</c:v>
                </c:pt>
                <c:pt idx="5">
                  <c:v>62246.688398886792</c:v>
                </c:pt>
                <c:pt idx="6">
                  <c:v>62732.60373537377</c:v>
                </c:pt>
                <c:pt idx="7">
                  <c:v>361.66888849748563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38744.571217435463</c:v>
                </c:pt>
                <c:pt idx="2">
                  <c:v>19761.047606359421</c:v>
                </c:pt>
                <c:pt idx="3">
                  <c:v>510.75242870041154</c:v>
                </c:pt>
                <c:pt idx="4">
                  <c:v>3228.2689845811924</c:v>
                </c:pt>
                <c:pt idx="5">
                  <c:v>62246.688398886792</c:v>
                </c:pt>
                <c:pt idx="6">
                  <c:v>62732.60373537377</c:v>
                </c:pt>
                <c:pt idx="7">
                  <c:v>361.66888849748563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34041</v>
      </c>
      <c r="B6" s="416"/>
      <c r="C6" s="417"/>
    </row>
    <row r="7" spans="1:7" s="414" customFormat="1" ht="15.75" customHeight="1">
      <c r="A7" s="418" t="str">
        <f>txtMunicipality</f>
        <v>WEVELGEM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46991.730586206904</v>
      </c>
      <c r="D10" s="1025">
        <f ca="1">tertiair!C16</f>
        <v>0</v>
      </c>
      <c r="E10" s="1025">
        <f ca="1">tertiair!D16</f>
        <v>44601.72403849804</v>
      </c>
      <c r="F10" s="1025">
        <f>tertiair!E16</f>
        <v>450.96183533484862</v>
      </c>
      <c r="G10" s="1025">
        <f ca="1">tertiair!F16</f>
        <v>6245.8242207855856</v>
      </c>
      <c r="H10" s="1025">
        <f>tertiair!G16</f>
        <v>0</v>
      </c>
      <c r="I10" s="1025">
        <f>tertiair!H16</f>
        <v>0</v>
      </c>
      <c r="J10" s="1025">
        <f>tertiair!I16</f>
        <v>0</v>
      </c>
      <c r="K10" s="1025">
        <f>tertiair!J16</f>
        <v>0</v>
      </c>
      <c r="L10" s="1025">
        <f>tertiair!K16</f>
        <v>0</v>
      </c>
      <c r="M10" s="1025">
        <f ca="1">tertiair!L16</f>
        <v>0</v>
      </c>
      <c r="N10" s="1025">
        <f>tertiair!M16</f>
        <v>0</v>
      </c>
      <c r="O10" s="1025">
        <f ca="1">tertiair!N16</f>
        <v>2724.2528668002296</v>
      </c>
      <c r="P10" s="1025">
        <f>tertiair!O16</f>
        <v>4.6900000000000004</v>
      </c>
      <c r="Q10" s="1026">
        <f>tertiair!P16</f>
        <v>152.53333333333333</v>
      </c>
      <c r="R10" s="701">
        <f ca="1">SUM(C10:Q10)</f>
        <v>101171.71688095895</v>
      </c>
      <c r="S10" s="67"/>
    </row>
    <row r="11" spans="1:19" s="474" customFormat="1">
      <c r="A11" s="810" t="s">
        <v>225</v>
      </c>
      <c r="B11" s="815"/>
      <c r="C11" s="1025">
        <f>huishoudens!B8</f>
        <v>51487.982114976745</v>
      </c>
      <c r="D11" s="1025">
        <f>huishoudens!C8</f>
        <v>0</v>
      </c>
      <c r="E11" s="1025">
        <f>huishoudens!D8</f>
        <v>128826.47290189742</v>
      </c>
      <c r="F11" s="1025">
        <f>huishoudens!E8</f>
        <v>6023.532843119543</v>
      </c>
      <c r="G11" s="1025">
        <f>huishoudens!F8</f>
        <v>0</v>
      </c>
      <c r="H11" s="1025">
        <f>huishoudens!G8</f>
        <v>0</v>
      </c>
      <c r="I11" s="1025">
        <f>huishoudens!H8</f>
        <v>0</v>
      </c>
      <c r="J11" s="1025">
        <f>huishoudens!I8</f>
        <v>0</v>
      </c>
      <c r="K11" s="1025">
        <f>huishoudens!J8</f>
        <v>2694.3455394280149</v>
      </c>
      <c r="L11" s="1025">
        <f>huishoudens!K8</f>
        <v>0</v>
      </c>
      <c r="M11" s="1025">
        <f>huishoudens!L8</f>
        <v>0</v>
      </c>
      <c r="N11" s="1025">
        <f>huishoudens!M8</f>
        <v>0</v>
      </c>
      <c r="O11" s="1025">
        <f>huishoudens!N8</f>
        <v>18567.415265534109</v>
      </c>
      <c r="P11" s="1025">
        <f>huishoudens!O8</f>
        <v>392.3966666666667</v>
      </c>
      <c r="Q11" s="1026">
        <f>huishoudens!P8</f>
        <v>686.4</v>
      </c>
      <c r="R11" s="701">
        <f>SUM(C11:Q11)</f>
        <v>208678.54533162247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80473.368564471559</v>
      </c>
      <c r="D13" s="1025">
        <f>industrie!C18</f>
        <v>0</v>
      </c>
      <c r="E13" s="1025">
        <f>industrie!D18</f>
        <v>149205.61796776732</v>
      </c>
      <c r="F13" s="1025">
        <f>industrie!E18</f>
        <v>6979.9503336382168</v>
      </c>
      <c r="G13" s="1025">
        <f>industrie!F18</f>
        <v>49524.068110622429</v>
      </c>
      <c r="H13" s="1025">
        <f>industrie!G18</f>
        <v>0</v>
      </c>
      <c r="I13" s="1025">
        <f>industrie!H18</f>
        <v>0</v>
      </c>
      <c r="J13" s="1025">
        <f>industrie!I18</f>
        <v>0</v>
      </c>
      <c r="K13" s="1025">
        <f>industrie!J18</f>
        <v>2949.9922818650493</v>
      </c>
      <c r="L13" s="1025">
        <f>industrie!K18</f>
        <v>0</v>
      </c>
      <c r="M13" s="1025">
        <f>industrie!L18</f>
        <v>0</v>
      </c>
      <c r="N13" s="1025">
        <f>industrie!M18</f>
        <v>0</v>
      </c>
      <c r="O13" s="1025">
        <f>industrie!N18</f>
        <v>15582.493646943507</v>
      </c>
      <c r="P13" s="1025">
        <f>industrie!O18</f>
        <v>0</v>
      </c>
      <c r="Q13" s="1026">
        <f>industrie!P18</f>
        <v>0</v>
      </c>
      <c r="R13" s="701">
        <f>SUM(C13:Q13)</f>
        <v>304715.49090530811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178953.08126565523</v>
      </c>
      <c r="D16" s="733">
        <f t="shared" ref="D16:R16" ca="1" si="0">SUM(D9:D15)</f>
        <v>0</v>
      </c>
      <c r="E16" s="733">
        <f t="shared" ca="1" si="0"/>
        <v>322633.81490816281</v>
      </c>
      <c r="F16" s="733">
        <f t="shared" si="0"/>
        <v>13454.445012092609</v>
      </c>
      <c r="G16" s="733">
        <f t="shared" ca="1" si="0"/>
        <v>55769.892331408017</v>
      </c>
      <c r="H16" s="733">
        <f t="shared" si="0"/>
        <v>0</v>
      </c>
      <c r="I16" s="733">
        <f t="shared" si="0"/>
        <v>0</v>
      </c>
      <c r="J16" s="733">
        <f t="shared" si="0"/>
        <v>0</v>
      </c>
      <c r="K16" s="733">
        <f t="shared" si="0"/>
        <v>5644.3378212930638</v>
      </c>
      <c r="L16" s="733">
        <f t="shared" si="0"/>
        <v>0</v>
      </c>
      <c r="M16" s="733">
        <f t="shared" ca="1" si="0"/>
        <v>0</v>
      </c>
      <c r="N16" s="733">
        <f t="shared" si="0"/>
        <v>0</v>
      </c>
      <c r="O16" s="733">
        <f t="shared" ca="1" si="0"/>
        <v>36874.161779277849</v>
      </c>
      <c r="P16" s="733">
        <f t="shared" si="0"/>
        <v>397.0866666666667</v>
      </c>
      <c r="Q16" s="733">
        <f t="shared" si="0"/>
        <v>838.93333333333328</v>
      </c>
      <c r="R16" s="733">
        <f t="shared" ca="1" si="0"/>
        <v>614565.75311788952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1354.5651254587476</v>
      </c>
      <c r="I19" s="1025">
        <f>transport!H54</f>
        <v>0</v>
      </c>
      <c r="J19" s="1025">
        <f>transport!I54</f>
        <v>0</v>
      </c>
      <c r="K19" s="1025">
        <f>transport!J54</f>
        <v>0</v>
      </c>
      <c r="L19" s="1025">
        <f>transport!K54</f>
        <v>0</v>
      </c>
      <c r="M19" s="1025">
        <f>transport!L54</f>
        <v>0</v>
      </c>
      <c r="N19" s="1025">
        <f>transport!M54</f>
        <v>77.246900334260062</v>
      </c>
      <c r="O19" s="1025">
        <f>transport!N54</f>
        <v>0</v>
      </c>
      <c r="P19" s="1025">
        <f>transport!O54</f>
        <v>0</v>
      </c>
      <c r="Q19" s="1026">
        <f>transport!P54</f>
        <v>0</v>
      </c>
      <c r="R19" s="701">
        <f>SUM(C19:Q19)</f>
        <v>1431.8120257930077</v>
      </c>
      <c r="S19" s="67"/>
    </row>
    <row r="20" spans="1:19" s="474" customFormat="1">
      <c r="A20" s="810" t="s">
        <v>307</v>
      </c>
      <c r="B20" s="815"/>
      <c r="C20" s="1025">
        <f>transport!B14</f>
        <v>31.224246128370257</v>
      </c>
      <c r="D20" s="1025">
        <f>transport!C14</f>
        <v>0</v>
      </c>
      <c r="E20" s="1025">
        <f>transport!D14</f>
        <v>86.249747608264684</v>
      </c>
      <c r="F20" s="1025">
        <f>transport!E14</f>
        <v>626.74974454869175</v>
      </c>
      <c r="G20" s="1025">
        <f>transport!F14</f>
        <v>0</v>
      </c>
      <c r="H20" s="1025">
        <f>transport!G14</f>
        <v>203222.30483987581</v>
      </c>
      <c r="I20" s="1025">
        <f>transport!H14</f>
        <v>33358.419511388463</v>
      </c>
      <c r="J20" s="1025">
        <f>transport!I14</f>
        <v>0</v>
      </c>
      <c r="K20" s="1025">
        <f>transport!J14</f>
        <v>0</v>
      </c>
      <c r="L20" s="1025">
        <f>transport!K14</f>
        <v>0</v>
      </c>
      <c r="M20" s="1025">
        <f>transport!L14</f>
        <v>0</v>
      </c>
      <c r="N20" s="1025">
        <f>transport!M14</f>
        <v>12782.373114439626</v>
      </c>
      <c r="O20" s="1025">
        <f>transport!N14</f>
        <v>0</v>
      </c>
      <c r="P20" s="1025">
        <f>transport!O14</f>
        <v>0</v>
      </c>
      <c r="Q20" s="1026">
        <f>transport!P14</f>
        <v>0</v>
      </c>
      <c r="R20" s="701">
        <f>SUM(C20:Q20)</f>
        <v>250107.32120398924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31.224246128370257</v>
      </c>
      <c r="D22" s="813">
        <f t="shared" ref="D22:R22" si="1">SUM(D18:D21)</f>
        <v>0</v>
      </c>
      <c r="E22" s="813">
        <f t="shared" si="1"/>
        <v>86.249747608264684</v>
      </c>
      <c r="F22" s="813">
        <f t="shared" si="1"/>
        <v>626.74974454869175</v>
      </c>
      <c r="G22" s="813">
        <f t="shared" si="1"/>
        <v>0</v>
      </c>
      <c r="H22" s="813">
        <f t="shared" si="1"/>
        <v>204576.86996533457</v>
      </c>
      <c r="I22" s="813">
        <f t="shared" si="1"/>
        <v>33358.419511388463</v>
      </c>
      <c r="J22" s="813">
        <f t="shared" si="1"/>
        <v>0</v>
      </c>
      <c r="K22" s="813">
        <f t="shared" si="1"/>
        <v>0</v>
      </c>
      <c r="L22" s="813">
        <f t="shared" si="1"/>
        <v>0</v>
      </c>
      <c r="M22" s="813">
        <f t="shared" si="1"/>
        <v>0</v>
      </c>
      <c r="N22" s="813">
        <f t="shared" si="1"/>
        <v>12859.620014773885</v>
      </c>
      <c r="O22" s="813">
        <f t="shared" si="1"/>
        <v>0</v>
      </c>
      <c r="P22" s="813">
        <f t="shared" si="1"/>
        <v>0</v>
      </c>
      <c r="Q22" s="813">
        <f t="shared" si="1"/>
        <v>0</v>
      </c>
      <c r="R22" s="813">
        <f t="shared" si="1"/>
        <v>251539.13322978225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3409.7559999999999</v>
      </c>
      <c r="D24" s="1025">
        <f>+landbouw!C8</f>
        <v>0</v>
      </c>
      <c r="E24" s="1025">
        <f>+landbouw!D8</f>
        <v>185.1959623797521</v>
      </c>
      <c r="F24" s="1025">
        <f>+landbouw!E8</f>
        <v>31.582588209089906</v>
      </c>
      <c r="G24" s="1025">
        <f>+landbouw!F8</f>
        <v>8651.2005298514086</v>
      </c>
      <c r="H24" s="1025">
        <f>+landbouw!G8</f>
        <v>0</v>
      </c>
      <c r="I24" s="1025">
        <f>+landbouw!H8</f>
        <v>0</v>
      </c>
      <c r="J24" s="1025">
        <f>+landbouw!I8</f>
        <v>0</v>
      </c>
      <c r="K24" s="1025">
        <f>+landbouw!J8</f>
        <v>522.75364778802123</v>
      </c>
      <c r="L24" s="1025">
        <f>+landbouw!K8</f>
        <v>0</v>
      </c>
      <c r="M24" s="1025">
        <f>+landbouw!L8</f>
        <v>0</v>
      </c>
      <c r="N24" s="1025">
        <f>+landbouw!M8</f>
        <v>0</v>
      </c>
      <c r="O24" s="1025">
        <f>+landbouw!N8</f>
        <v>0</v>
      </c>
      <c r="P24" s="1025">
        <f>+landbouw!O8</f>
        <v>0</v>
      </c>
      <c r="Q24" s="1026">
        <f>+landbouw!P8</f>
        <v>0</v>
      </c>
      <c r="R24" s="701">
        <f>SUM(C24:Q24)</f>
        <v>12800.488728228273</v>
      </c>
      <c r="S24" s="67"/>
    </row>
    <row r="25" spans="1:19" s="474" customFormat="1" ht="15" thickBot="1">
      <c r="A25" s="832" t="s">
        <v>864</v>
      </c>
      <c r="B25" s="1028"/>
      <c r="C25" s="1029">
        <f>IF(Onbekend_ele_kWh="---",0,Onbekend_ele_kWh)/1000+IF(REST_rest_ele_kWh="---",0,REST_rest_ele_kWh)/1000</f>
        <v>1528.1189999999999</v>
      </c>
      <c r="D25" s="1029"/>
      <c r="E25" s="1029">
        <f>IF(onbekend_gas_kWh="---",0,onbekend_gas_kWh)/1000+IF(REST_rest_gas_kWh="---",0,REST_rest_gas_kWh)/1000</f>
        <v>4250.1139394486308</v>
      </c>
      <c r="F25" s="1029"/>
      <c r="G25" s="1029"/>
      <c r="H25" s="1029"/>
      <c r="I25" s="1029"/>
      <c r="J25" s="1029"/>
      <c r="K25" s="1029"/>
      <c r="L25" s="1029"/>
      <c r="M25" s="1029"/>
      <c r="N25" s="1029"/>
      <c r="O25" s="1029"/>
      <c r="P25" s="1029"/>
      <c r="Q25" s="1030"/>
      <c r="R25" s="701">
        <f>SUM(C25:Q25)</f>
        <v>5778.2329394486305</v>
      </c>
      <c r="S25" s="67"/>
    </row>
    <row r="26" spans="1:19" s="474" customFormat="1" ht="15.75" thickBot="1">
      <c r="A26" s="706" t="s">
        <v>865</v>
      </c>
      <c r="B26" s="818"/>
      <c r="C26" s="813">
        <f>SUM(C24:C25)</f>
        <v>4937.875</v>
      </c>
      <c r="D26" s="813">
        <f t="shared" ref="D26:R26" si="2">SUM(D24:D25)</f>
        <v>0</v>
      </c>
      <c r="E26" s="813">
        <f t="shared" si="2"/>
        <v>4435.3099018283829</v>
      </c>
      <c r="F26" s="813">
        <f t="shared" si="2"/>
        <v>31.582588209089906</v>
      </c>
      <c r="G26" s="813">
        <f t="shared" si="2"/>
        <v>8651.2005298514086</v>
      </c>
      <c r="H26" s="813">
        <f t="shared" si="2"/>
        <v>0</v>
      </c>
      <c r="I26" s="813">
        <f t="shared" si="2"/>
        <v>0</v>
      </c>
      <c r="J26" s="813">
        <f t="shared" si="2"/>
        <v>0</v>
      </c>
      <c r="K26" s="813">
        <f t="shared" si="2"/>
        <v>522.75364778802123</v>
      </c>
      <c r="L26" s="813">
        <f t="shared" si="2"/>
        <v>0</v>
      </c>
      <c r="M26" s="813">
        <f t="shared" si="2"/>
        <v>0</v>
      </c>
      <c r="N26" s="813">
        <f t="shared" si="2"/>
        <v>0</v>
      </c>
      <c r="O26" s="813">
        <f t="shared" si="2"/>
        <v>0</v>
      </c>
      <c r="P26" s="813">
        <f t="shared" si="2"/>
        <v>0</v>
      </c>
      <c r="Q26" s="813">
        <f t="shared" si="2"/>
        <v>0</v>
      </c>
      <c r="R26" s="813">
        <f t="shared" si="2"/>
        <v>18578.721667676902</v>
      </c>
      <c r="S26" s="67"/>
    </row>
    <row r="27" spans="1:19" s="474" customFormat="1" ht="17.25" thickTop="1" thickBot="1">
      <c r="A27" s="707" t="s">
        <v>116</v>
      </c>
      <c r="B27" s="806"/>
      <c r="C27" s="708">
        <f ca="1">C22+C16+C26</f>
        <v>183922.1805117836</v>
      </c>
      <c r="D27" s="708">
        <f t="shared" ref="D27:R27" ca="1" si="3">D22+D16+D26</f>
        <v>0</v>
      </c>
      <c r="E27" s="708">
        <f t="shared" ca="1" si="3"/>
        <v>327155.37455759943</v>
      </c>
      <c r="F27" s="708">
        <f t="shared" si="3"/>
        <v>14112.77734485039</v>
      </c>
      <c r="G27" s="708">
        <f t="shared" ca="1" si="3"/>
        <v>64421.092861259429</v>
      </c>
      <c r="H27" s="708">
        <f t="shared" si="3"/>
        <v>204576.86996533457</v>
      </c>
      <c r="I27" s="708">
        <f t="shared" si="3"/>
        <v>33358.419511388463</v>
      </c>
      <c r="J27" s="708">
        <f t="shared" si="3"/>
        <v>0</v>
      </c>
      <c r="K27" s="708">
        <f t="shared" si="3"/>
        <v>6167.0914690810851</v>
      </c>
      <c r="L27" s="708">
        <f t="shared" si="3"/>
        <v>0</v>
      </c>
      <c r="M27" s="708">
        <f t="shared" ca="1" si="3"/>
        <v>0</v>
      </c>
      <c r="N27" s="708">
        <f t="shared" si="3"/>
        <v>12859.620014773885</v>
      </c>
      <c r="O27" s="708">
        <f t="shared" ca="1" si="3"/>
        <v>36874.161779277849</v>
      </c>
      <c r="P27" s="708">
        <f t="shared" si="3"/>
        <v>397.0866666666667</v>
      </c>
      <c r="Q27" s="708">
        <f t="shared" si="3"/>
        <v>838.93333333333328</v>
      </c>
      <c r="R27" s="708">
        <f t="shared" ca="1" si="3"/>
        <v>884683.60801534867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9492.2483757124646</v>
      </c>
      <c r="D40" s="1025">
        <f ca="1">tertiair!C20</f>
        <v>0</v>
      </c>
      <c r="E40" s="1025">
        <f ca="1">tertiair!D20</f>
        <v>9009.5482557766045</v>
      </c>
      <c r="F40" s="1025">
        <f>tertiair!E20</f>
        <v>102.36833662101064</v>
      </c>
      <c r="G40" s="1025">
        <f ca="1">tertiair!F20</f>
        <v>1667.6350669497515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20271.80003505983</v>
      </c>
    </row>
    <row r="41" spans="1:18">
      <c r="A41" s="823" t="s">
        <v>225</v>
      </c>
      <c r="B41" s="830"/>
      <c r="C41" s="1025">
        <f ca="1">huishoudens!B12</f>
        <v>10400.483414906523</v>
      </c>
      <c r="D41" s="1025">
        <f ca="1">huishoudens!C12</f>
        <v>0</v>
      </c>
      <c r="E41" s="1025">
        <f>huishoudens!D12</f>
        <v>26022.947526183281</v>
      </c>
      <c r="F41" s="1025">
        <f>huishoudens!E12</f>
        <v>1367.3419553881363</v>
      </c>
      <c r="G41" s="1025">
        <f>huishoudens!F12</f>
        <v>0</v>
      </c>
      <c r="H41" s="1025">
        <f>huishoudens!G12</f>
        <v>0</v>
      </c>
      <c r="I41" s="1025">
        <f>huishoudens!H12</f>
        <v>0</v>
      </c>
      <c r="J41" s="1025">
        <f>huishoudens!I12</f>
        <v>0</v>
      </c>
      <c r="K41" s="1025">
        <f>huishoudens!J12</f>
        <v>953.79832095751726</v>
      </c>
      <c r="L41" s="1025">
        <f>huishoudens!K12</f>
        <v>0</v>
      </c>
      <c r="M41" s="1025">
        <f>huishoudens!L12</f>
        <v>0</v>
      </c>
      <c r="N41" s="1025">
        <f>huishoudens!M12</f>
        <v>0</v>
      </c>
      <c r="O41" s="1025">
        <f>huishoudens!N12</f>
        <v>0</v>
      </c>
      <c r="P41" s="1025">
        <f>huishoudens!O12</f>
        <v>0</v>
      </c>
      <c r="Q41" s="775">
        <f>huishoudens!P12</f>
        <v>0</v>
      </c>
      <c r="R41" s="851">
        <f t="shared" ca="1" si="4"/>
        <v>38744.571217435463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16255.4813903455</v>
      </c>
      <c r="D43" s="1025">
        <f ca="1">industrie!C22</f>
        <v>0</v>
      </c>
      <c r="E43" s="1025">
        <f>industrie!D22</f>
        <v>30139.534829488999</v>
      </c>
      <c r="F43" s="1025">
        <f>industrie!E22</f>
        <v>1584.4487257358753</v>
      </c>
      <c r="G43" s="1025">
        <f>industrie!F22</f>
        <v>13222.926185536189</v>
      </c>
      <c r="H43" s="1025">
        <f>industrie!G22</f>
        <v>0</v>
      </c>
      <c r="I43" s="1025">
        <f>industrie!H22</f>
        <v>0</v>
      </c>
      <c r="J43" s="1025">
        <f>industrie!I22</f>
        <v>0</v>
      </c>
      <c r="K43" s="1025">
        <f>industrie!J22</f>
        <v>1044.2972677802275</v>
      </c>
      <c r="L43" s="1025">
        <f>industrie!K22</f>
        <v>0</v>
      </c>
      <c r="M43" s="1025">
        <f>industrie!L22</f>
        <v>0</v>
      </c>
      <c r="N43" s="1025">
        <f>industrie!M22</f>
        <v>0</v>
      </c>
      <c r="O43" s="1025">
        <f>industrie!N22</f>
        <v>0</v>
      </c>
      <c r="P43" s="1025">
        <f>industrie!O22</f>
        <v>0</v>
      </c>
      <c r="Q43" s="775">
        <f>industrie!P22</f>
        <v>0</v>
      </c>
      <c r="R43" s="850">
        <f t="shared" ca="1" si="4"/>
        <v>62246.688398886792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36148.213180964485</v>
      </c>
      <c r="D46" s="733">
        <f t="shared" ref="D46:Q46" ca="1" si="5">SUM(D39:D45)</f>
        <v>0</v>
      </c>
      <c r="E46" s="733">
        <f t="shared" ca="1" si="5"/>
        <v>65172.030611448885</v>
      </c>
      <c r="F46" s="733">
        <f t="shared" si="5"/>
        <v>3054.1590177450225</v>
      </c>
      <c r="G46" s="733">
        <f t="shared" ca="1" si="5"/>
        <v>14890.561252485941</v>
      </c>
      <c r="H46" s="733">
        <f t="shared" si="5"/>
        <v>0</v>
      </c>
      <c r="I46" s="733">
        <f t="shared" si="5"/>
        <v>0</v>
      </c>
      <c r="J46" s="733">
        <f t="shared" si="5"/>
        <v>0</v>
      </c>
      <c r="K46" s="733">
        <f t="shared" si="5"/>
        <v>1998.0955887377447</v>
      </c>
      <c r="L46" s="733">
        <f t="shared" si="5"/>
        <v>0</v>
      </c>
      <c r="M46" s="733">
        <f t="shared" ca="1" si="5"/>
        <v>0</v>
      </c>
      <c r="N46" s="733">
        <f t="shared" si="5"/>
        <v>0</v>
      </c>
      <c r="O46" s="733">
        <f t="shared" ca="1" si="5"/>
        <v>0</v>
      </c>
      <c r="P46" s="733">
        <f t="shared" si="5"/>
        <v>0</v>
      </c>
      <c r="Q46" s="733">
        <f t="shared" si="5"/>
        <v>0</v>
      </c>
      <c r="R46" s="733">
        <f ca="1">SUM(R39:R45)</f>
        <v>121263.05965138209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361.66888849748563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361.66888849748563</v>
      </c>
    </row>
    <row r="50" spans="1:18">
      <c r="A50" s="826" t="s">
        <v>307</v>
      </c>
      <c r="B50" s="836"/>
      <c r="C50" s="704">
        <f ca="1">transport!B18</f>
        <v>6.3072437617750818</v>
      </c>
      <c r="D50" s="704">
        <f>transport!C18</f>
        <v>0</v>
      </c>
      <c r="E50" s="704">
        <f>transport!D18</f>
        <v>17.422449016869468</v>
      </c>
      <c r="F50" s="704">
        <f>transport!E18</f>
        <v>142.27219201255303</v>
      </c>
      <c r="G50" s="704">
        <f>transport!F18</f>
        <v>0</v>
      </c>
      <c r="H50" s="704">
        <f>transport!G18</f>
        <v>54260.355392246842</v>
      </c>
      <c r="I50" s="704">
        <f>transport!H18</f>
        <v>8306.2464583357269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62732.60373537377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6.3072437617750818</v>
      </c>
      <c r="D52" s="733">
        <f t="shared" ref="D52:Q52" ca="1" si="6">SUM(D48:D51)</f>
        <v>0</v>
      </c>
      <c r="E52" s="733">
        <f t="shared" si="6"/>
        <v>17.422449016869468</v>
      </c>
      <c r="F52" s="733">
        <f t="shared" si="6"/>
        <v>142.27219201255303</v>
      </c>
      <c r="G52" s="733">
        <f t="shared" si="6"/>
        <v>0</v>
      </c>
      <c r="H52" s="733">
        <f t="shared" si="6"/>
        <v>54622.024280744328</v>
      </c>
      <c r="I52" s="733">
        <f t="shared" si="6"/>
        <v>8306.2464583357269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63094.272623871257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688.76481986973329</v>
      </c>
      <c r="D54" s="704">
        <f ca="1">+landbouw!C12</f>
        <v>0</v>
      </c>
      <c r="E54" s="704">
        <f>+landbouw!D12</f>
        <v>37.409584400709925</v>
      </c>
      <c r="F54" s="704">
        <f>+landbouw!E12</f>
        <v>7.169247523463409</v>
      </c>
      <c r="G54" s="704">
        <f>+landbouw!F12</f>
        <v>2309.8705414703263</v>
      </c>
      <c r="H54" s="704">
        <f>+landbouw!G12</f>
        <v>0</v>
      </c>
      <c r="I54" s="704">
        <f>+landbouw!H12</f>
        <v>0</v>
      </c>
      <c r="J54" s="704">
        <f>+landbouw!I12</f>
        <v>0</v>
      </c>
      <c r="K54" s="704">
        <f>+landbouw!J12</f>
        <v>185.05479131695949</v>
      </c>
      <c r="L54" s="704">
        <f>+landbouw!K12</f>
        <v>0</v>
      </c>
      <c r="M54" s="704">
        <f>+landbouw!L12</f>
        <v>0</v>
      </c>
      <c r="N54" s="704">
        <f>+landbouw!M12</f>
        <v>0</v>
      </c>
      <c r="O54" s="704">
        <f>+landbouw!N12</f>
        <v>0</v>
      </c>
      <c r="P54" s="704">
        <f>+landbouw!O12</f>
        <v>0</v>
      </c>
      <c r="Q54" s="705">
        <f>+landbouw!P12</f>
        <v>0</v>
      </c>
      <c r="R54" s="732">
        <f ca="1">SUM(C54:Q54)</f>
        <v>3228.2689845811924</v>
      </c>
    </row>
    <row r="55" spans="1:18" ht="15" thickBot="1">
      <c r="A55" s="826" t="s">
        <v>864</v>
      </c>
      <c r="B55" s="836"/>
      <c r="C55" s="704">
        <f ca="1">C25*'EF ele_warmte'!B12</f>
        <v>308.67739737814577</v>
      </c>
      <c r="D55" s="704"/>
      <c r="E55" s="704">
        <f>E25*EF_CO2_aardgas</f>
        <v>858.52301576862351</v>
      </c>
      <c r="F55" s="704"/>
      <c r="G55" s="704"/>
      <c r="H55" s="704"/>
      <c r="I55" s="704"/>
      <c r="J55" s="704"/>
      <c r="K55" s="704"/>
      <c r="L55" s="704"/>
      <c r="M55" s="704"/>
      <c r="N55" s="704"/>
      <c r="O55" s="704"/>
      <c r="P55" s="704"/>
      <c r="Q55" s="705"/>
      <c r="R55" s="732">
        <f ca="1">SUM(C55:Q55)</f>
        <v>1167.2004131467693</v>
      </c>
    </row>
    <row r="56" spans="1:18" ht="15.75" thickBot="1">
      <c r="A56" s="824" t="s">
        <v>865</v>
      </c>
      <c r="B56" s="837"/>
      <c r="C56" s="733">
        <f ca="1">SUM(C54:C55)</f>
        <v>997.44221724787906</v>
      </c>
      <c r="D56" s="733">
        <f t="shared" ref="D56:Q56" ca="1" si="7">SUM(D54:D55)</f>
        <v>0</v>
      </c>
      <c r="E56" s="733">
        <f t="shared" si="7"/>
        <v>895.93260016933345</v>
      </c>
      <c r="F56" s="733">
        <f t="shared" si="7"/>
        <v>7.169247523463409</v>
      </c>
      <c r="G56" s="733">
        <f t="shared" si="7"/>
        <v>2309.8705414703263</v>
      </c>
      <c r="H56" s="733">
        <f t="shared" si="7"/>
        <v>0</v>
      </c>
      <c r="I56" s="733">
        <f t="shared" si="7"/>
        <v>0</v>
      </c>
      <c r="J56" s="733">
        <f t="shared" si="7"/>
        <v>0</v>
      </c>
      <c r="K56" s="733">
        <f t="shared" si="7"/>
        <v>185.05479131695949</v>
      </c>
      <c r="L56" s="733">
        <f t="shared" si="7"/>
        <v>0</v>
      </c>
      <c r="M56" s="733">
        <f t="shared" si="7"/>
        <v>0</v>
      </c>
      <c r="N56" s="733">
        <f t="shared" si="7"/>
        <v>0</v>
      </c>
      <c r="O56" s="733">
        <f t="shared" si="7"/>
        <v>0</v>
      </c>
      <c r="P56" s="733">
        <f t="shared" si="7"/>
        <v>0</v>
      </c>
      <c r="Q56" s="734">
        <f t="shared" si="7"/>
        <v>0</v>
      </c>
      <c r="R56" s="735">
        <f ca="1">SUM(R54:R55)</f>
        <v>4395.4693977279621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37151.96264197414</v>
      </c>
      <c r="D61" s="741">
        <f t="shared" ref="D61:Q61" ca="1" si="8">D46+D52+D56</f>
        <v>0</v>
      </c>
      <c r="E61" s="741">
        <f t="shared" ca="1" si="8"/>
        <v>66085.385660635089</v>
      </c>
      <c r="F61" s="741">
        <f t="shared" si="8"/>
        <v>3203.6004572810393</v>
      </c>
      <c r="G61" s="741">
        <f t="shared" ca="1" si="8"/>
        <v>17200.431793956268</v>
      </c>
      <c r="H61" s="741">
        <f t="shared" si="8"/>
        <v>54622.024280744328</v>
      </c>
      <c r="I61" s="741">
        <f t="shared" si="8"/>
        <v>8306.2464583357269</v>
      </c>
      <c r="J61" s="741">
        <f t="shared" si="8"/>
        <v>0</v>
      </c>
      <c r="K61" s="741">
        <f t="shared" si="8"/>
        <v>2183.1503800547043</v>
      </c>
      <c r="L61" s="741">
        <f t="shared" si="8"/>
        <v>0</v>
      </c>
      <c r="M61" s="741">
        <f t="shared" ca="1" si="8"/>
        <v>0</v>
      </c>
      <c r="N61" s="741">
        <f t="shared" si="8"/>
        <v>0</v>
      </c>
      <c r="O61" s="741">
        <f t="shared" ca="1" si="8"/>
        <v>0</v>
      </c>
      <c r="P61" s="741">
        <f t="shared" si="8"/>
        <v>0</v>
      </c>
      <c r="Q61" s="741">
        <f t="shared" si="8"/>
        <v>0</v>
      </c>
      <c r="R61" s="741">
        <f ca="1">R46+R52+R56</f>
        <v>188752.8016729813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0.20199827197891379</v>
      </c>
      <c r="D63" s="782">
        <f t="shared" ca="1" si="9"/>
        <v>0</v>
      </c>
      <c r="E63" s="1036">
        <f t="shared" ca="1" si="9"/>
        <v>0.20200000000000001</v>
      </c>
      <c r="F63" s="782">
        <f t="shared" si="9"/>
        <v>0.22700000000000006</v>
      </c>
      <c r="G63" s="782">
        <f t="shared" ca="1" si="9"/>
        <v>0.26700000000000002</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15813.7522675567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15813.7522675567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51487.982114976745</v>
      </c>
      <c r="C4" s="478">
        <f>huishoudens!C8</f>
        <v>0</v>
      </c>
      <c r="D4" s="478">
        <f>huishoudens!D8</f>
        <v>128826.47290189742</v>
      </c>
      <c r="E4" s="478">
        <f>huishoudens!E8</f>
        <v>6023.532843119543</v>
      </c>
      <c r="F4" s="478">
        <f>huishoudens!F8</f>
        <v>0</v>
      </c>
      <c r="G4" s="478">
        <f>huishoudens!G8</f>
        <v>0</v>
      </c>
      <c r="H4" s="478">
        <f>huishoudens!H8</f>
        <v>0</v>
      </c>
      <c r="I4" s="478">
        <f>huishoudens!I8</f>
        <v>0</v>
      </c>
      <c r="J4" s="478">
        <f>huishoudens!J8</f>
        <v>2694.3455394280149</v>
      </c>
      <c r="K4" s="478">
        <f>huishoudens!K8</f>
        <v>0</v>
      </c>
      <c r="L4" s="478">
        <f>huishoudens!L8</f>
        <v>0</v>
      </c>
      <c r="M4" s="478">
        <f>huishoudens!M8</f>
        <v>0</v>
      </c>
      <c r="N4" s="478">
        <f>huishoudens!N8</f>
        <v>18567.415265534109</v>
      </c>
      <c r="O4" s="478">
        <f>huishoudens!O8</f>
        <v>392.3966666666667</v>
      </c>
      <c r="P4" s="479">
        <f>huishoudens!P8</f>
        <v>686.4</v>
      </c>
      <c r="Q4" s="480">
        <f>SUM(B4:P4)</f>
        <v>208678.54533162247</v>
      </c>
    </row>
    <row r="5" spans="1:17">
      <c r="A5" s="477" t="s">
        <v>156</v>
      </c>
      <c r="B5" s="478">
        <f ca="1">tertiair!B16</f>
        <v>44463.231586206901</v>
      </c>
      <c r="C5" s="478">
        <f ca="1">tertiair!C16</f>
        <v>0</v>
      </c>
      <c r="D5" s="478">
        <f ca="1">tertiair!D16</f>
        <v>44601.72403849804</v>
      </c>
      <c r="E5" s="478">
        <f>tertiair!E16</f>
        <v>450.96183533484862</v>
      </c>
      <c r="F5" s="478">
        <f ca="1">tertiair!F16</f>
        <v>6245.8242207855856</v>
      </c>
      <c r="G5" s="478">
        <f>tertiair!G16</f>
        <v>0</v>
      </c>
      <c r="H5" s="478">
        <f>tertiair!H16</f>
        <v>0</v>
      </c>
      <c r="I5" s="478">
        <f>tertiair!I16</f>
        <v>0</v>
      </c>
      <c r="J5" s="478">
        <f>tertiair!J16</f>
        <v>0</v>
      </c>
      <c r="K5" s="478">
        <f>tertiair!K16</f>
        <v>0</v>
      </c>
      <c r="L5" s="478">
        <f ca="1">tertiair!L16</f>
        <v>0</v>
      </c>
      <c r="M5" s="478">
        <f>tertiair!M16</f>
        <v>0</v>
      </c>
      <c r="N5" s="478">
        <f ca="1">tertiair!N16</f>
        <v>2724.2528668002296</v>
      </c>
      <c r="O5" s="478">
        <f>tertiair!O16</f>
        <v>4.6900000000000004</v>
      </c>
      <c r="P5" s="479">
        <f>tertiair!P16</f>
        <v>152.53333333333333</v>
      </c>
      <c r="Q5" s="477">
        <f t="shared" ref="Q5:Q14" ca="1" si="0">SUM(B5:P5)</f>
        <v>98643.217880958953</v>
      </c>
    </row>
    <row r="6" spans="1:17">
      <c r="A6" s="477" t="s">
        <v>194</v>
      </c>
      <c r="B6" s="478">
        <f>'openbare verlichting'!B8</f>
        <v>2528.4989999999998</v>
      </c>
      <c r="C6" s="478"/>
      <c r="D6" s="478"/>
      <c r="E6" s="478"/>
      <c r="F6" s="478"/>
      <c r="G6" s="478"/>
      <c r="H6" s="478"/>
      <c r="I6" s="478"/>
      <c r="J6" s="478"/>
      <c r="K6" s="478"/>
      <c r="L6" s="478"/>
      <c r="M6" s="478"/>
      <c r="N6" s="478"/>
      <c r="O6" s="478"/>
      <c r="P6" s="479"/>
      <c r="Q6" s="477">
        <f t="shared" si="0"/>
        <v>2528.4989999999998</v>
      </c>
    </row>
    <row r="7" spans="1:17">
      <c r="A7" s="477" t="s">
        <v>112</v>
      </c>
      <c r="B7" s="478">
        <f>landbouw!B8</f>
        <v>3409.7559999999999</v>
      </c>
      <c r="C7" s="478">
        <f>landbouw!C8</f>
        <v>0</v>
      </c>
      <c r="D7" s="478">
        <f>landbouw!D8</f>
        <v>185.1959623797521</v>
      </c>
      <c r="E7" s="478">
        <f>landbouw!E8</f>
        <v>31.582588209089906</v>
      </c>
      <c r="F7" s="478">
        <f>landbouw!F8</f>
        <v>8651.2005298514086</v>
      </c>
      <c r="G7" s="478">
        <f>landbouw!G8</f>
        <v>0</v>
      </c>
      <c r="H7" s="478">
        <f>landbouw!H8</f>
        <v>0</v>
      </c>
      <c r="I7" s="478">
        <f>landbouw!I8</f>
        <v>0</v>
      </c>
      <c r="J7" s="478">
        <f>landbouw!J8</f>
        <v>522.75364778802123</v>
      </c>
      <c r="K7" s="478">
        <f>landbouw!K8</f>
        <v>0</v>
      </c>
      <c r="L7" s="478">
        <f>landbouw!L8</f>
        <v>0</v>
      </c>
      <c r="M7" s="478">
        <f>landbouw!M8</f>
        <v>0</v>
      </c>
      <c r="N7" s="478">
        <f>landbouw!N8</f>
        <v>0</v>
      </c>
      <c r="O7" s="478">
        <f>landbouw!O8</f>
        <v>0</v>
      </c>
      <c r="P7" s="479">
        <f>landbouw!P8</f>
        <v>0</v>
      </c>
      <c r="Q7" s="477">
        <f t="shared" si="0"/>
        <v>12800.488728228273</v>
      </c>
    </row>
    <row r="8" spans="1:17">
      <c r="A8" s="477" t="s">
        <v>650</v>
      </c>
      <c r="B8" s="478">
        <f>industrie!B18</f>
        <v>80473.368564471559</v>
      </c>
      <c r="C8" s="478">
        <f>industrie!C18</f>
        <v>0</v>
      </c>
      <c r="D8" s="478">
        <f>industrie!D18</f>
        <v>149205.61796776732</v>
      </c>
      <c r="E8" s="478">
        <f>industrie!E18</f>
        <v>6979.9503336382168</v>
      </c>
      <c r="F8" s="478">
        <f>industrie!F18</f>
        <v>49524.068110622429</v>
      </c>
      <c r="G8" s="478">
        <f>industrie!G18</f>
        <v>0</v>
      </c>
      <c r="H8" s="478">
        <f>industrie!H18</f>
        <v>0</v>
      </c>
      <c r="I8" s="478">
        <f>industrie!I18</f>
        <v>0</v>
      </c>
      <c r="J8" s="478">
        <f>industrie!J18</f>
        <v>2949.9922818650493</v>
      </c>
      <c r="K8" s="478">
        <f>industrie!K18</f>
        <v>0</v>
      </c>
      <c r="L8" s="478">
        <f>industrie!L18</f>
        <v>0</v>
      </c>
      <c r="M8" s="478">
        <f>industrie!M18</f>
        <v>0</v>
      </c>
      <c r="N8" s="478">
        <f>industrie!N18</f>
        <v>15582.493646943507</v>
      </c>
      <c r="O8" s="478">
        <f>industrie!O18</f>
        <v>0</v>
      </c>
      <c r="P8" s="479">
        <f>industrie!P18</f>
        <v>0</v>
      </c>
      <c r="Q8" s="477">
        <f t="shared" si="0"/>
        <v>304715.49090530811</v>
      </c>
    </row>
    <row r="9" spans="1:17" s="483" customFormat="1">
      <c r="A9" s="481" t="s">
        <v>571</v>
      </c>
      <c r="B9" s="482">
        <f>transport!B14</f>
        <v>31.224246128370257</v>
      </c>
      <c r="C9" s="482">
        <f>transport!C14</f>
        <v>0</v>
      </c>
      <c r="D9" s="482">
        <f>transport!D14</f>
        <v>86.249747608264684</v>
      </c>
      <c r="E9" s="482">
        <f>transport!E14</f>
        <v>626.74974454869175</v>
      </c>
      <c r="F9" s="482">
        <f>transport!F14</f>
        <v>0</v>
      </c>
      <c r="G9" s="482">
        <f>transport!G14</f>
        <v>203222.30483987581</v>
      </c>
      <c r="H9" s="482">
        <f>transport!H14</f>
        <v>33358.419511388463</v>
      </c>
      <c r="I9" s="482">
        <f>transport!I14</f>
        <v>0</v>
      </c>
      <c r="J9" s="482">
        <f>transport!J14</f>
        <v>0</v>
      </c>
      <c r="K9" s="482">
        <f>transport!K14</f>
        <v>0</v>
      </c>
      <c r="L9" s="482">
        <f>transport!L14</f>
        <v>0</v>
      </c>
      <c r="M9" s="482">
        <f>transport!M14</f>
        <v>12782.373114439626</v>
      </c>
      <c r="N9" s="482">
        <f>transport!N14</f>
        <v>0</v>
      </c>
      <c r="O9" s="482">
        <f>transport!O14</f>
        <v>0</v>
      </c>
      <c r="P9" s="482">
        <f>transport!P14</f>
        <v>0</v>
      </c>
      <c r="Q9" s="481">
        <f>SUM(B9:P9)</f>
        <v>250107.32120398924</v>
      </c>
    </row>
    <row r="10" spans="1:17">
      <c r="A10" s="477" t="s">
        <v>561</v>
      </c>
      <c r="B10" s="478">
        <f>transport!B54</f>
        <v>0</v>
      </c>
      <c r="C10" s="478">
        <f>transport!C54</f>
        <v>0</v>
      </c>
      <c r="D10" s="478">
        <f>transport!D54</f>
        <v>0</v>
      </c>
      <c r="E10" s="478">
        <f>transport!E54</f>
        <v>0</v>
      </c>
      <c r="F10" s="478">
        <f>transport!F54</f>
        <v>0</v>
      </c>
      <c r="G10" s="478">
        <f>transport!G54</f>
        <v>1354.5651254587476</v>
      </c>
      <c r="H10" s="478">
        <f>transport!H54</f>
        <v>0</v>
      </c>
      <c r="I10" s="478">
        <f>transport!I54</f>
        <v>0</v>
      </c>
      <c r="J10" s="478">
        <f>transport!J54</f>
        <v>0</v>
      </c>
      <c r="K10" s="478">
        <f>transport!K54</f>
        <v>0</v>
      </c>
      <c r="L10" s="478">
        <f>transport!L54</f>
        <v>0</v>
      </c>
      <c r="M10" s="478">
        <f>transport!M54</f>
        <v>77.246900334260062</v>
      </c>
      <c r="N10" s="478">
        <f>transport!N54</f>
        <v>0</v>
      </c>
      <c r="O10" s="478">
        <f>transport!O54</f>
        <v>0</v>
      </c>
      <c r="P10" s="479">
        <f>transport!P54</f>
        <v>0</v>
      </c>
      <c r="Q10" s="477">
        <f t="shared" si="0"/>
        <v>1431.8120257930077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1528.1189999999999</v>
      </c>
      <c r="C14" s="485"/>
      <c r="D14" s="485">
        <f>'SEAP template'!E25</f>
        <v>4250.1139394486308</v>
      </c>
      <c r="E14" s="485"/>
      <c r="F14" s="485"/>
      <c r="G14" s="485"/>
      <c r="H14" s="485"/>
      <c r="I14" s="485"/>
      <c r="J14" s="485"/>
      <c r="K14" s="485"/>
      <c r="L14" s="485"/>
      <c r="M14" s="485"/>
      <c r="N14" s="485"/>
      <c r="O14" s="485"/>
      <c r="P14" s="486"/>
      <c r="Q14" s="477">
        <f t="shared" si="0"/>
        <v>5778.2329394486305</v>
      </c>
    </row>
    <row r="15" spans="1:17" s="487" customFormat="1">
      <c r="A15" s="1051" t="s">
        <v>565</v>
      </c>
      <c r="B15" s="991">
        <f ca="1">SUM(B4:B14)</f>
        <v>183922.18051178358</v>
      </c>
      <c r="C15" s="991">
        <f t="shared" ref="C15:Q15" ca="1" si="1">SUM(C4:C14)</f>
        <v>0</v>
      </c>
      <c r="D15" s="991">
        <f t="shared" ca="1" si="1"/>
        <v>327155.37455759937</v>
      </c>
      <c r="E15" s="991">
        <f t="shared" si="1"/>
        <v>14112.77734485039</v>
      </c>
      <c r="F15" s="991">
        <f t="shared" ca="1" si="1"/>
        <v>64421.092861259422</v>
      </c>
      <c r="G15" s="991">
        <f t="shared" si="1"/>
        <v>204576.86996533457</v>
      </c>
      <c r="H15" s="991">
        <f t="shared" si="1"/>
        <v>33358.419511388463</v>
      </c>
      <c r="I15" s="991">
        <f t="shared" si="1"/>
        <v>0</v>
      </c>
      <c r="J15" s="991">
        <f t="shared" si="1"/>
        <v>6167.091469081086</v>
      </c>
      <c r="K15" s="991">
        <f t="shared" si="1"/>
        <v>0</v>
      </c>
      <c r="L15" s="991">
        <f t="shared" ca="1" si="1"/>
        <v>0</v>
      </c>
      <c r="M15" s="991">
        <f t="shared" si="1"/>
        <v>12859.620014773885</v>
      </c>
      <c r="N15" s="991">
        <f t="shared" ca="1" si="1"/>
        <v>36874.161779277849</v>
      </c>
      <c r="O15" s="991">
        <f t="shared" si="1"/>
        <v>397.0866666666667</v>
      </c>
      <c r="P15" s="991">
        <f t="shared" si="1"/>
        <v>838.93333333333328</v>
      </c>
      <c r="Q15" s="991">
        <f t="shared" ca="1" si="1"/>
        <v>884683.60801534867</v>
      </c>
    </row>
    <row r="17" spans="1:17">
      <c r="A17" s="488" t="s">
        <v>566</v>
      </c>
      <c r="B17" s="787">
        <f ca="1">huishoudens!B10</f>
        <v>0.20199827197891382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10400.483414906523</v>
      </c>
      <c r="C22" s="478">
        <f t="shared" ref="C22:C32" ca="1" si="3">C4*$C$17</f>
        <v>0</v>
      </c>
      <c r="D22" s="478">
        <f t="shared" ref="D22:D32" si="4">D4*$D$17</f>
        <v>26022.947526183281</v>
      </c>
      <c r="E22" s="478">
        <f t="shared" ref="E22:E32" si="5">E4*$E$17</f>
        <v>1367.3419553881363</v>
      </c>
      <c r="F22" s="478">
        <f t="shared" ref="F22:F32" si="6">F4*$F$17</f>
        <v>0</v>
      </c>
      <c r="G22" s="478">
        <f t="shared" ref="G22:G32" si="7">G4*$G$17</f>
        <v>0</v>
      </c>
      <c r="H22" s="478">
        <f t="shared" ref="H22:H32" si="8">H4*$H$17</f>
        <v>0</v>
      </c>
      <c r="I22" s="478">
        <f t="shared" ref="I22:I32" si="9">I4*$I$17</f>
        <v>0</v>
      </c>
      <c r="J22" s="478">
        <f t="shared" ref="J22:J32" si="10">J4*$J$17</f>
        <v>953.79832095751726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38744.571217435463</v>
      </c>
    </row>
    <row r="23" spans="1:17">
      <c r="A23" s="477" t="s">
        <v>156</v>
      </c>
      <c r="B23" s="478">
        <f t="shared" ca="1" si="2"/>
        <v>8981.4959470120539</v>
      </c>
      <c r="C23" s="478">
        <f t="shared" ca="1" si="3"/>
        <v>0</v>
      </c>
      <c r="D23" s="478">
        <f t="shared" ca="1" si="4"/>
        <v>9009.5482557766045</v>
      </c>
      <c r="E23" s="478">
        <f t="shared" si="5"/>
        <v>102.36833662101064</v>
      </c>
      <c r="F23" s="478">
        <f t="shared" ca="1" si="6"/>
        <v>1667.6350669497515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19761.047606359421</v>
      </c>
    </row>
    <row r="24" spans="1:17">
      <c r="A24" s="477" t="s">
        <v>194</v>
      </c>
      <c r="B24" s="478">
        <f t="shared" ca="1" si="2"/>
        <v>510.75242870041154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510.75242870041154</v>
      </c>
    </row>
    <row r="25" spans="1:17">
      <c r="A25" s="477" t="s">
        <v>112</v>
      </c>
      <c r="B25" s="478">
        <f t="shared" ca="1" si="2"/>
        <v>688.76481986973329</v>
      </c>
      <c r="C25" s="478">
        <f t="shared" ca="1" si="3"/>
        <v>0</v>
      </c>
      <c r="D25" s="478">
        <f t="shared" si="4"/>
        <v>37.409584400709925</v>
      </c>
      <c r="E25" s="478">
        <f t="shared" si="5"/>
        <v>7.169247523463409</v>
      </c>
      <c r="F25" s="478">
        <f t="shared" si="6"/>
        <v>2309.8705414703263</v>
      </c>
      <c r="G25" s="478">
        <f t="shared" si="7"/>
        <v>0</v>
      </c>
      <c r="H25" s="478">
        <f t="shared" si="8"/>
        <v>0</v>
      </c>
      <c r="I25" s="478">
        <f t="shared" si="9"/>
        <v>0</v>
      </c>
      <c r="J25" s="478">
        <f t="shared" si="10"/>
        <v>185.05479131695949</v>
      </c>
      <c r="K25" s="478">
        <f t="shared" si="11"/>
        <v>0</v>
      </c>
      <c r="L25" s="478">
        <f t="shared" si="12"/>
        <v>0</v>
      </c>
      <c r="M25" s="478">
        <f t="shared" si="13"/>
        <v>0</v>
      </c>
      <c r="N25" s="478">
        <f t="shared" si="14"/>
        <v>0</v>
      </c>
      <c r="O25" s="478">
        <f t="shared" si="15"/>
        <v>0</v>
      </c>
      <c r="P25" s="479">
        <f t="shared" si="16"/>
        <v>0</v>
      </c>
      <c r="Q25" s="477">
        <f t="shared" ca="1" si="17"/>
        <v>3228.2689845811924</v>
      </c>
    </row>
    <row r="26" spans="1:17">
      <c r="A26" s="477" t="s">
        <v>650</v>
      </c>
      <c r="B26" s="478">
        <f t="shared" ca="1" si="2"/>
        <v>16255.4813903455</v>
      </c>
      <c r="C26" s="478">
        <f t="shared" ca="1" si="3"/>
        <v>0</v>
      </c>
      <c r="D26" s="478">
        <f t="shared" si="4"/>
        <v>30139.534829488999</v>
      </c>
      <c r="E26" s="478">
        <f t="shared" si="5"/>
        <v>1584.4487257358753</v>
      </c>
      <c r="F26" s="478">
        <f t="shared" si="6"/>
        <v>13222.926185536189</v>
      </c>
      <c r="G26" s="478">
        <f t="shared" si="7"/>
        <v>0</v>
      </c>
      <c r="H26" s="478">
        <f t="shared" si="8"/>
        <v>0</v>
      </c>
      <c r="I26" s="478">
        <f t="shared" si="9"/>
        <v>0</v>
      </c>
      <c r="J26" s="478">
        <f t="shared" si="10"/>
        <v>1044.2972677802275</v>
      </c>
      <c r="K26" s="478">
        <f t="shared" si="11"/>
        <v>0</v>
      </c>
      <c r="L26" s="478">
        <f t="shared" si="12"/>
        <v>0</v>
      </c>
      <c r="M26" s="478">
        <f t="shared" si="13"/>
        <v>0</v>
      </c>
      <c r="N26" s="478">
        <f t="shared" si="14"/>
        <v>0</v>
      </c>
      <c r="O26" s="478">
        <f t="shared" si="15"/>
        <v>0</v>
      </c>
      <c r="P26" s="479">
        <f t="shared" si="16"/>
        <v>0</v>
      </c>
      <c r="Q26" s="477">
        <f t="shared" ca="1" si="17"/>
        <v>62246.688398886792</v>
      </c>
    </row>
    <row r="27" spans="1:17" s="483" customFormat="1">
      <c r="A27" s="481" t="s">
        <v>571</v>
      </c>
      <c r="B27" s="781">
        <f t="shared" ca="1" si="2"/>
        <v>6.3072437617750818</v>
      </c>
      <c r="C27" s="482">
        <f t="shared" ca="1" si="3"/>
        <v>0</v>
      </c>
      <c r="D27" s="482">
        <f t="shared" si="4"/>
        <v>17.422449016869468</v>
      </c>
      <c r="E27" s="482">
        <f t="shared" si="5"/>
        <v>142.27219201255303</v>
      </c>
      <c r="F27" s="482">
        <f t="shared" si="6"/>
        <v>0</v>
      </c>
      <c r="G27" s="482">
        <f t="shared" si="7"/>
        <v>54260.355392246842</v>
      </c>
      <c r="H27" s="482">
        <f t="shared" si="8"/>
        <v>8306.2464583357269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62732.60373537377</v>
      </c>
    </row>
    <row r="28" spans="1:17">
      <c r="A28" s="477" t="s">
        <v>561</v>
      </c>
      <c r="B28" s="478">
        <f t="shared" ca="1" si="2"/>
        <v>0</v>
      </c>
      <c r="C28" s="478">
        <f t="shared" ca="1" si="3"/>
        <v>0</v>
      </c>
      <c r="D28" s="478">
        <f t="shared" si="4"/>
        <v>0</v>
      </c>
      <c r="E28" s="478">
        <f t="shared" si="5"/>
        <v>0</v>
      </c>
      <c r="F28" s="478">
        <f t="shared" si="6"/>
        <v>0</v>
      </c>
      <c r="G28" s="478">
        <f t="shared" si="7"/>
        <v>361.66888849748563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361.66888849748563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308.67739737814577</v>
      </c>
      <c r="C32" s="478">
        <f t="shared" ca="1" si="3"/>
        <v>0</v>
      </c>
      <c r="D32" s="478">
        <f t="shared" si="4"/>
        <v>858.52301576862351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1167.2004131467693</v>
      </c>
    </row>
    <row r="33" spans="1:17" s="487" customFormat="1">
      <c r="A33" s="1051" t="s">
        <v>565</v>
      </c>
      <c r="B33" s="991">
        <f ca="1">SUM(B22:B32)</f>
        <v>37151.96264197414</v>
      </c>
      <c r="C33" s="991">
        <f t="shared" ref="C33:Q33" ca="1" si="18">SUM(C22:C32)</f>
        <v>0</v>
      </c>
      <c r="D33" s="991">
        <f t="shared" ca="1" si="18"/>
        <v>66085.385660635089</v>
      </c>
      <c r="E33" s="991">
        <f t="shared" si="18"/>
        <v>3203.6004572810389</v>
      </c>
      <c r="F33" s="991">
        <f t="shared" ca="1" si="18"/>
        <v>17200.431793956268</v>
      </c>
      <c r="G33" s="991">
        <f t="shared" si="18"/>
        <v>54622.024280744328</v>
      </c>
      <c r="H33" s="991">
        <f t="shared" si="18"/>
        <v>8306.2464583357269</v>
      </c>
      <c r="I33" s="991">
        <f t="shared" si="18"/>
        <v>0</v>
      </c>
      <c r="J33" s="991">
        <f t="shared" si="18"/>
        <v>2183.1503800547043</v>
      </c>
      <c r="K33" s="991">
        <f t="shared" si="18"/>
        <v>0</v>
      </c>
      <c r="L33" s="991">
        <f t="shared" ca="1" si="18"/>
        <v>0</v>
      </c>
      <c r="M33" s="991">
        <f t="shared" si="18"/>
        <v>0</v>
      </c>
      <c r="N33" s="991">
        <f t="shared" ca="1" si="18"/>
        <v>0</v>
      </c>
      <c r="O33" s="991">
        <f t="shared" si="18"/>
        <v>0</v>
      </c>
      <c r="P33" s="991">
        <f t="shared" si="18"/>
        <v>0</v>
      </c>
      <c r="Q33" s="991">
        <f t="shared" ca="1" si="18"/>
        <v>188752.8016729813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15813.7522675567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15813.7522675567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0.20199827197891382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0.20199827197891382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0.20199827197891382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0.20199827197891382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12843</v>
      </c>
      <c r="C9" s="342">
        <v>12915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1883</v>
      </c>
    </row>
    <row r="15" spans="1:6">
      <c r="A15" s="348" t="s">
        <v>184</v>
      </c>
      <c r="B15" s="334">
        <v>28</v>
      </c>
    </row>
    <row r="16" spans="1:6">
      <c r="A16" s="348" t="s">
        <v>6</v>
      </c>
      <c r="B16" s="334">
        <v>920</v>
      </c>
    </row>
    <row r="17" spans="1:6">
      <c r="A17" s="348" t="s">
        <v>7</v>
      </c>
      <c r="B17" s="334">
        <v>443</v>
      </c>
    </row>
    <row r="18" spans="1:6">
      <c r="A18" s="348" t="s">
        <v>8</v>
      </c>
      <c r="B18" s="334">
        <v>828</v>
      </c>
    </row>
    <row r="19" spans="1:6">
      <c r="A19" s="348" t="s">
        <v>9</v>
      </c>
      <c r="B19" s="334">
        <v>987</v>
      </c>
    </row>
    <row r="20" spans="1:6">
      <c r="A20" s="348" t="s">
        <v>10</v>
      </c>
      <c r="B20" s="334">
        <v>628</v>
      </c>
    </row>
    <row r="21" spans="1:6">
      <c r="A21" s="348" t="s">
        <v>11</v>
      </c>
      <c r="B21" s="334">
        <v>5221</v>
      </c>
    </row>
    <row r="22" spans="1:6">
      <c r="A22" s="348" t="s">
        <v>12</v>
      </c>
      <c r="B22" s="334">
        <v>28808</v>
      </c>
    </row>
    <row r="23" spans="1:6">
      <c r="A23" s="348" t="s">
        <v>13</v>
      </c>
      <c r="B23" s="334">
        <v>360</v>
      </c>
    </row>
    <row r="24" spans="1:6">
      <c r="A24" s="348" t="s">
        <v>14</v>
      </c>
      <c r="B24" s="334">
        <v>35</v>
      </c>
    </row>
    <row r="25" spans="1:6">
      <c r="A25" s="348" t="s">
        <v>15</v>
      </c>
      <c r="B25" s="334">
        <v>1490</v>
      </c>
    </row>
    <row r="26" spans="1:6">
      <c r="A26" s="348" t="s">
        <v>16</v>
      </c>
      <c r="B26" s="334">
        <v>122</v>
      </c>
    </row>
    <row r="27" spans="1:6">
      <c r="A27" s="348" t="s">
        <v>17</v>
      </c>
      <c r="B27" s="334">
        <v>1</v>
      </c>
    </row>
    <row r="28" spans="1:6" s="356" customFormat="1">
      <c r="A28" s="355" t="s">
        <v>18</v>
      </c>
      <c r="B28" s="355">
        <v>36850</v>
      </c>
    </row>
    <row r="29" spans="1:6">
      <c r="A29" s="355" t="s">
        <v>901</v>
      </c>
      <c r="B29" s="355">
        <v>106</v>
      </c>
      <c r="C29" s="356"/>
      <c r="D29" s="356"/>
      <c r="E29" s="356"/>
      <c r="F29" s="356"/>
    </row>
    <row r="30" spans="1:6">
      <c r="A30" s="341" t="s">
        <v>902</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38201</v>
      </c>
    </row>
    <row r="36" spans="1:6">
      <c r="A36" s="348" t="s">
        <v>25</v>
      </c>
      <c r="B36" s="348" t="s">
        <v>27</v>
      </c>
      <c r="C36" s="334">
        <v>0</v>
      </c>
      <c r="D36" s="334">
        <v>0</v>
      </c>
      <c r="E36" s="334">
        <v>7</v>
      </c>
      <c r="F36" s="334">
        <v>77613</v>
      </c>
    </row>
    <row r="37" spans="1:6">
      <c r="A37" s="348" t="s">
        <v>25</v>
      </c>
      <c r="B37" s="348" t="s">
        <v>28</v>
      </c>
      <c r="C37" s="334">
        <v>0</v>
      </c>
      <c r="D37" s="334">
        <v>0</v>
      </c>
      <c r="E37" s="334">
        <v>0</v>
      </c>
      <c r="F37" s="334">
        <v>0</v>
      </c>
    </row>
    <row r="38" spans="1:6">
      <c r="A38" s="348" t="s">
        <v>25</v>
      </c>
      <c r="B38" s="348" t="s">
        <v>29</v>
      </c>
      <c r="C38" s="334">
        <v>1</v>
      </c>
      <c r="D38" s="334">
        <v>148261.692019587</v>
      </c>
      <c r="E38" s="334">
        <v>0</v>
      </c>
      <c r="F38" s="334">
        <v>0</v>
      </c>
    </row>
    <row r="39" spans="1:6">
      <c r="A39" s="348" t="s">
        <v>30</v>
      </c>
      <c r="B39" s="348" t="s">
        <v>31</v>
      </c>
      <c r="C39" s="334">
        <v>9980</v>
      </c>
      <c r="D39" s="334">
        <v>142823140.68946499</v>
      </c>
      <c r="E39" s="334">
        <v>12919</v>
      </c>
      <c r="F39" s="334">
        <v>45350243.015000001</v>
      </c>
    </row>
    <row r="40" spans="1:6">
      <c r="A40" s="348" t="s">
        <v>30</v>
      </c>
      <c r="B40" s="348" t="s">
        <v>29</v>
      </c>
      <c r="C40" s="334">
        <v>0</v>
      </c>
      <c r="D40" s="334">
        <v>0</v>
      </c>
      <c r="E40" s="334">
        <v>1</v>
      </c>
      <c r="F40" s="334">
        <v>4146</v>
      </c>
    </row>
    <row r="41" spans="1:6">
      <c r="A41" s="348" t="s">
        <v>32</v>
      </c>
      <c r="B41" s="348" t="s">
        <v>33</v>
      </c>
      <c r="C41" s="334">
        <v>150</v>
      </c>
      <c r="D41" s="334">
        <v>11802630.4699653</v>
      </c>
      <c r="E41" s="334">
        <v>337</v>
      </c>
      <c r="F41" s="334">
        <v>22898294</v>
      </c>
    </row>
    <row r="42" spans="1:6">
      <c r="A42" s="348" t="s">
        <v>32</v>
      </c>
      <c r="B42" s="348" t="s">
        <v>34</v>
      </c>
      <c r="C42" s="334">
        <v>0</v>
      </c>
      <c r="D42" s="334">
        <v>0</v>
      </c>
      <c r="E42" s="334">
        <v>4</v>
      </c>
      <c r="F42" s="334">
        <v>4592555</v>
      </c>
    </row>
    <row r="43" spans="1:6">
      <c r="A43" s="348" t="s">
        <v>32</v>
      </c>
      <c r="B43" s="348" t="s">
        <v>35</v>
      </c>
      <c r="C43" s="334">
        <v>0</v>
      </c>
      <c r="D43" s="334">
        <v>0</v>
      </c>
      <c r="E43" s="334">
        <v>0</v>
      </c>
      <c r="F43" s="334">
        <v>0</v>
      </c>
    </row>
    <row r="44" spans="1:6">
      <c r="A44" s="348" t="s">
        <v>32</v>
      </c>
      <c r="B44" s="348" t="s">
        <v>36</v>
      </c>
      <c r="C44" s="334">
        <v>16</v>
      </c>
      <c r="D44" s="334">
        <v>7748671.9243369699</v>
      </c>
      <c r="E44" s="334">
        <v>71</v>
      </c>
      <c r="F44" s="334">
        <v>16096968</v>
      </c>
    </row>
    <row r="45" spans="1:6">
      <c r="A45" s="348" t="s">
        <v>32</v>
      </c>
      <c r="B45" s="348" t="s">
        <v>37</v>
      </c>
      <c r="C45" s="334">
        <v>0</v>
      </c>
      <c r="D45" s="334">
        <v>0</v>
      </c>
      <c r="E45" s="334">
        <v>12</v>
      </c>
      <c r="F45" s="334">
        <v>669567.15447154467</v>
      </c>
    </row>
    <row r="46" spans="1:6">
      <c r="A46" s="348" t="s">
        <v>32</v>
      </c>
      <c r="B46" s="348" t="s">
        <v>38</v>
      </c>
      <c r="C46" s="334">
        <v>0</v>
      </c>
      <c r="D46" s="334">
        <v>0</v>
      </c>
      <c r="E46" s="334">
        <v>3</v>
      </c>
      <c r="F46" s="334">
        <v>5616937</v>
      </c>
    </row>
    <row r="47" spans="1:6">
      <c r="A47" s="348" t="s">
        <v>32</v>
      </c>
      <c r="B47" s="348" t="s">
        <v>39</v>
      </c>
      <c r="C47" s="334">
        <v>5</v>
      </c>
      <c r="D47" s="334">
        <v>129841.168596548</v>
      </c>
      <c r="E47" s="334">
        <v>14</v>
      </c>
      <c r="F47" s="334">
        <v>1279722</v>
      </c>
    </row>
    <row r="48" spans="1:6">
      <c r="A48" s="348" t="s">
        <v>32</v>
      </c>
      <c r="B48" s="348" t="s">
        <v>29</v>
      </c>
      <c r="C48" s="334">
        <v>65</v>
      </c>
      <c r="D48" s="334">
        <v>106464830.46779799</v>
      </c>
      <c r="E48" s="334">
        <v>3</v>
      </c>
      <c r="F48" s="334">
        <v>1253757.4099999999</v>
      </c>
    </row>
    <row r="49" spans="1:6">
      <c r="A49" s="348" t="s">
        <v>32</v>
      </c>
      <c r="B49" s="348" t="s">
        <v>40</v>
      </c>
      <c r="C49" s="334">
        <v>8</v>
      </c>
      <c r="D49" s="334">
        <v>37787874.463047303</v>
      </c>
      <c r="E49" s="334">
        <v>39</v>
      </c>
      <c r="F49" s="334">
        <v>15226954</v>
      </c>
    </row>
    <row r="50" spans="1:6">
      <c r="A50" s="348" t="s">
        <v>32</v>
      </c>
      <c r="B50" s="348" t="s">
        <v>41</v>
      </c>
      <c r="C50" s="334">
        <v>24</v>
      </c>
      <c r="D50" s="334">
        <v>1482579.4084369701</v>
      </c>
      <c r="E50" s="334">
        <v>55</v>
      </c>
      <c r="F50" s="334">
        <v>12838614</v>
      </c>
    </row>
    <row r="51" spans="1:6">
      <c r="A51" s="348" t="s">
        <v>42</v>
      </c>
      <c r="B51" s="348" t="s">
        <v>43</v>
      </c>
      <c r="C51" s="334">
        <v>4</v>
      </c>
      <c r="D51" s="334">
        <v>84686.737411363807</v>
      </c>
      <c r="E51" s="334">
        <v>87</v>
      </c>
      <c r="F51" s="334">
        <v>3409756</v>
      </c>
    </row>
    <row r="52" spans="1:6">
      <c r="A52" s="348" t="s">
        <v>42</v>
      </c>
      <c r="B52" s="348" t="s">
        <v>29</v>
      </c>
      <c r="C52" s="334">
        <v>7</v>
      </c>
      <c r="D52" s="334">
        <v>120630.294051776</v>
      </c>
      <c r="E52" s="334">
        <v>0</v>
      </c>
      <c r="F52" s="334">
        <v>0</v>
      </c>
    </row>
    <row r="53" spans="1:6">
      <c r="A53" s="348" t="s">
        <v>44</v>
      </c>
      <c r="B53" s="348" t="s">
        <v>45</v>
      </c>
      <c r="C53" s="334">
        <v>230</v>
      </c>
      <c r="D53" s="334">
        <v>4250113.9394486304</v>
      </c>
      <c r="E53" s="334">
        <v>2</v>
      </c>
      <c r="F53" s="334">
        <v>13953</v>
      </c>
    </row>
    <row r="54" spans="1:6">
      <c r="A54" s="348" t="s">
        <v>46</v>
      </c>
      <c r="B54" s="348" t="s">
        <v>47</v>
      </c>
      <c r="C54" s="334">
        <v>0</v>
      </c>
      <c r="D54" s="334">
        <v>0</v>
      </c>
      <c r="E54" s="334">
        <v>151</v>
      </c>
      <c r="F54" s="334">
        <v>2528499</v>
      </c>
    </row>
    <row r="55" spans="1:6">
      <c r="A55" s="348" t="s">
        <v>46</v>
      </c>
      <c r="B55" s="348" t="s">
        <v>29</v>
      </c>
      <c r="C55" s="334">
        <v>0</v>
      </c>
      <c r="D55" s="334">
        <v>0</v>
      </c>
      <c r="E55" s="334">
        <v>0</v>
      </c>
      <c r="F55" s="334">
        <v>0</v>
      </c>
    </row>
    <row r="56" spans="1:6">
      <c r="A56" s="348" t="s">
        <v>48</v>
      </c>
      <c r="B56" s="348" t="s">
        <v>29</v>
      </c>
      <c r="C56" s="334">
        <v>0</v>
      </c>
      <c r="D56" s="334">
        <v>0</v>
      </c>
      <c r="E56" s="334">
        <v>313</v>
      </c>
      <c r="F56" s="334">
        <v>1514166</v>
      </c>
    </row>
    <row r="57" spans="1:6">
      <c r="A57" s="348" t="s">
        <v>49</v>
      </c>
      <c r="B57" s="348" t="s">
        <v>50</v>
      </c>
      <c r="C57" s="334">
        <v>134</v>
      </c>
      <c r="D57" s="334">
        <v>10276297.3112594</v>
      </c>
      <c r="E57" s="334">
        <v>161</v>
      </c>
      <c r="F57" s="334">
        <v>3398101</v>
      </c>
    </row>
    <row r="58" spans="1:6">
      <c r="A58" s="348" t="s">
        <v>49</v>
      </c>
      <c r="B58" s="348" t="s">
        <v>51</v>
      </c>
      <c r="C58" s="334">
        <v>32</v>
      </c>
      <c r="D58" s="334">
        <v>760359.42743525398</v>
      </c>
      <c r="E58" s="334">
        <v>38</v>
      </c>
      <c r="F58" s="334">
        <v>1138282</v>
      </c>
    </row>
    <row r="59" spans="1:6">
      <c r="A59" s="348" t="s">
        <v>49</v>
      </c>
      <c r="B59" s="348" t="s">
        <v>52</v>
      </c>
      <c r="C59" s="334">
        <v>228</v>
      </c>
      <c r="D59" s="334">
        <v>10837249.3186571</v>
      </c>
      <c r="E59" s="334">
        <v>483</v>
      </c>
      <c r="F59" s="334">
        <v>21370116</v>
      </c>
    </row>
    <row r="60" spans="1:6">
      <c r="A60" s="348" t="s">
        <v>49</v>
      </c>
      <c r="B60" s="348" t="s">
        <v>53</v>
      </c>
      <c r="C60" s="334">
        <v>87</v>
      </c>
      <c r="D60" s="334">
        <v>6718126.3119614497</v>
      </c>
      <c r="E60" s="334">
        <v>125</v>
      </c>
      <c r="F60" s="334">
        <v>3985397</v>
      </c>
    </row>
    <row r="61" spans="1:6">
      <c r="A61" s="348" t="s">
        <v>49</v>
      </c>
      <c r="B61" s="348" t="s">
        <v>54</v>
      </c>
      <c r="C61" s="334">
        <v>240</v>
      </c>
      <c r="D61" s="334">
        <v>6867530.5603568396</v>
      </c>
      <c r="E61" s="334">
        <v>589</v>
      </c>
      <c r="F61" s="334">
        <v>13999150.586206896</v>
      </c>
    </row>
    <row r="62" spans="1:6">
      <c r="A62" s="348" t="s">
        <v>49</v>
      </c>
      <c r="B62" s="348" t="s">
        <v>55</v>
      </c>
      <c r="C62" s="334">
        <v>16</v>
      </c>
      <c r="D62" s="334">
        <v>1329176.8776749701</v>
      </c>
      <c r="E62" s="334">
        <v>30</v>
      </c>
      <c r="F62" s="334">
        <v>496923</v>
      </c>
    </row>
    <row r="63" spans="1:6">
      <c r="A63" s="348" t="s">
        <v>49</v>
      </c>
      <c r="B63" s="348" t="s">
        <v>29</v>
      </c>
      <c r="C63" s="334">
        <v>111</v>
      </c>
      <c r="D63" s="334">
        <v>12658847.818484301</v>
      </c>
      <c r="E63" s="334">
        <v>1</v>
      </c>
      <c r="F63" s="334">
        <v>75262</v>
      </c>
    </row>
    <row r="64" spans="1:6">
      <c r="A64" s="348" t="s">
        <v>56</v>
      </c>
      <c r="B64" s="348" t="s">
        <v>57</v>
      </c>
      <c r="C64" s="334">
        <v>0</v>
      </c>
      <c r="D64" s="334">
        <v>0</v>
      </c>
      <c r="E64" s="334">
        <v>6</v>
      </c>
      <c r="F64" s="334">
        <v>89853</v>
      </c>
    </row>
    <row r="65" spans="1:6">
      <c r="A65" s="348" t="s">
        <v>56</v>
      </c>
      <c r="B65" s="348" t="s">
        <v>29</v>
      </c>
      <c r="C65" s="334">
        <v>4</v>
      </c>
      <c r="D65" s="334">
        <v>183055.639392593</v>
      </c>
      <c r="E65" s="334">
        <v>1</v>
      </c>
      <c r="F65" s="334">
        <v>15974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15</v>
      </c>
      <c r="F68" s="334">
        <v>321383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32162744</v>
      </c>
      <c r="E73" s="476">
        <v>35492148.702712014</v>
      </c>
    </row>
    <row r="74" spans="1:6">
      <c r="A74" s="348" t="s">
        <v>64</v>
      </c>
      <c r="B74" s="348" t="s">
        <v>714</v>
      </c>
      <c r="C74" s="1311" t="s">
        <v>716</v>
      </c>
      <c r="D74" s="476">
        <v>3619244.821421925</v>
      </c>
      <c r="E74" s="476">
        <v>3977247.6198758073</v>
      </c>
    </row>
    <row r="75" spans="1:6">
      <c r="A75" s="348" t="s">
        <v>65</v>
      </c>
      <c r="B75" s="348" t="s">
        <v>713</v>
      </c>
      <c r="C75" s="1311" t="s">
        <v>717</v>
      </c>
      <c r="D75" s="476">
        <v>48248324</v>
      </c>
      <c r="E75" s="476">
        <v>49826706.985528462</v>
      </c>
    </row>
    <row r="76" spans="1:6">
      <c r="A76" s="348" t="s">
        <v>65</v>
      </c>
      <c r="B76" s="348" t="s">
        <v>714</v>
      </c>
      <c r="C76" s="1311" t="s">
        <v>718</v>
      </c>
      <c r="D76" s="476">
        <v>1214048.8214219252</v>
      </c>
      <c r="E76" s="476">
        <v>1297694.6002283203</v>
      </c>
    </row>
    <row r="77" spans="1:6">
      <c r="A77" s="348" t="s">
        <v>66</v>
      </c>
      <c r="B77" s="348" t="s">
        <v>713</v>
      </c>
      <c r="C77" s="1311" t="s">
        <v>719</v>
      </c>
      <c r="D77" s="476">
        <v>147414134</v>
      </c>
      <c r="E77" s="476">
        <v>163060732.56795597</v>
      </c>
    </row>
    <row r="78" spans="1:6">
      <c r="A78" s="341" t="s">
        <v>66</v>
      </c>
      <c r="B78" s="341" t="s">
        <v>714</v>
      </c>
      <c r="C78" s="341" t="s">
        <v>720</v>
      </c>
      <c r="D78" s="1307">
        <v>28315000</v>
      </c>
      <c r="E78" s="1307">
        <v>30628446.584893487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382614.35715614958</v>
      </c>
      <c r="C83" s="476">
        <v>385880.53522918676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6133.5930999767443</v>
      </c>
    </row>
    <row r="92" spans="1:6">
      <c r="A92" s="341" t="s">
        <v>69</v>
      </c>
      <c r="B92" s="342">
        <v>9680.1591675799555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241</v>
      </c>
    </row>
    <row r="130" spans="1:6">
      <c r="A130" s="348" t="s">
        <v>295</v>
      </c>
      <c r="B130" s="334">
        <v>3</v>
      </c>
    </row>
    <row r="131" spans="1:6">
      <c r="A131" s="348" t="s">
        <v>296</v>
      </c>
      <c r="B131" s="334">
        <v>8</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183922.1805117836</v>
      </c>
      <c r="C3" s="43" t="s">
        <v>170</v>
      </c>
      <c r="D3" s="43"/>
      <c r="E3" s="154"/>
      <c r="F3" s="43"/>
      <c r="G3" s="43"/>
      <c r="H3" s="43"/>
      <c r="I3" s="43"/>
      <c r="J3" s="43"/>
      <c r="K3" s="96"/>
    </row>
    <row r="4" spans="1:11">
      <c r="A4" s="384" t="s">
        <v>171</v>
      </c>
      <c r="B4" s="49">
        <f>IF(ISERROR('SEAP template'!B78+'SEAP template'!C78),0,'SEAP template'!B78+'SEAP template'!C78)</f>
        <v>15813.7522675567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0.20199827197891382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2528.4989999999998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2528.4989999999998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0.20199827197891382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510.75242870041154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45354.389015000001</v>
      </c>
      <c r="C5" s="17">
        <f>IF(ISERROR('Eigen informatie GS &amp; warmtenet'!B57),0,'Eigen informatie GS &amp; warmtenet'!B57)</f>
        <v>0</v>
      </c>
      <c r="D5" s="30">
        <f>(SUM(HH_hh_gas_kWh,HH_rest_gas_kWh)/1000)*0.902</f>
        <v>128826.47290189742</v>
      </c>
      <c r="E5" s="17">
        <f>B46*B57</f>
        <v>6023.532843119543</v>
      </c>
      <c r="F5" s="17">
        <f>B51*B62</f>
        <v>0</v>
      </c>
      <c r="G5" s="18"/>
      <c r="H5" s="17"/>
      <c r="I5" s="17"/>
      <c r="J5" s="17">
        <f>B50*B61+C50*C61</f>
        <v>2694.3455394280149</v>
      </c>
      <c r="K5" s="17"/>
      <c r="L5" s="17"/>
      <c r="M5" s="17"/>
      <c r="N5" s="17">
        <f>B48*B59+C48*C59</f>
        <v>18567.415265534109</v>
      </c>
      <c r="O5" s="17">
        <f>B69*B70*B71</f>
        <v>392.3966666666667</v>
      </c>
      <c r="P5" s="17">
        <f>B77*B78*B79/1000-B77*B78*B79/1000/B80</f>
        <v>686.4</v>
      </c>
    </row>
    <row r="6" spans="1:16">
      <c r="A6" s="16" t="s">
        <v>631</v>
      </c>
      <c r="B6" s="789">
        <f>kWh_PV_kleiner_dan_10kW</f>
        <v>6133.5930999767443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51487.982114976745</v>
      </c>
      <c r="C8" s="21">
        <f>C5</f>
        <v>0</v>
      </c>
      <c r="D8" s="21">
        <f>D5</f>
        <v>128826.47290189742</v>
      </c>
      <c r="E8" s="21">
        <f>E5</f>
        <v>6023.532843119543</v>
      </c>
      <c r="F8" s="21">
        <f>F5</f>
        <v>0</v>
      </c>
      <c r="G8" s="21"/>
      <c r="H8" s="21"/>
      <c r="I8" s="21"/>
      <c r="J8" s="21">
        <f>J5</f>
        <v>2694.3455394280149</v>
      </c>
      <c r="K8" s="21"/>
      <c r="L8" s="21">
        <f>L5</f>
        <v>0</v>
      </c>
      <c r="M8" s="21">
        <f>M5</f>
        <v>0</v>
      </c>
      <c r="N8" s="21">
        <f>N5</f>
        <v>18567.415265534109</v>
      </c>
      <c r="O8" s="21">
        <f>O5</f>
        <v>392.3966666666667</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0.20199827197891382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10400.483414906523</v>
      </c>
      <c r="C12" s="23">
        <f ca="1">C10*C8</f>
        <v>0</v>
      </c>
      <c r="D12" s="23">
        <f>D8*D10</f>
        <v>26022.947526183281</v>
      </c>
      <c r="E12" s="23">
        <f>E10*E8</f>
        <v>1367.3419553881363</v>
      </c>
      <c r="F12" s="23">
        <f>F10*F8</f>
        <v>0</v>
      </c>
      <c r="G12" s="23"/>
      <c r="H12" s="23"/>
      <c r="I12" s="23"/>
      <c r="J12" s="23">
        <f>J10*J8</f>
        <v>953.79832095751726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12843</v>
      </c>
      <c r="C28" s="36"/>
      <c r="D28" s="228"/>
    </row>
    <row r="29" spans="1:7" s="15" customFormat="1">
      <c r="A29" s="230" t="s">
        <v>741</v>
      </c>
      <c r="B29" s="37">
        <f>SUM(HH_hh_gas_aantal,HH_rest_gas_aantal)</f>
        <v>9980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9980</v>
      </c>
      <c r="C32" s="167">
        <f>IF(ISERROR(B32/SUM($B$32,$B$34,$B$35,$B$36,$B$38,$B$39)*100),0,B32/SUM($B$32,$B$34,$B$35,$B$36,$B$38,$B$39)*100)</f>
        <v>77.926134145389241</v>
      </c>
      <c r="D32" s="233"/>
      <c r="G32" s="15"/>
    </row>
    <row r="33" spans="1:7">
      <c r="A33" s="171" t="s">
        <v>72</v>
      </c>
      <c r="B33" s="34" t="s">
        <v>111</v>
      </c>
      <c r="C33" s="167"/>
      <c r="D33" s="233"/>
      <c r="G33" s="15"/>
    </row>
    <row r="34" spans="1:7">
      <c r="A34" s="171" t="s">
        <v>73</v>
      </c>
      <c r="B34" s="33">
        <f>IF((($B$28-$B$32-$B$39-$B$77-$B$38)*C20/100)&lt;0,0,($B$28-$B$32-$B$39-$B$77-$B$38)*C20/100)</f>
        <v>403.70863422291995</v>
      </c>
      <c r="C34" s="167">
        <f>IF(ISERROR(B34/SUM($B$32,$B$34,$B$35,$B$36,$B$38,$B$39)*100),0,B34/SUM($B$32,$B$34,$B$35,$B$36,$B$38,$B$39)*100)</f>
        <v>3.1522498182472081</v>
      </c>
      <c r="D34" s="233"/>
      <c r="G34" s="15"/>
    </row>
    <row r="35" spans="1:7">
      <c r="A35" s="171" t="s">
        <v>74</v>
      </c>
      <c r="B35" s="33">
        <f>IF((($B$28-$B$32-$B$39-$B$77-$B$38)*C21/100)&lt;0,0,($B$28-$B$32-$B$39-$B$77-$B$38)*C21/100)</f>
        <v>2018.5431711145993</v>
      </c>
      <c r="C35" s="167">
        <f>IF(ISERROR(B35/SUM($B$32,$B$34,$B$35,$B$36,$B$38,$B$39)*100),0,B35/SUM($B$32,$B$34,$B$35,$B$36,$B$38,$B$39)*100)</f>
        <v>15.761249091236037</v>
      </c>
      <c r="D35" s="233"/>
      <c r="G35" s="15"/>
    </row>
    <row r="36" spans="1:7">
      <c r="A36" s="171" t="s">
        <v>75</v>
      </c>
      <c r="B36" s="33">
        <f>IF((($B$28-$B$32-$B$39-$B$77-$B$38)*C22/100)&lt;0,0,($B$28-$B$32-$B$39-$B$77-$B$38)*C22/100)</f>
        <v>328.14819466248036</v>
      </c>
      <c r="C36" s="167">
        <f>IF(ISERROR(B36/SUM($B$32,$B$34,$B$35,$B$36,$B$38,$B$39)*100),0,B36/SUM($B$32,$B$34,$B$35,$B$36,$B$38,$B$39)*100)</f>
        <v>2.5622565367570886</v>
      </c>
      <c r="D36" s="233"/>
      <c r="G36" s="15"/>
    </row>
    <row r="37" spans="1:7">
      <c r="A37" s="171" t="s">
        <v>76</v>
      </c>
      <c r="B37" s="34" t="s">
        <v>111</v>
      </c>
      <c r="C37" s="167"/>
      <c r="D37" s="173"/>
      <c r="G37" s="15"/>
    </row>
    <row r="38" spans="1:7">
      <c r="A38" s="171" t="s">
        <v>77</v>
      </c>
      <c r="B38" s="33">
        <f>IF((B24-(B29-B18)*0.1)&lt;0,0,B24-(B29-B18)*0.1)</f>
        <v>76.599999999999966</v>
      </c>
      <c r="C38" s="167">
        <f>IF(ISERROR(B38/SUM($B$32,$B$34,$B$35,$B$36,$B$38,$B$39)*100),0,B38/SUM($B$32,$B$34,$B$35,$B$36,$B$38,$B$39)*100)</f>
        <v>0.59811040837042218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9980</v>
      </c>
      <c r="C44" s="34" t="s">
        <v>111</v>
      </c>
      <c r="D44" s="174"/>
    </row>
    <row r="45" spans="1:7">
      <c r="A45" s="171" t="s">
        <v>72</v>
      </c>
      <c r="B45" s="33" t="str">
        <f t="shared" si="0"/>
        <v>-</v>
      </c>
      <c r="C45" s="34" t="s">
        <v>111</v>
      </c>
      <c r="D45" s="174"/>
    </row>
    <row r="46" spans="1:7">
      <c r="A46" s="171" t="s">
        <v>73</v>
      </c>
      <c r="B46" s="33">
        <f t="shared" si="0"/>
        <v>403.70863422291995</v>
      </c>
      <c r="C46" s="34" t="s">
        <v>111</v>
      </c>
      <c r="D46" s="174"/>
    </row>
    <row r="47" spans="1:7">
      <c r="A47" s="171" t="s">
        <v>74</v>
      </c>
      <c r="B47" s="33">
        <f t="shared" si="0"/>
        <v>2018.5431711145993</v>
      </c>
      <c r="C47" s="34" t="s">
        <v>111</v>
      </c>
      <c r="D47" s="174"/>
    </row>
    <row r="48" spans="1:7">
      <c r="A48" s="171" t="s">
        <v>75</v>
      </c>
      <c r="B48" s="33">
        <f t="shared" si="0"/>
        <v>328.14819466248036</v>
      </c>
      <c r="C48" s="33">
        <f>B48*10</f>
        <v>3281.4819466248036</v>
      </c>
      <c r="D48" s="234"/>
    </row>
    <row r="49" spans="1:6">
      <c r="A49" s="171" t="s">
        <v>76</v>
      </c>
      <c r="B49" s="33" t="str">
        <f t="shared" si="0"/>
        <v>-</v>
      </c>
      <c r="C49" s="34" t="s">
        <v>111</v>
      </c>
      <c r="D49" s="234"/>
    </row>
    <row r="50" spans="1:6">
      <c r="A50" s="171" t="s">
        <v>77</v>
      </c>
      <c r="B50" s="33">
        <f t="shared" si="0"/>
        <v>76.599999999999966</v>
      </c>
      <c r="C50" s="33">
        <f>B50*2</f>
        <v>153.19999999999993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44463.231586206901</v>
      </c>
      <c r="C5" s="17">
        <f>IF(ISERROR('Eigen informatie GS &amp; warmtenet'!B58),0,'Eigen informatie GS &amp; warmtenet'!B58)</f>
        <v>0</v>
      </c>
      <c r="D5" s="30">
        <f>SUM(D6:D12)</f>
        <v>44601.72403849804</v>
      </c>
      <c r="E5" s="17">
        <f>SUM(E6:E12)</f>
        <v>450.96183533484862</v>
      </c>
      <c r="F5" s="17">
        <f>SUM(F6:F12)</f>
        <v>6245.8242207855856</v>
      </c>
      <c r="G5" s="18"/>
      <c r="H5" s="17"/>
      <c r="I5" s="17"/>
      <c r="J5" s="17">
        <f>SUM(J6:J12)</f>
        <v>0</v>
      </c>
      <c r="K5" s="17"/>
      <c r="L5" s="17"/>
      <c r="M5" s="17"/>
      <c r="N5" s="17">
        <f>SUM(N6:N12)</f>
        <v>2724.2528668002296</v>
      </c>
      <c r="O5" s="17">
        <f>B38*B39*B40</f>
        <v>4.6900000000000004</v>
      </c>
      <c r="P5" s="17">
        <f>B46*B47*B48/1000-B46*B47*B48/1000/B49</f>
        <v>152.53333333333333</v>
      </c>
      <c r="R5" s="32"/>
    </row>
    <row r="6" spans="1:18">
      <c r="A6" s="32" t="s">
        <v>54</v>
      </c>
      <c r="B6" s="37">
        <f>B26</f>
        <v>13999.150586206897</v>
      </c>
      <c r="C6" s="33"/>
      <c r="D6" s="37">
        <f>IF(ISERROR(TER_kantoor_gas_kWh/1000),0,TER_kantoor_gas_kWh/1000)*0.902</f>
        <v>6194.5125654418698</v>
      </c>
      <c r="E6" s="33">
        <f>$C$26*'E Balans VL '!I12/100/3.6*1000000</f>
        <v>40.557593214869634</v>
      </c>
      <c r="F6" s="33">
        <f>$C$26*('E Balans VL '!L12+'E Balans VL '!N12)/100/3.6*1000000</f>
        <v>1584.3954211582775</v>
      </c>
      <c r="G6" s="34"/>
      <c r="H6" s="33"/>
      <c r="I6" s="33"/>
      <c r="J6" s="33">
        <f>$C$26*('E Balans VL '!D12+'E Balans VL '!E12)/100/3.6*1000000</f>
        <v>0</v>
      </c>
      <c r="K6" s="33"/>
      <c r="L6" s="33"/>
      <c r="M6" s="33"/>
      <c r="N6" s="33">
        <f>$C$26*'E Balans VL '!Y12/100/3.6*1000000</f>
        <v>140.12118233322553</v>
      </c>
      <c r="O6" s="33"/>
      <c r="P6" s="33"/>
      <c r="R6" s="32"/>
    </row>
    <row r="7" spans="1:18">
      <c r="A7" s="32" t="s">
        <v>53</v>
      </c>
      <c r="B7" s="37">
        <f t="shared" ref="B7:B12" si="0">B27</f>
        <v>3985.3969999999999</v>
      </c>
      <c r="C7" s="33"/>
      <c r="D7" s="37">
        <f>IF(ISERROR(TER_horeca_gas_kWh/1000),0,TER_horeca_gas_kWh/1000)*0.902</f>
        <v>6059.7499333892274</v>
      </c>
      <c r="E7" s="33">
        <f>$C$27*'E Balans VL '!I9/100/3.6*1000000</f>
        <v>167.29583108085191</v>
      </c>
      <c r="F7" s="33">
        <f>$C$27*('E Balans VL '!L9+'E Balans VL '!N9)/100/3.6*1000000</f>
        <v>856.34427371289371</v>
      </c>
      <c r="G7" s="34"/>
      <c r="H7" s="33"/>
      <c r="I7" s="33"/>
      <c r="J7" s="33">
        <f>$C$27*('E Balans VL '!D9+'E Balans VL '!E9)/100/3.6*1000000</f>
        <v>0</v>
      </c>
      <c r="K7" s="33"/>
      <c r="L7" s="33"/>
      <c r="M7" s="33"/>
      <c r="N7" s="33">
        <f>$C$27*'E Balans VL '!Y9/100/3.6*1000000</f>
        <v>1.0270019533388417</v>
      </c>
      <c r="O7" s="33"/>
      <c r="P7" s="33"/>
      <c r="R7" s="32"/>
    </row>
    <row r="8" spans="1:18">
      <c r="A8" s="6" t="s">
        <v>52</v>
      </c>
      <c r="B8" s="37">
        <f t="shared" si="0"/>
        <v>21370.116000000002</v>
      </c>
      <c r="C8" s="33"/>
      <c r="D8" s="37">
        <f>IF(ISERROR(TER_handel_gas_kWh/1000),0,TER_handel_gas_kWh/1000)*0.902</f>
        <v>9775.1988854287047</v>
      </c>
      <c r="E8" s="33">
        <f>$C$28*'E Balans VL '!I13/100/3.6*1000000</f>
        <v>229.53283168195603</v>
      </c>
      <c r="F8" s="33">
        <f>$C$28*('E Balans VL '!L13+'E Balans VL '!N13)/100/3.6*1000000</f>
        <v>2766.5379869800199</v>
      </c>
      <c r="G8" s="34"/>
      <c r="H8" s="33"/>
      <c r="I8" s="33"/>
      <c r="J8" s="33">
        <f>$C$28*('E Balans VL '!D13+'E Balans VL '!E13)/100/3.6*1000000</f>
        <v>0</v>
      </c>
      <c r="K8" s="33"/>
      <c r="L8" s="33"/>
      <c r="M8" s="33"/>
      <c r="N8" s="33">
        <f>$C$28*'E Balans VL '!Y13/100/3.6*1000000</f>
        <v>173.35554785106811</v>
      </c>
      <c r="O8" s="33"/>
      <c r="P8" s="33"/>
      <c r="R8" s="32"/>
    </row>
    <row r="9" spans="1:18">
      <c r="A9" s="32" t="s">
        <v>51</v>
      </c>
      <c r="B9" s="37">
        <f t="shared" si="0"/>
        <v>1138.2819999999999</v>
      </c>
      <c r="C9" s="33"/>
      <c r="D9" s="37">
        <f>IF(ISERROR(TER_gezond_gas_kWh/1000),0,TER_gezond_gas_kWh/1000)*0.902</f>
        <v>685.84420354659915</v>
      </c>
      <c r="E9" s="33">
        <f>$C$29*'E Balans VL '!I10/100/3.6*1000000</f>
        <v>0.90614609410736535</v>
      </c>
      <c r="F9" s="33">
        <f>$C$29*('E Balans VL '!L10+'E Balans VL '!N10)/100/3.6*1000000</f>
        <v>138.37462675652722</v>
      </c>
      <c r="G9" s="34"/>
      <c r="H9" s="33"/>
      <c r="I9" s="33"/>
      <c r="J9" s="33">
        <f>$C$29*('E Balans VL '!D10+'E Balans VL '!E10)/100/3.6*1000000</f>
        <v>0</v>
      </c>
      <c r="K9" s="33"/>
      <c r="L9" s="33"/>
      <c r="M9" s="33"/>
      <c r="N9" s="33">
        <f>$C$29*'E Balans VL '!Y10/100/3.6*1000000</f>
        <v>9.1947404279982354</v>
      </c>
      <c r="O9" s="33"/>
      <c r="P9" s="33"/>
      <c r="R9" s="32"/>
    </row>
    <row r="10" spans="1:18">
      <c r="A10" s="32" t="s">
        <v>50</v>
      </c>
      <c r="B10" s="37">
        <f t="shared" si="0"/>
        <v>3398.1010000000001</v>
      </c>
      <c r="C10" s="33"/>
      <c r="D10" s="37">
        <f>IF(ISERROR(TER_ander_gas_kWh/1000),0,TER_ander_gas_kWh/1000)*0.902</f>
        <v>9269.2201747559793</v>
      </c>
      <c r="E10" s="33">
        <f>$C$30*'E Balans VL '!I14/100/3.6*1000000</f>
        <v>11.645470640343634</v>
      </c>
      <c r="F10" s="33">
        <f>$C$30*('E Balans VL '!L14+'E Balans VL '!N14)/100/3.6*1000000</f>
        <v>758.99768084100219</v>
      </c>
      <c r="G10" s="34"/>
      <c r="H10" s="33"/>
      <c r="I10" s="33"/>
      <c r="J10" s="33">
        <f>$C$30*('E Balans VL '!D14+'E Balans VL '!E14)/100/3.6*1000000</f>
        <v>0</v>
      </c>
      <c r="K10" s="33"/>
      <c r="L10" s="33"/>
      <c r="M10" s="33"/>
      <c r="N10" s="33">
        <f>$C$30*'E Balans VL '!Y14/100/3.6*1000000</f>
        <v>2393.6409078628972</v>
      </c>
      <c r="O10" s="33"/>
      <c r="P10" s="33"/>
      <c r="R10" s="32"/>
    </row>
    <row r="11" spans="1:18">
      <c r="A11" s="32" t="s">
        <v>55</v>
      </c>
      <c r="B11" s="37">
        <f t="shared" si="0"/>
        <v>496.923</v>
      </c>
      <c r="C11" s="33"/>
      <c r="D11" s="37">
        <f>IF(ISERROR(TER_onderwijs_gas_kWh/1000),0,TER_onderwijs_gas_kWh/1000)*0.902</f>
        <v>1198.9175436628229</v>
      </c>
      <c r="E11" s="33">
        <f>$C$31*'E Balans VL '!I11/100/3.6*1000000</f>
        <v>0.34350756587604575</v>
      </c>
      <c r="F11" s="33">
        <f>$C$31*('E Balans VL '!L11+'E Balans VL '!N11)/100/3.6*1000000</f>
        <v>130.08000676626344</v>
      </c>
      <c r="G11" s="34"/>
      <c r="H11" s="33"/>
      <c r="I11" s="33"/>
      <c r="J11" s="33">
        <f>$C$31*('E Balans VL '!D11+'E Balans VL '!E11)/100/3.6*1000000</f>
        <v>0</v>
      </c>
      <c r="K11" s="33"/>
      <c r="L11" s="33"/>
      <c r="M11" s="33"/>
      <c r="N11" s="33">
        <f>$C$31*'E Balans VL '!Y11/100/3.6*1000000</f>
        <v>0.49464452190052849</v>
      </c>
      <c r="O11" s="33"/>
      <c r="P11" s="33"/>
      <c r="R11" s="32"/>
    </row>
    <row r="12" spans="1:18">
      <c r="A12" s="32" t="s">
        <v>260</v>
      </c>
      <c r="B12" s="37">
        <f t="shared" si="0"/>
        <v>75.262</v>
      </c>
      <c r="C12" s="33"/>
      <c r="D12" s="37">
        <f>IF(ISERROR(TER_rest_gas_kWh/1000),0,TER_rest_gas_kWh/1000)*0.902</f>
        <v>11418.28073227284</v>
      </c>
      <c r="E12" s="33">
        <f>$C$32*'E Balans VL '!I8/100/3.6*1000000</f>
        <v>0.68045505684394314</v>
      </c>
      <c r="F12" s="33">
        <f>$C$32*('E Balans VL '!L8+'E Balans VL '!N8)/100/3.6*1000000</f>
        <v>11.094224570602147</v>
      </c>
      <c r="G12" s="34"/>
      <c r="H12" s="33"/>
      <c r="I12" s="33"/>
      <c r="J12" s="33">
        <f>$C$32*('E Balans VL '!D8+'E Balans VL '!E8)/100/3.6*1000000</f>
        <v>0</v>
      </c>
      <c r="K12" s="33"/>
      <c r="L12" s="33"/>
      <c r="M12" s="33"/>
      <c r="N12" s="33">
        <f>$C$32*'E Balans VL '!Y8/100/3.6*1000000</f>
        <v>6.4188418498012512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44463.231586206901</v>
      </c>
      <c r="C16" s="21">
        <f t="shared" ca="1" si="1"/>
        <v>0</v>
      </c>
      <c r="D16" s="21">
        <f t="shared" ca="1" si="1"/>
        <v>44601.72403849804</v>
      </c>
      <c r="E16" s="21">
        <f t="shared" si="1"/>
        <v>450.96183533484862</v>
      </c>
      <c r="F16" s="21">
        <f t="shared" ca="1" si="1"/>
        <v>6245.8242207855856</v>
      </c>
      <c r="G16" s="21">
        <f t="shared" si="1"/>
        <v>0</v>
      </c>
      <c r="H16" s="21">
        <f t="shared" si="1"/>
        <v>0</v>
      </c>
      <c r="I16" s="21">
        <f t="shared" si="1"/>
        <v>0</v>
      </c>
      <c r="J16" s="21">
        <f t="shared" si="1"/>
        <v>0</v>
      </c>
      <c r="K16" s="21">
        <f t="shared" si="1"/>
        <v>0</v>
      </c>
      <c r="L16" s="21">
        <f t="shared" ca="1" si="1"/>
        <v>0</v>
      </c>
      <c r="M16" s="21">
        <f t="shared" si="1"/>
        <v>0</v>
      </c>
      <c r="N16" s="21">
        <f t="shared" ca="1" si="1"/>
        <v>2724.2528668002296</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0.20199827197891382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8981.4959470120539</v>
      </c>
      <c r="C20" s="23">
        <f t="shared" ref="C20:P20" ca="1" si="2">C16*C18</f>
        <v>0</v>
      </c>
      <c r="D20" s="23">
        <f t="shared" ca="1" si="2"/>
        <v>9009.5482557766045</v>
      </c>
      <c r="E20" s="23">
        <f t="shared" si="2"/>
        <v>102.36833662101064</v>
      </c>
      <c r="F20" s="23">
        <f t="shared" ca="1" si="2"/>
        <v>1667.6350669497515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13999.150586206897</v>
      </c>
      <c r="C26" s="39">
        <f>IF(ISERROR(B26*3.6/1000000/'E Balans VL '!Z12*100),0,B26*3.6/1000000/'E Balans VL '!Z12*100)</f>
        <v>0.30750752726479724</v>
      </c>
      <c r="D26" s="237" t="s">
        <v>692</v>
      </c>
      <c r="F26" s="6"/>
    </row>
    <row r="27" spans="1:18">
      <c r="A27" s="231" t="s">
        <v>53</v>
      </c>
      <c r="B27" s="33">
        <f>IF(ISERROR(TER_horeca_ele_kWh/1000),0,TER_horeca_ele_kWh/1000)</f>
        <v>3985.3969999999999</v>
      </c>
      <c r="C27" s="39">
        <f>IF(ISERROR(B27*3.6/1000000/'E Balans VL '!Z9*100),0,B27*3.6/1000000/'E Balans VL '!Z9*100)</f>
        <v>0.32026637585651369</v>
      </c>
      <c r="D27" s="237" t="s">
        <v>692</v>
      </c>
      <c r="F27" s="6"/>
    </row>
    <row r="28" spans="1:18">
      <c r="A28" s="171" t="s">
        <v>52</v>
      </c>
      <c r="B28" s="33">
        <f>IF(ISERROR(TER_handel_ele_kWh/1000),0,TER_handel_ele_kWh/1000)</f>
        <v>21370.116000000002</v>
      </c>
      <c r="C28" s="39">
        <f>IF(ISERROR(B28*3.6/1000000/'E Balans VL '!Z13*100),0,B28*3.6/1000000/'E Balans VL '!Z13*100)</f>
        <v>0.6318994006434947</v>
      </c>
      <c r="D28" s="237" t="s">
        <v>692</v>
      </c>
      <c r="F28" s="6"/>
    </row>
    <row r="29" spans="1:18">
      <c r="A29" s="231" t="s">
        <v>51</v>
      </c>
      <c r="B29" s="33">
        <f>IF(ISERROR(TER_gezond_ele_kWh/1000),0,TER_gezond_ele_kWh/1000)</f>
        <v>1138.2819999999999</v>
      </c>
      <c r="C29" s="39">
        <f>IF(ISERROR(B29*3.6/1000000/'E Balans VL '!Z10*100),0,B29*3.6/1000000/'E Balans VL '!Z10*100)</f>
        <v>0.12825499354930558</v>
      </c>
      <c r="D29" s="237" t="s">
        <v>692</v>
      </c>
      <c r="F29" s="6"/>
    </row>
    <row r="30" spans="1:18">
      <c r="A30" s="231" t="s">
        <v>50</v>
      </c>
      <c r="B30" s="33">
        <f>IF(ISERROR(TER_ander_ele_kWh/1000),0,TER_ander_ele_kWh/1000)</f>
        <v>3398.1010000000001</v>
      </c>
      <c r="C30" s="39">
        <f>IF(ISERROR(B30*3.6/1000000/'E Balans VL '!Z14*100),0,B30*3.6/1000000/'E Balans VL '!Z14*100)</f>
        <v>0.25699256983872393</v>
      </c>
      <c r="D30" s="237" t="s">
        <v>692</v>
      </c>
      <c r="F30" s="6"/>
    </row>
    <row r="31" spans="1:18">
      <c r="A31" s="231" t="s">
        <v>55</v>
      </c>
      <c r="B31" s="33">
        <f>IF(ISERROR(TER_onderwijs_ele_kWh/1000),0,TER_onderwijs_ele_kWh/1000)</f>
        <v>496.923</v>
      </c>
      <c r="C31" s="39">
        <f>IF(ISERROR(B31*3.6/1000000/'E Balans VL '!Z11*100),0,B31*3.6/1000000/'E Balans VL '!Z11*100)</f>
        <v>0.10314967922778202</v>
      </c>
      <c r="D31" s="237" t="s">
        <v>692</v>
      </c>
    </row>
    <row r="32" spans="1:18">
      <c r="A32" s="231" t="s">
        <v>260</v>
      </c>
      <c r="B32" s="33">
        <f>IF(ISERROR(TER_rest_ele_kWh/1000),0,TER_rest_ele_kWh/1000)</f>
        <v>75.262</v>
      </c>
      <c r="C32" s="39">
        <f>IF(ISERROR(B32*3.6/1000000/'E Balans VL '!Z8*100),0,B32*3.6/1000000/'E Balans VL '!Z8*100)</f>
        <v>6.3403807486476171E-4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80473.368564471559</v>
      </c>
      <c r="C5" s="17">
        <f>IF(ISERROR('Eigen informatie GS &amp; warmtenet'!B59),0,'Eigen informatie GS &amp; warmtenet'!B59)</f>
        <v>0</v>
      </c>
      <c r="D5" s="30">
        <f>SUM(D6:D15)</f>
        <v>149205.61796776732</v>
      </c>
      <c r="E5" s="17">
        <f>SUM(E6:E15)</f>
        <v>6979.9503336382168</v>
      </c>
      <c r="F5" s="17">
        <f>SUM(F6:F15)</f>
        <v>49524.068110622429</v>
      </c>
      <c r="G5" s="18"/>
      <c r="H5" s="17"/>
      <c r="I5" s="17"/>
      <c r="J5" s="17">
        <f>SUM(J6:J15)</f>
        <v>2949.9922818650493</v>
      </c>
      <c r="K5" s="17"/>
      <c r="L5" s="17"/>
      <c r="M5" s="17"/>
      <c r="N5" s="17">
        <f>SUM(N6:N15)</f>
        <v>15582.493646943507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5616.9369999999999</v>
      </c>
      <c r="C7" s="33"/>
      <c r="D7" s="37">
        <f>IF( ISERROR(IND_nonf_gas_kWhh/1000),0,IND_nonf_gas_kWh/1000)*0.902</f>
        <v>0</v>
      </c>
      <c r="E7" s="33">
        <f>C29*'E Balans VL '!I17/100/3.6*1000000</f>
        <v>24.087424100177834</v>
      </c>
      <c r="F7" s="33">
        <f>C29*'E Balans VL '!L17/100/3.6*1000000+C29*'E Balans VL '!N17/100/3.6*1000000</f>
        <v>1113.7327539328771</v>
      </c>
      <c r="G7" s="34"/>
      <c r="H7" s="33"/>
      <c r="I7" s="33"/>
      <c r="J7" s="40">
        <f>C29*'E Balans VL '!D17/100/3.6*1000000+C29*'E Balans VL '!E17/100/3.6*1000000</f>
        <v>2636.4694947286962</v>
      </c>
      <c r="K7" s="33"/>
      <c r="L7" s="33"/>
      <c r="M7" s="33"/>
      <c r="N7" s="33">
        <f>C29*'E Balans VL '!Y17/100/3.6*1000000</f>
        <v>0</v>
      </c>
      <c r="O7" s="33"/>
      <c r="P7" s="33"/>
      <c r="R7" s="32"/>
    </row>
    <row r="8" spans="1:18">
      <c r="A8" s="6" t="s">
        <v>36</v>
      </c>
      <c r="B8" s="37">
        <f t="shared" si="0"/>
        <v>16096.968000000001</v>
      </c>
      <c r="C8" s="33"/>
      <c r="D8" s="37">
        <f>IF( ISERROR(IND_metaal_Gas_kWH/1000),0,IND_metaal_Gas_kWH/1000)*0.902</f>
        <v>6989.3020757519471</v>
      </c>
      <c r="E8" s="33">
        <f>C30*'E Balans VL '!I18/100/3.6*1000000</f>
        <v>402.85077085896688</v>
      </c>
      <c r="F8" s="33">
        <f>C30*'E Balans VL '!L18/100/3.6*1000000+C30*'E Balans VL '!N18/100/3.6*1000000</f>
        <v>5044.8698416366924</v>
      </c>
      <c r="G8" s="34"/>
      <c r="H8" s="33"/>
      <c r="I8" s="33"/>
      <c r="J8" s="40">
        <f>C30*'E Balans VL '!D18/100/3.6*1000000+C30*'E Balans VL '!E18/100/3.6*1000000</f>
        <v>0</v>
      </c>
      <c r="K8" s="33"/>
      <c r="L8" s="33"/>
      <c r="M8" s="33"/>
      <c r="N8" s="33">
        <f>C30*'E Balans VL '!Y18/100/3.6*1000000</f>
        <v>404.39761143479211</v>
      </c>
      <c r="O8" s="33"/>
      <c r="P8" s="33"/>
      <c r="R8" s="32"/>
    </row>
    <row r="9" spans="1:18">
      <c r="A9" s="6" t="s">
        <v>33</v>
      </c>
      <c r="B9" s="37">
        <f t="shared" si="0"/>
        <v>22898.294000000002</v>
      </c>
      <c r="C9" s="33"/>
      <c r="D9" s="37">
        <f>IF( ISERROR(IND_andere_gas_kWh/1000),0,IND_andere_gas_kWh/1000)*0.902</f>
        <v>10645.9726839087</v>
      </c>
      <c r="E9" s="33">
        <f>C31*'E Balans VL '!I19/100/3.6*1000000</f>
        <v>6296.0916751985797</v>
      </c>
      <c r="F9" s="33">
        <f>C31*'E Balans VL '!L19/100/3.6*1000000+C31*'E Balans VL '!N19/100/3.6*1000000</f>
        <v>18047.840261241381</v>
      </c>
      <c r="G9" s="34"/>
      <c r="H9" s="33"/>
      <c r="I9" s="33"/>
      <c r="J9" s="40">
        <f>C31*'E Balans VL '!D19/100/3.6*1000000+C31*'E Balans VL '!E19/100/3.6*1000000</f>
        <v>0</v>
      </c>
      <c r="K9" s="33"/>
      <c r="L9" s="33"/>
      <c r="M9" s="33"/>
      <c r="N9" s="33">
        <f>C31*'E Balans VL '!Y19/100/3.6*1000000</f>
        <v>7412.7821816195092</v>
      </c>
      <c r="O9" s="33"/>
      <c r="P9" s="33"/>
      <c r="R9" s="32"/>
    </row>
    <row r="10" spans="1:18">
      <c r="A10" s="6" t="s">
        <v>41</v>
      </c>
      <c r="B10" s="37">
        <f t="shared" si="0"/>
        <v>12838.614</v>
      </c>
      <c r="C10" s="33"/>
      <c r="D10" s="37">
        <f>IF( ISERROR(IND_voed_gas_kWh/1000),0,IND_voed_gas_kWh/1000)*0.902</f>
        <v>1337.2866264101472</v>
      </c>
      <c r="E10" s="33">
        <f>C32*'E Balans VL '!I20/100/3.6*1000000</f>
        <v>130.88259689718967</v>
      </c>
      <c r="F10" s="33">
        <f>C32*'E Balans VL '!L20/100/3.6*1000000+C32*'E Balans VL '!N20/100/3.6*1000000</f>
        <v>24252.061548220652</v>
      </c>
      <c r="G10" s="34"/>
      <c r="H10" s="33"/>
      <c r="I10" s="33"/>
      <c r="J10" s="40">
        <f>C32*'E Balans VL '!D20/100/3.6*1000000+C32*'E Balans VL '!E20/100/3.6*1000000</f>
        <v>307.27004115519554</v>
      </c>
      <c r="K10" s="33"/>
      <c r="L10" s="33"/>
      <c r="M10" s="33"/>
      <c r="N10" s="33">
        <f>C32*'E Balans VL '!Y20/100/3.6*1000000</f>
        <v>6767.4284049937605</v>
      </c>
      <c r="O10" s="33"/>
      <c r="P10" s="33"/>
      <c r="R10" s="32"/>
    </row>
    <row r="11" spans="1:18">
      <c r="A11" s="6" t="s">
        <v>40</v>
      </c>
      <c r="B11" s="37">
        <f t="shared" si="0"/>
        <v>15226.954</v>
      </c>
      <c r="C11" s="33"/>
      <c r="D11" s="37">
        <f>IF( ISERROR(IND_textiel_gas_kWh/1000),0,IND_textiel_gas_kWh/1000)*0.902</f>
        <v>34084.662765668669</v>
      </c>
      <c r="E11" s="33">
        <f>C33*'E Balans VL '!I21/100/3.6*1000000</f>
        <v>40.358877392405631</v>
      </c>
      <c r="F11" s="33">
        <f>C33*'E Balans VL '!L21/100/3.6*1000000+C33*'E Balans VL '!N21/100/3.6*1000000</f>
        <v>680.05147341268275</v>
      </c>
      <c r="G11" s="34"/>
      <c r="H11" s="33"/>
      <c r="I11" s="33"/>
      <c r="J11" s="40">
        <f>C33*'E Balans VL '!D21/100/3.6*1000000+C33*'E Balans VL '!E21/100/3.6*1000000</f>
        <v>0</v>
      </c>
      <c r="K11" s="33"/>
      <c r="L11" s="33"/>
      <c r="M11" s="33"/>
      <c r="N11" s="33">
        <f>C33*'E Balans VL '!Y21/100/3.6*1000000</f>
        <v>143.50315658206364</v>
      </c>
      <c r="O11" s="33"/>
      <c r="P11" s="33"/>
      <c r="R11" s="32"/>
    </row>
    <row r="12" spans="1:18">
      <c r="A12" s="6" t="s">
        <v>37</v>
      </c>
      <c r="B12" s="37">
        <f t="shared" si="0"/>
        <v>669.56715447154465</v>
      </c>
      <c r="C12" s="33"/>
      <c r="D12" s="37">
        <f>IF( ISERROR(IND_min_gas_kWh/1000),0,IND_min_gas_kWh/1000)*0.902</f>
        <v>0</v>
      </c>
      <c r="E12" s="33">
        <f>C34*'E Balans VL '!I22/100/3.6*1000000</f>
        <v>2.0278160302282293</v>
      </c>
      <c r="F12" s="33">
        <f>C34*'E Balans VL '!L22/100/3.6*1000000+C34*'E Balans VL '!N22/100/3.6*1000000</f>
        <v>20.924549228293195</v>
      </c>
      <c r="G12" s="34"/>
      <c r="H12" s="33"/>
      <c r="I12" s="33"/>
      <c r="J12" s="40">
        <f>C34*'E Balans VL '!D22/100/3.6*1000000+C34*'E Balans VL '!E22/100/3.6*1000000</f>
        <v>0.99281945383209025</v>
      </c>
      <c r="K12" s="33"/>
      <c r="L12" s="33"/>
      <c r="M12" s="33"/>
      <c r="N12" s="33">
        <f>C34*'E Balans VL '!Y22/100/3.6*1000000</f>
        <v>0</v>
      </c>
      <c r="O12" s="33"/>
      <c r="P12" s="33"/>
      <c r="R12" s="32"/>
    </row>
    <row r="13" spans="1:18">
      <c r="A13" s="6" t="s">
        <v>39</v>
      </c>
      <c r="B13" s="37">
        <f t="shared" si="0"/>
        <v>1279.722</v>
      </c>
      <c r="C13" s="33"/>
      <c r="D13" s="37">
        <f>IF( ISERROR(IND_papier_gas_kWh/1000),0,IND_papier_gas_kWh/1000)*0.902</f>
        <v>117.11673407408628</v>
      </c>
      <c r="E13" s="33">
        <f>C35*'E Balans VL '!I23/100/3.6*1000000</f>
        <v>2.6503906411550262</v>
      </c>
      <c r="F13" s="33">
        <f>C35*'E Balans VL '!L23/100/3.6*1000000+C35*'E Balans VL '!N23/100/3.6*1000000</f>
        <v>25.379630765912005</v>
      </c>
      <c r="G13" s="34"/>
      <c r="H13" s="33"/>
      <c r="I13" s="33"/>
      <c r="J13" s="40">
        <f>C35*'E Balans VL '!D23/100/3.6*1000000+C35*'E Balans VL '!E23/100/3.6*1000000</f>
        <v>0</v>
      </c>
      <c r="K13" s="33"/>
      <c r="L13" s="33"/>
      <c r="M13" s="33"/>
      <c r="N13" s="33">
        <f>C35*'E Balans VL '!Y23/100/3.6*1000000</f>
        <v>540.3598871312048</v>
      </c>
      <c r="O13" s="33"/>
      <c r="P13" s="33"/>
      <c r="R13" s="32"/>
    </row>
    <row r="14" spans="1:18">
      <c r="A14" s="6" t="s">
        <v>34</v>
      </c>
      <c r="B14" s="37">
        <f t="shared" si="0"/>
        <v>4592.5550000000003</v>
      </c>
      <c r="C14" s="33"/>
      <c r="D14" s="37">
        <f>IF( ISERROR(IND_chemie_gas_kWh/1000),0,IND_chemie_gas_kWh/1000)*0.902</f>
        <v>0</v>
      </c>
      <c r="E14" s="33">
        <f>C36*'E Balans VL '!I24/100/3.6*1000000</f>
        <v>17.218243450240408</v>
      </c>
      <c r="F14" s="33">
        <f>C36*'E Balans VL '!L24/100/3.6*1000000+C36*'E Balans VL '!N24/100/3.6*1000000</f>
        <v>53.429566806475421</v>
      </c>
      <c r="G14" s="34"/>
      <c r="H14" s="33"/>
      <c r="I14" s="33"/>
      <c r="J14" s="40">
        <f>C36*'E Balans VL '!D24/100/3.6*1000000+C36*'E Balans VL '!E24/100/3.6*1000000</f>
        <v>0</v>
      </c>
      <c r="K14" s="33"/>
      <c r="L14" s="33"/>
      <c r="M14" s="33"/>
      <c r="N14" s="33">
        <f>C36*'E Balans VL '!Y24/100/3.6*1000000</f>
        <v>78.461598118270416</v>
      </c>
      <c r="O14" s="33"/>
      <c r="P14" s="33"/>
      <c r="R14" s="32"/>
    </row>
    <row r="15" spans="1:18">
      <c r="A15" s="6" t="s">
        <v>270</v>
      </c>
      <c r="B15" s="37">
        <f t="shared" si="0"/>
        <v>1253.7574099999999</v>
      </c>
      <c r="C15" s="33"/>
      <c r="D15" s="37">
        <f>IF( ISERROR(IND_rest_gas_kWh/1000),0,IND_rest_gas_kWh/1000)*0.902</f>
        <v>96031.277081953784</v>
      </c>
      <c r="E15" s="33">
        <f>C37*'E Balans VL '!I15/100/3.6*1000000</f>
        <v>63.782539069272936</v>
      </c>
      <c r="F15" s="33">
        <f>C37*'E Balans VL '!L15/100/3.6*1000000+C37*'E Balans VL '!N15/100/3.6*1000000</f>
        <v>285.77848537745615</v>
      </c>
      <c r="G15" s="34"/>
      <c r="H15" s="33"/>
      <c r="I15" s="33"/>
      <c r="J15" s="40">
        <f>C37*'E Balans VL '!D15/100/3.6*1000000+C37*'E Balans VL '!E15/100/3.6*1000000</f>
        <v>5.2599265273254847</v>
      </c>
      <c r="K15" s="33"/>
      <c r="L15" s="33"/>
      <c r="M15" s="33"/>
      <c r="N15" s="33">
        <f>C37*'E Balans VL '!Y15/100/3.6*1000000</f>
        <v>235.56080706390517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80473.368564471559</v>
      </c>
      <c r="C18" s="21">
        <f>C5+C16</f>
        <v>0</v>
      </c>
      <c r="D18" s="21">
        <f>MAX((D5+D16),0)</f>
        <v>149205.61796776732</v>
      </c>
      <c r="E18" s="21">
        <f>MAX((E5+E16),0)</f>
        <v>6979.9503336382168</v>
      </c>
      <c r="F18" s="21">
        <f>MAX((F5+F16),0)</f>
        <v>49524.068110622429</v>
      </c>
      <c r="G18" s="21"/>
      <c r="H18" s="21"/>
      <c r="I18" s="21"/>
      <c r="J18" s="21">
        <f>MAX((J5+J16),0)</f>
        <v>2949.9922818650493</v>
      </c>
      <c r="K18" s="21"/>
      <c r="L18" s="21">
        <f>MAX((L5+L16),0)</f>
        <v>0</v>
      </c>
      <c r="M18" s="21"/>
      <c r="N18" s="21">
        <f>MAX((N5+N16),0)</f>
        <v>15582.493646943507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0.20199827197891382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16255.4813903455</v>
      </c>
      <c r="C22" s="23">
        <f ca="1">C18*C20</f>
        <v>0</v>
      </c>
      <c r="D22" s="23">
        <f>D18*D20</f>
        <v>30139.534829488999</v>
      </c>
      <c r="E22" s="23">
        <f>E18*E20</f>
        <v>1584.4487257358753</v>
      </c>
      <c r="F22" s="23">
        <f>F18*F20</f>
        <v>13222.926185536189</v>
      </c>
      <c r="G22" s="23"/>
      <c r="H22" s="23"/>
      <c r="I22" s="23"/>
      <c r="J22" s="23">
        <f>J18*J20</f>
        <v>1044.2972677802275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5616.9369999999999</v>
      </c>
      <c r="C29" s="39">
        <f>IF(ISERROR(B29*3.6/1000000/'E Balans VL '!Z17*100),0,B29*3.6/1000000/'E Balans VL '!Z17*100)</f>
        <v>6.3243808505823642</v>
      </c>
      <c r="D29" s="237" t="s">
        <v>692</v>
      </c>
    </row>
    <row r="30" spans="1:18">
      <c r="A30" s="171" t="s">
        <v>36</v>
      </c>
      <c r="B30" s="37">
        <f>IF( ISERROR(IND_metaal_ele_kWh/1000),0,IND_metaal_ele_kWh/1000)</f>
        <v>16096.968000000001</v>
      </c>
      <c r="C30" s="39">
        <f>IF(ISERROR(B30*3.6/1000000/'E Balans VL '!Z18*100),0,B30*3.6/1000000/'E Balans VL '!Z18*100)</f>
        <v>2.2530390826152127</v>
      </c>
      <c r="D30" s="237" t="s">
        <v>692</v>
      </c>
    </row>
    <row r="31" spans="1:18">
      <c r="A31" s="6" t="s">
        <v>33</v>
      </c>
      <c r="B31" s="37">
        <f>IF( ISERROR(IND_ander_ele_kWh/1000),0,IND_ander_ele_kWh/1000)</f>
        <v>22898.294000000002</v>
      </c>
      <c r="C31" s="39">
        <f>IF(ISERROR(B31*3.6/1000000/'E Balans VL '!Z19*100),0,B31*3.6/1000000/'E Balans VL '!Z19*100)</f>
        <v>1.0022546137489596</v>
      </c>
      <c r="D31" s="237" t="s">
        <v>692</v>
      </c>
    </row>
    <row r="32" spans="1:18">
      <c r="A32" s="171" t="s">
        <v>41</v>
      </c>
      <c r="B32" s="37">
        <f>IF( ISERROR(IND_voed_ele_kWh/1000),0,IND_voed_ele_kWh/1000)</f>
        <v>12838.614</v>
      </c>
      <c r="C32" s="39">
        <f>IF(ISERROR(B32*3.6/1000000/'E Balans VL '!Z20*100),0,B32*3.6/1000000/'E Balans VL '!Z20*100)</f>
        <v>3.1784144770589462</v>
      </c>
      <c r="D32" s="237" t="s">
        <v>692</v>
      </c>
    </row>
    <row r="33" spans="1:5">
      <c r="A33" s="171" t="s">
        <v>40</v>
      </c>
      <c r="B33" s="37">
        <f>IF( ISERROR(IND_textiel_ele_kWh/1000),0,IND_textiel_ele_kWh/1000)</f>
        <v>15226.954</v>
      </c>
      <c r="C33" s="39">
        <f>IF(ISERROR(B33*3.6/1000000/'E Balans VL '!Z21*100),0,B33*3.6/1000000/'E Balans VL '!Z21*100)</f>
        <v>1.7158094905341248</v>
      </c>
      <c r="D33" s="237" t="s">
        <v>692</v>
      </c>
    </row>
    <row r="34" spans="1:5">
      <c r="A34" s="171" t="s">
        <v>37</v>
      </c>
      <c r="B34" s="37">
        <f>IF( ISERROR(IND_min_ele_kWh/1000),0,IND_min_ele_kWh/1000)</f>
        <v>669.56715447154465</v>
      </c>
      <c r="C34" s="39">
        <f>IF(ISERROR(B34*3.6/1000000/'E Balans VL '!Z22*100),0,B34*3.6/1000000/'E Balans VL '!Z22*100)</f>
        <v>1.899958415672523E-2</v>
      </c>
      <c r="D34" s="237" t="s">
        <v>692</v>
      </c>
    </row>
    <row r="35" spans="1:5">
      <c r="A35" s="171" t="s">
        <v>39</v>
      </c>
      <c r="B35" s="37">
        <f>IF( ISERROR(IND_papier_ele_kWh/1000),0,IND_papier_ele_kWh/1000)</f>
        <v>1279.722</v>
      </c>
      <c r="C35" s="39">
        <f>IF(ISERROR(B35*3.6/1000000/'E Balans VL '!Z22*100),0,B35*3.6/1000000/'E Balans VL '!Z22*100)</f>
        <v>3.6313289374839006E-2</v>
      </c>
      <c r="D35" s="237" t="s">
        <v>692</v>
      </c>
    </row>
    <row r="36" spans="1:5">
      <c r="A36" s="171" t="s">
        <v>34</v>
      </c>
      <c r="B36" s="37">
        <f>IF( ISERROR(IND_chemie_ele_kWh/1000),0,IND_chemie_ele_kWh/1000)</f>
        <v>4592.5550000000003</v>
      </c>
      <c r="C36" s="39">
        <f>IF(ISERROR(B36*3.6/1000000/'E Balans VL '!Z24*100),0,B36*3.6/1000000/'E Balans VL '!Z24*100)</f>
        <v>0.11710314271375116</v>
      </c>
      <c r="D36" s="237" t="s">
        <v>692</v>
      </c>
    </row>
    <row r="37" spans="1:5">
      <c r="A37" s="171" t="s">
        <v>270</v>
      </c>
      <c r="B37" s="37">
        <f>IF( ISERROR(IND_rest_ele_kWh/1000),0,IND_rest_ele_kWh/1000)</f>
        <v>1253.7574099999999</v>
      </c>
      <c r="C37" s="39">
        <f>IF(ISERROR(B37*3.6/1000000/'E Balans VL '!Z15*100),0,B37*3.6/1000000/'E Balans VL '!Z15*100)</f>
        <v>9.296396542798081E-3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3409.7559999999999</v>
      </c>
      <c r="C5" s="17">
        <f>'Eigen informatie GS &amp; warmtenet'!B60</f>
        <v>0</v>
      </c>
      <c r="D5" s="30">
        <f>IF(ISERROR(SUM(LB_lb_gas_kWh,LB_rest_gas_kWh)/1000),0,SUM(LB_lb_gas_kWh,LB_rest_gas_kWh)/1000)*0.902</f>
        <v>185.1959623797521</v>
      </c>
      <c r="E5" s="17">
        <f>B17*'E Balans VL '!I25/3.6*1000000/100</f>
        <v>31.582588209089906</v>
      </c>
      <c r="F5" s="17">
        <f>B17*('E Balans VL '!L25/3.6*1000000+'E Balans VL '!N25/3.6*1000000)/100</f>
        <v>8651.2005298514086</v>
      </c>
      <c r="G5" s="18"/>
      <c r="H5" s="17"/>
      <c r="I5" s="17"/>
      <c r="J5" s="17">
        <f>('E Balans VL '!D25+'E Balans VL '!E25)/3.6*1000000*landbouw!B17/100</f>
        <v>522.75364778802123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3409.7559999999999</v>
      </c>
      <c r="C8" s="21">
        <f>C5+C6</f>
        <v>0</v>
      </c>
      <c r="D8" s="21">
        <f>MAX((D5+D6),0)</f>
        <v>185.1959623797521</v>
      </c>
      <c r="E8" s="21">
        <f>MAX((E5+E6),0)</f>
        <v>31.582588209089906</v>
      </c>
      <c r="F8" s="21">
        <f>MAX((F5+F6),0)</f>
        <v>8651.2005298514086</v>
      </c>
      <c r="G8" s="21"/>
      <c r="H8" s="21"/>
      <c r="I8" s="21"/>
      <c r="J8" s="21">
        <f>MAX((J5+J6),0)</f>
        <v>522.75364778802123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0.20199827197891382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688.76481986973329</v>
      </c>
      <c r="C12" s="23">
        <f ca="1">C8*C10</f>
        <v>0</v>
      </c>
      <c r="D12" s="23">
        <f>D8*D10</f>
        <v>37.409584400709925</v>
      </c>
      <c r="E12" s="23">
        <f>E8*E10</f>
        <v>7.169247523463409</v>
      </c>
      <c r="F12" s="23">
        <f>F8*F10</f>
        <v>2309.8705414703263</v>
      </c>
      <c r="G12" s="23"/>
      <c r="H12" s="23"/>
      <c r="I12" s="23"/>
      <c r="J12" s="23">
        <f>J8*J10</f>
        <v>185.05479131695949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0.484795003875929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333.69150359337817</v>
      </c>
      <c r="C26" s="247">
        <f>B26*'GWP N2O_CH4'!B5</f>
        <v>7007.5215754609417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217.01223365242586</v>
      </c>
      <c r="C27" s="247">
        <f>B27*'GWP N2O_CH4'!B5</f>
        <v>4557.2569067009435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4.6523695422713303</v>
      </c>
      <c r="C28" s="247">
        <f>B28*'GWP N2O_CH4'!B4</f>
        <v>1442.2345581041125</v>
      </c>
      <c r="D28" s="50"/>
    </row>
    <row r="29" spans="1:4">
      <c r="A29" s="41" t="s">
        <v>277</v>
      </c>
      <c r="B29" s="247">
        <f>B34*'ha_N2O bodem landbouw'!B4</f>
        <v>12.465059198910799</v>
      </c>
      <c r="C29" s="247">
        <f>B29*'GWP N2O_CH4'!B4</f>
        <v>3864.1683516623475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2.7956931774990499E-3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1.1240728606213294E-4</v>
      </c>
      <c r="C5" s="464" t="s">
        <v>211</v>
      </c>
      <c r="D5" s="449">
        <f>SUM(D6:D11)</f>
        <v>3.1049909138975286E-4</v>
      </c>
      <c r="E5" s="449">
        <f>SUM(E6:E11)</f>
        <v>2.2562990803752904E-3</v>
      </c>
      <c r="F5" s="462" t="s">
        <v>211</v>
      </c>
      <c r="G5" s="449">
        <f>SUM(G6:G11)</f>
        <v>0.73160029742355281</v>
      </c>
      <c r="H5" s="449">
        <f>SUM(H6:H11)</f>
        <v>0.12009031024099848</v>
      </c>
      <c r="I5" s="464" t="s">
        <v>211</v>
      </c>
      <c r="J5" s="464" t="s">
        <v>211</v>
      </c>
      <c r="K5" s="464" t="s">
        <v>211</v>
      </c>
      <c r="L5" s="464" t="s">
        <v>211</v>
      </c>
      <c r="M5" s="449">
        <f>SUM(M6:M11)</f>
        <v>4.6016543211982654E-2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1.5868862327843559E-5</v>
      </c>
      <c r="C6" s="450"/>
      <c r="D6" s="893">
        <f>vkm_2011_GW_PW*SUMIFS(TableVerdeelsleutelVkm[CNG],TableVerdeelsleutelVkm[Voertuigtype],"Lichte voertuigen")*SUMIFS(TableECFTransport[EnergieConsumptieFactor (PJ per km)],TableECFTransport[Index],CONCATENATE($A6,"_CNG_CNG"))</f>
        <v>3.6706425653671819E-5</v>
      </c>
      <c r="E6" s="893">
        <f>vkm_2011_GW_PW*SUMIFS(TableVerdeelsleutelVkm[LPG],TableVerdeelsleutelVkm[Voertuigtype],"Lichte voertuigen")*SUMIFS(TableECFTransport[EnergieConsumptieFactor (PJ per km)],TableECFTransport[Index],CONCATENATE($A6,"_LPG_LPG"))</f>
        <v>2.3901007746715447E-4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4.965257533273662E-2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1.3996034885172063E-2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3.303032920254711E-3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3.3763372037103126E-2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1.1546460065290149E-5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1.9534024518241791E-3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2.3805369688145714E-5</v>
      </c>
      <c r="C8" s="450"/>
      <c r="D8" s="452">
        <f>vkm_2011_NGW_PW*SUMIFS(TableVerdeelsleutelVkm[CNG],TableVerdeelsleutelVkm[Voertuigtype],"Lichte voertuigen")*SUMIFS(TableECFTransport[EnergieConsumptieFactor (PJ per km)],TableECFTransport[Index],CONCATENATE($A8,"_CNG_CNG"))</f>
        <v>9.7392903793402442E-5</v>
      </c>
      <c r="E8" s="452">
        <f>vkm_2011_NGW_PW*SUMIFS(TableVerdeelsleutelVkm[LPG],TableVerdeelsleutelVkm[Voertuigtype],"Lichte voertuigen")*SUMIFS(TableECFTransport[EnergieConsumptieFactor (PJ per km)],TableECFTransport[Index],CONCATENATE($A8,"_LPG_LPG"))</f>
        <v>5.8526718776484175E-4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0.11365802806866963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3.5907486955856424E-2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7.6799888812275358E-3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1.4448580897202808E-2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4.6753924713712389E-6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8.3592412166980058E-4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7.2733054046143669E-5</v>
      </c>
      <c r="C10" s="450"/>
      <c r="D10" s="452">
        <f>vkm_2011_SW_PW*SUMIFS(TableVerdeelsleutelVkm[CNG],TableVerdeelsleutelVkm[Voertuigtype],"Lichte voertuigen")*SUMIFS(TableECFTransport[EnergieConsumptieFactor (PJ per km)],TableECFTransport[Index],CONCATENATE($A10,"_CNG_CNG"))</f>
        <v>1.7639976194267856E-4</v>
      </c>
      <c r="E10" s="452">
        <f>vkm_2011_SW_PW*SUMIFS(TableVerdeelsleutelVkm[LPG],TableVerdeelsleutelVkm[Voertuigtype],"Lichte voertuigen")*SUMIFS(TableECFTransport[EnergieConsumptieFactor (PJ per km)],TableECFTransport[Index],CONCATENATE($A10,"_LPG_LPG"))</f>
        <v>1.4320218151432943E-3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0.26782919633655172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7.0077597253024232E-2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1.7649980301684957E-2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0.25224854475128888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9.2969294409091057E-5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1.4594214535321469E-2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31.224246128370257</v>
      </c>
      <c r="C14" s="21"/>
      <c r="D14" s="21">
        <f t="shared" ref="D14:M14" si="0">((D5)*10^9/3600)+D12</f>
        <v>86.249747608264684</v>
      </c>
      <c r="E14" s="21">
        <f t="shared" si="0"/>
        <v>626.74974454869175</v>
      </c>
      <c r="F14" s="21"/>
      <c r="G14" s="21">
        <f t="shared" si="0"/>
        <v>203222.30483987581</v>
      </c>
      <c r="H14" s="21">
        <f t="shared" si="0"/>
        <v>33358.419511388463</v>
      </c>
      <c r="I14" s="21"/>
      <c r="J14" s="21"/>
      <c r="K14" s="21"/>
      <c r="L14" s="21"/>
      <c r="M14" s="21">
        <f t="shared" si="0"/>
        <v>12782.373114439626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0.20199827197891382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6.3072437617750818</v>
      </c>
      <c r="C18" s="23"/>
      <c r="D18" s="23">
        <f t="shared" ref="D18:M18" si="1">D14*D16</f>
        <v>17.422449016869468</v>
      </c>
      <c r="E18" s="23">
        <f t="shared" si="1"/>
        <v>142.27219201255303</v>
      </c>
      <c r="F18" s="23"/>
      <c r="G18" s="23">
        <f t="shared" si="1"/>
        <v>54260.355392246842</v>
      </c>
      <c r="H18" s="23">
        <f t="shared" si="1"/>
        <v>8306.2464583357269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4.8764344516514912E-3</v>
      </c>
      <c r="H50" s="321">
        <f t="shared" si="2"/>
        <v>0</v>
      </c>
      <c r="I50" s="321">
        <f t="shared" si="2"/>
        <v>0</v>
      </c>
      <c r="J50" s="321">
        <f t="shared" si="2"/>
        <v>0</v>
      </c>
      <c r="K50" s="321">
        <f t="shared" si="2"/>
        <v>0</v>
      </c>
      <c r="L50" s="321">
        <f t="shared" si="2"/>
        <v>0</v>
      </c>
      <c r="M50" s="321">
        <f t="shared" si="2"/>
        <v>2.7808884120333622E-4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4.8764344516514912E-3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2.7808884120333622E-4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1354.5651254587476</v>
      </c>
      <c r="H54" s="21">
        <f t="shared" si="3"/>
        <v>0</v>
      </c>
      <c r="I54" s="21">
        <f t="shared" si="3"/>
        <v>0</v>
      </c>
      <c r="J54" s="21">
        <f t="shared" si="3"/>
        <v>0</v>
      </c>
      <c r="K54" s="21">
        <f t="shared" si="3"/>
        <v>0</v>
      </c>
      <c r="L54" s="21">
        <f t="shared" si="3"/>
        <v>0</v>
      </c>
      <c r="M54" s="21">
        <f t="shared" si="3"/>
        <v>77.246900334260062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0.20199827197891382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361.66888849748563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15813.7522675567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15813.7522675567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2019-08-12T08:08:44Z</dcterms:modified>
</cp:coreProperties>
</file>