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P52"/>
  <c r="R44"/>
  <c r="E25"/>
  <c r="E55" s="1"/>
  <c r="C25"/>
  <c r="B14" i="48" s="1"/>
  <c r="L26" i="14"/>
  <c r="J26"/>
  <c r="I26"/>
  <c r="H26"/>
  <c r="R12"/>
  <c r="L90" l="1"/>
  <c r="L18" i="59"/>
  <c r="L20" s="1"/>
  <c r="N78" i="14"/>
  <c r="N9" i="59"/>
  <c r="H90" i="14"/>
  <c r="H18" i="59"/>
  <c r="D14" i="48"/>
  <c r="K78" i="14"/>
  <c r="O10" i="59"/>
  <c r="H20"/>
  <c r="M22" i="14"/>
  <c r="N10" i="59"/>
  <c r="G88" i="14"/>
  <c r="G18" i="59" s="1"/>
  <c r="K20"/>
  <c r="C98" i="18"/>
  <c r="F101" s="1"/>
  <c r="D13" i="15"/>
  <c r="C16" i="16"/>
  <c r="P22" i="14"/>
  <c r="E20" i="59"/>
  <c r="C13" i="15"/>
  <c r="B16" i="16"/>
  <c r="H9" i="18"/>
  <c r="O9" s="1"/>
  <c r="D22" i="14"/>
  <c r="L22"/>
  <c r="E10" i="59"/>
  <c r="G77" i="14"/>
  <c r="G9" i="59" s="1"/>
  <c r="G10" s="1"/>
  <c r="I77" i="14"/>
  <c r="I9" i="59" s="1"/>
  <c r="B13" i="15"/>
  <c r="B10" i="18"/>
  <c r="N13" i="15"/>
  <c r="L13"/>
  <c r="F77" i="14"/>
  <c r="F9" i="59" s="1"/>
  <c r="H101" i="18"/>
  <c r="D101"/>
  <c r="G101"/>
  <c r="C101"/>
  <c r="I102"/>
  <c r="H17" s="1"/>
  <c r="E102"/>
  <c r="E17" s="1"/>
  <c r="C102"/>
  <c r="F102"/>
  <c r="H102"/>
  <c r="D102"/>
  <c r="G102"/>
  <c r="B102"/>
  <c r="C17" s="1"/>
  <c r="O19"/>
  <c r="O78" i="14"/>
  <c r="N88"/>
  <c r="D10" i="18"/>
  <c r="E78" i="14"/>
  <c r="D77"/>
  <c r="D9" i="59" s="1"/>
  <c r="H77" i="14"/>
  <c r="O88"/>
  <c r="G89"/>
  <c r="G19" i="59" s="1"/>
  <c r="G20" s="1"/>
  <c r="G20" i="18"/>
  <c r="O18"/>
  <c r="O25" i="48"/>
  <c r="O27"/>
  <c r="Q11"/>
  <c r="O29"/>
  <c r="P31"/>
  <c r="O28"/>
  <c r="Q12"/>
  <c r="O24"/>
  <c r="O30"/>
  <c r="P24"/>
  <c r="P30"/>
  <c r="E90" i="14"/>
  <c r="R9"/>
  <c r="R25"/>
  <c r="K90"/>
  <c r="N90" l="1"/>
  <c r="N18" i="59"/>
  <c r="N20" s="1"/>
  <c r="H78" i="14"/>
  <c r="H9" i="59"/>
  <c r="H10" s="1"/>
  <c r="O90" i="14"/>
  <c r="O18" i="59"/>
  <c r="O20" s="1"/>
  <c r="B89" i="14"/>
  <c r="B19" i="59" s="1"/>
  <c r="J17" i="18"/>
  <c r="I8"/>
  <c r="G78" i="14"/>
  <c r="B101" i="18"/>
  <c r="C8" s="1"/>
  <c r="M77" i="14"/>
  <c r="M9" i="59" s="1"/>
  <c r="Q89" i="14"/>
  <c r="P19" i="59" s="1"/>
  <c r="I101" i="18"/>
  <c r="H8" s="1"/>
  <c r="M76" i="14" s="1"/>
  <c r="Q14" i="48"/>
  <c r="G90" i="14"/>
  <c r="C89"/>
  <c r="C19" i="59" s="1"/>
  <c r="E101" i="18"/>
  <c r="E8" s="1"/>
  <c r="C77" i="14"/>
  <c r="C9" i="59" s="1"/>
  <c r="J87" i="14"/>
  <c r="J20" i="18"/>
  <c r="H20"/>
  <c r="M87" i="14"/>
  <c r="F76"/>
  <c r="E10" i="18"/>
  <c r="C20"/>
  <c r="O17"/>
  <c r="O20" s="1"/>
  <c r="D87" i="14"/>
  <c r="D17" i="59" s="1"/>
  <c r="D20" s="1"/>
  <c r="H10" i="18"/>
  <c r="B88" i="14"/>
  <c r="B18" i="59" s="1"/>
  <c r="I17" i="18"/>
  <c r="D76" i="14"/>
  <c r="D8" i="59" s="1"/>
  <c r="D10" s="1"/>
  <c r="C10" i="18"/>
  <c r="J8"/>
  <c r="O8" s="1"/>
  <c r="O10" s="1"/>
  <c r="C88" i="14"/>
  <c r="C18" i="59" s="1"/>
  <c r="I10" i="18"/>
  <c r="I76" i="14"/>
  <c r="I8" i="59" s="1"/>
  <c r="I10"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G5" i="48"/>
  <c r="H10" i="14"/>
  <c r="H16" s="1"/>
  <c r="B77"/>
  <c r="B9" i="59" s="1"/>
  <c r="Q77" i="14"/>
  <c r="P9" i="59" s="1"/>
  <c r="Q76" i="14"/>
  <c r="D78"/>
  <c r="I78"/>
  <c r="J10" i="18"/>
  <c r="J76" i="14"/>
  <c r="I87"/>
  <c r="I17" i="59" s="1"/>
  <c r="I20" s="1"/>
  <c r="I20" i="18"/>
  <c r="Q87" i="14"/>
  <c r="D90"/>
  <c r="A31" i="23"/>
  <c r="A32"/>
  <c r="A33"/>
  <c r="J78" i="14" l="1"/>
  <c r="J8" i="59"/>
  <c r="J10" s="1"/>
  <c r="Q90" i="14"/>
  <c r="B17" i="6" s="1"/>
  <c r="P17" i="59"/>
  <c r="P20" s="1"/>
  <c r="Q78" i="14"/>
  <c r="B9" i="6" s="1"/>
  <c r="P8" i="59"/>
  <c r="P10" s="1"/>
  <c r="C87" i="14"/>
  <c r="B76"/>
  <c r="B87"/>
  <c r="I90"/>
  <c r="C76"/>
  <c r="B11" i="44"/>
  <c r="B25"/>
  <c r="B24"/>
  <c r="B90" i="14" l="1"/>
  <c r="B17" i="59"/>
  <c r="B20" s="1"/>
  <c r="C78" i="14"/>
  <c r="C8" i="59"/>
  <c r="C10" s="1"/>
  <c r="C90" i="14"/>
  <c r="C17" i="59"/>
  <c r="C20" s="1"/>
  <c r="B78" i="14"/>
  <c r="B4" i="6" s="1"/>
  <c r="B8" i="59"/>
  <c r="B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29"/>
  <c r="F31"/>
  <c r="F30"/>
  <c r="F27"/>
  <c r="F28"/>
  <c r="N31"/>
  <c r="N24"/>
  <c r="N30"/>
  <c r="N32"/>
  <c r="N28"/>
  <c r="N29"/>
  <c r="N27"/>
  <c r="C19" i="14"/>
  <c r="B10" i="48"/>
  <c r="E32"/>
  <c r="E28"/>
  <c r="E31"/>
  <c r="E29"/>
  <c r="E30"/>
  <c r="E24"/>
  <c r="M26"/>
  <c r="M25"/>
  <c r="M32"/>
  <c r="M22"/>
  <c r="M30"/>
  <c r="M29"/>
  <c r="M24"/>
  <c r="M23"/>
  <c r="L10" i="14"/>
  <c r="L16" s="1"/>
  <c r="L27" s="1"/>
  <c r="K5" i="48"/>
  <c r="D30"/>
  <c r="D29"/>
  <c r="D28"/>
  <c r="D31"/>
  <c r="D24"/>
  <c r="D32"/>
  <c r="L32"/>
  <c r="L27"/>
  <c r="L22"/>
  <c r="L30"/>
  <c r="L28"/>
  <c r="L24"/>
  <c r="L29"/>
  <c r="L31"/>
  <c r="Q10" i="14"/>
  <c r="P5" i="48"/>
  <c r="P23" s="1"/>
  <c r="K28"/>
  <c r="K32"/>
  <c r="K29"/>
  <c r="K26"/>
  <c r="K22"/>
  <c r="K27"/>
  <c r="K30"/>
  <c r="K31"/>
  <c r="K25"/>
  <c r="K24"/>
  <c r="B7"/>
  <c r="C24" i="14"/>
  <c r="C26" s="1"/>
  <c r="J24" i="48"/>
  <c r="J30"/>
  <c r="J32"/>
  <c r="J29"/>
  <c r="J31"/>
  <c r="J27"/>
  <c r="J28"/>
  <c r="Q11" i="14"/>
  <c r="P4" i="48"/>
  <c r="P11" i="14"/>
  <c r="O4" i="48"/>
  <c r="I25"/>
  <c r="I22"/>
  <c r="I26"/>
  <c r="I32"/>
  <c r="I30"/>
  <c r="I31"/>
  <c r="I28"/>
  <c r="I24"/>
  <c r="I29"/>
  <c r="I27"/>
  <c r="D4"/>
  <c r="D22" s="1"/>
  <c r="E11" i="14"/>
  <c r="H32" i="48"/>
  <c r="H26"/>
  <c r="H29"/>
  <c r="H28"/>
  <c r="H22"/>
  <c r="H30"/>
  <c r="H25"/>
  <c r="H24"/>
  <c r="H23"/>
  <c r="D11" i="14"/>
  <c r="C4" i="48"/>
  <c r="G24"/>
  <c r="G29"/>
  <c r="G32"/>
  <c r="G22"/>
  <c r="G25"/>
  <c r="G30"/>
  <c r="G26"/>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G11" i="14"/>
  <c r="F4" i="48"/>
  <c r="F22" s="1"/>
  <c r="P15"/>
  <c r="P22"/>
  <c r="P33" s="1"/>
  <c r="M12" i="22"/>
  <c r="M13" i="48"/>
  <c r="M31" s="1"/>
  <c r="N18" i="14"/>
  <c r="G13" i="48"/>
  <c r="H18" i="14"/>
  <c r="H13" i="48"/>
  <c r="H31" s="1"/>
  <c r="I18" i="14"/>
  <c r="P22" i="16"/>
  <c r="Q43" i="14" s="1"/>
  <c r="Q13"/>
  <c r="Q16" s="1"/>
  <c r="Q27" s="1"/>
  <c r="P8" i="48"/>
  <c r="P26" s="1"/>
  <c r="O22"/>
  <c r="K23"/>
  <c r="K33" s="1"/>
  <c r="K15"/>
  <c r="J10" i="14"/>
  <c r="J16" s="1"/>
  <c r="J27" s="1"/>
  <c r="I5" i="48"/>
  <c r="F20" i="14"/>
  <c r="F22" s="1"/>
  <c r="E9" i="48"/>
  <c r="E27" s="1"/>
  <c r="E20" i="14"/>
  <c r="E22" s="1"/>
  <c r="D9" i="48"/>
  <c r="D27" s="1"/>
  <c r="P10" i="14"/>
  <c r="O5" i="48"/>
  <c r="O23" s="1"/>
  <c r="J7"/>
  <c r="J25" s="1"/>
  <c r="K24" i="14"/>
  <c r="K26" s="1"/>
  <c r="L63"/>
  <c r="J46"/>
  <c r="J61" s="1"/>
  <c r="J63" s="1"/>
  <c r="D10"/>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Q63" i="14"/>
  <c r="E7" i="48"/>
  <c r="E25" s="1"/>
  <c r="F24" i="14"/>
  <c r="F26" s="1"/>
  <c r="M9" i="48"/>
  <c r="N20" i="14"/>
  <c r="G9" i="48"/>
  <c r="H20" i="14"/>
  <c r="M10" i="48"/>
  <c r="M28" s="1"/>
  <c r="N19" i="14"/>
  <c r="N22" s="1"/>
  <c r="N27" s="1"/>
  <c r="O22" i="16"/>
  <c r="P43" i="14" s="1"/>
  <c r="P46" s="1"/>
  <c r="P61" s="1"/>
  <c r="P13"/>
  <c r="P16" s="1"/>
  <c r="P27" s="1"/>
  <c r="O8" i="48"/>
  <c r="O26" s="1"/>
  <c r="I23"/>
  <c r="I33" s="1"/>
  <c r="I15"/>
  <c r="H19" i="14"/>
  <c r="G10" i="48"/>
  <c r="Q13"/>
  <c r="G31"/>
  <c r="K11" i="14"/>
  <c r="J4" i="48"/>
  <c r="O33"/>
  <c r="Q46" i="14"/>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P63"/>
  <c r="N63"/>
  <c r="J22" i="48"/>
  <c r="M27"/>
  <c r="M33" s="1"/>
  <c r="M15"/>
  <c r="J5"/>
  <c r="J23" s="1"/>
  <c r="K10" i="14"/>
  <c r="F10"/>
  <c r="E5" i="48"/>
  <c r="E23" s="1"/>
  <c r="G27"/>
  <c r="G15"/>
  <c r="H9"/>
  <c r="I20" i="14"/>
  <c r="G28" i="48"/>
  <c r="Q10"/>
  <c r="E22"/>
  <c r="Q4"/>
  <c r="O15"/>
  <c r="R19" i="14"/>
  <c r="H22"/>
  <c r="H27" s="1"/>
  <c r="H63" s="1"/>
  <c r="R11"/>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R22" l="1"/>
  <c r="H27" i="48"/>
  <c r="H33" s="1"/>
  <c r="H15"/>
  <c r="I22" i="14"/>
  <c r="I27" s="1"/>
  <c r="I63" s="1"/>
  <c r="R20"/>
  <c r="J22" i="16"/>
  <c r="K43" i="14" s="1"/>
  <c r="K46" s="1"/>
  <c r="K61" s="1"/>
  <c r="K63" s="1"/>
  <c r="K13"/>
  <c r="K16" s="1"/>
  <c r="K27" s="1"/>
  <c r="J8" i="48"/>
  <c r="J26" s="1"/>
  <c r="J33" s="1"/>
  <c r="F13" i="14"/>
  <c r="E8" i="48"/>
  <c r="F46" i="14"/>
  <c r="F61" s="1"/>
  <c r="Q9" i="48"/>
  <c r="F16" i="14"/>
  <c r="F27" s="1"/>
  <c r="G33" i="48"/>
  <c r="O13" i="14"/>
  <c r="N8" i="48"/>
  <c r="N26" s="1"/>
  <c r="F8"/>
  <c r="G13" i="14"/>
  <c r="R13" s="1"/>
  <c r="E26" i="48" l="1"/>
  <c r="E33" s="1"/>
  <c r="E15"/>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<sst xmlns="http://schemas.openxmlformats.org/spreadsheetml/2006/main" count="2419" uniqueCount="907">
  <si>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</si>
  <si>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</si>
  <si>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</si>
  <si>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</si>
  <si>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</si>
  <si>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</si>
  <si>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</si>
  <si>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</si>
  <si>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</si>
  <si>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</si>
  <si>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</si>
  <si>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</si>
  <si>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</si>
  <si>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</si>
  <si>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</si>
  <si>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</si>
  <si>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</si>
  <si>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</si>
  <si>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</si>
  <si>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</si>
  <si>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</si>
  <si>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</si>
  <si>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</si>
  <si>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</si>
  <si>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</si>
  <si>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</si>
  <si>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</si>
  <si>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</si>
  <si>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</si>
  <si>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</si>
  <si>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</si>
  <si>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</si>
  <si>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</si>
  <si>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</si>
  <si>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</si>
  <si>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</si>
  <si>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</si>
  <si>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</si>
  <si>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</si>
  <si>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</si>
  <si>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</si>
  <si>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</si>
  <si>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</si>
  <si>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</si>
  <si>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</si>
  <si>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</si>
  <si>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</si>
  <si>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</si>
  <si>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</si>
  <si>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</si>
  <si>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</si>
  <si>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</si>
  <si>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</si>
  <si>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</si>
  <si>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</si>
  <si>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</si>
  <si>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</si>
  <si>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</si>
  <si>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</si>
  <si>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</si>
  <si>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</si>
  <si>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</si>
  <si>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</si>
  <si>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</si>
  <si>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</si>
  <si>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</si>
  <si>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</si>
  <si>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</si>
  <si>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</si>
  <si>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</si>
  <si>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</si>
  <si>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</si>
  <si>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</si>
  <si>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</si>
  <si>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</si>
  <si>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</si>
  <si>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</si>
  <si>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</si>
  <si>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</si>
  <si>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</si>
  <si>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</si>
  <si>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</si>
  <si>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</si>
  <si>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</si>
  <si>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</si>
  <si>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</si>
  <si>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</si>
  <si>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</si>
  <si>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</si>
  <si>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</si>
  <si>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</si>
  <si>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</si>
  <si>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</si>
  <si>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</si>
  <si>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</si>
  <si>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</si>
  <si>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</si>
  <si>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</si>
  <si>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</si>
  <si>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</si>
  <si>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</si>
  <si>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</si>
  <si>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</si>
  <si>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</si>
  <si>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</si>
  <si>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</si>
  <si>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</si>
  <si>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</si>
  <si>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</si>
  <si>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</si>
  <si>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</si>
  <si>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</si>
  <si>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</si>
  <si>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</si>
  <si>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</si>
  <si>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</si>
  <si>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</si>
  <si>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</si>
  <si>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</si>
  <si>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</si>
  <si>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</si>
  <si>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</si>
  <si>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</si>
  <si>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</si>
  <si>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</si>
  <si>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</si>
  <si>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</si>
  <si>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</si>
  <si>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</si>
  <si>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</si>
  <si>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</si>
  <si>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</si>
  <si>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</si>
  <si>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</si>
  <si>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</si>
  <si>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</si>
  <si>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</si>
  <si>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</si>
  <si>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</si>
  <si>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</si>
  <si>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</si>
  <si>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</si>
  <si>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</si>
  <si>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</si>
  <si>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</si>
  <si>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</si>
  <si>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</si>
  <si>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</si>
  <si>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</si>
  <si>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</si>
  <si>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</si>
  <si>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</si>
  <si>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</si>
  <si>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</si>
  <si>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</si>
  <si>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</si>
  <si>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</si>
  <si>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</si>
  <si>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</si>
  <si>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</si>
  <si>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</si>
  <si>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</si>
  <si>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</si>
  <si>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</si>
  <si>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</si>
  <si>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</si>
  <si>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</si>
  <si>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</si>
  <si>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</si>
  <si>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</si>
  <si>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</si>
  <si>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</si>
  <si>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</si>
  <si>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</si>
  <si>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</si>
  <si>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</si>
  <si>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</si>
  <si>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</si>
  <si>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</si>
  <si>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</si>
  <si>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</si>
  <si>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</si>
  <si>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</si>
  <si>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</si>
  <si>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</si>
  <si>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</si>
  <si>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</si>
  <si>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</si>
  <si>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</si>
  <si>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</si>
  <si>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</si>
  <si>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</si>
  <si>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</si>
  <si>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</si>
  <si>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</si>
  <si>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</si>
  <si>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</si>
  <si>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</si>
  <si>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</si>
  <si>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</si>
  <si>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</si>
  <si>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</si>
  <si>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</si>
  <si>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</si>
  <si>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</si>
  <si>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</si>
  <si>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</si>
  <si>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</si>
  <si>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</si>
  <si>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</si>
  <si>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</si>
  <si>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</si>
  <si>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</si>
  <si>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</si>
  <si>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</si>
  <si>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</si>
  <si>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</si>
  <si>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</si>
  <si>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</si>
  <si>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</si>
  <si>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</si>
  <si>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</si>
  <si>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</si>
  <si>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</si>
  <si>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</si>
  <si>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</si>
  <si>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</si>
  <si>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</si>
  <si>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</si>
  <si>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</si>
  <si>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</si>
  <si>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</si>
  <si>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</si>
  <si>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</si>
  <si>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</si>
  <si>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</si>
  <si>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</si>
  <si>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</si>
  <si>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</si>
  <si>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</si>
  <si>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</si>
  <si>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</si>
  <si>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</si>
  <si>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</si>
  <si>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</si>
  <si>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</si>
  <si>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</si>
  <si>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</si>
  <si>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</si>
  <si>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</si>
  <si>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</si>
  <si>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</si>
  <si>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</si>
  <si>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</si>
  <si>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</si>
  <si>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</si>
  <si>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</si>
  <si>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</si>
  <si>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</si>
  <si>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</si>
  <si>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</si>
  <si>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</si>
  <si>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</si>
  <si>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</si>
  <si>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</si>
  <si>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</si>
  <si>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</si>
  <si>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</si>
  <si>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</si>
  <si>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</si>
  <si>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</si>
  <si>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</si>
  <si>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</si>
  <si>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</si>
  <si>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</si>
  <si>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</si>
  <si>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</si>
  <si>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</si>
  <si>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</si>
  <si>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</si>
  <si>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</si>
  <si>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</si>
  <si>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</si>
  <si>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</si>
  <si>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</si>
  <si>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</si>
  <si>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</si>
  <si>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</si>
  <si>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</si>
  <si>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</si>
  <si>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</si>
  <si>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</si>
  <si>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</si>
  <si>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</si>
  <si>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</si>
  <si>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</si>
  <si>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</si>
  <si>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</si>
  <si>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</si>
  <si>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</si>
  <si>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</si>
  <si>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</si>
  <si>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</si>
  <si>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</si>
  <si>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</si>
  <si>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</si>
  <si>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</si>
  <si>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</si>
  <si>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</si>
  <si>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</si>
  <si>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</si>
  <si>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</si>
  <si>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</si>
  <si>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</si>
  <si>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</si>
  <si>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</si>
  <si>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</si>
  <si>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</si>
  <si>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</si>
  <si>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</si>
  <si>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</si>
  <si>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</si>
  <si>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</si>
  <si>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</si>
  <si>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</si>
  <si>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</si>
  <si>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</si>
  <si>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</si>
  <si>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</si>
  <si>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</si>
  <si>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</si>
  <si>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</si>
  <si>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</si>
  <si>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</si>
  <si>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</si>
  <si>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</si>
  <si>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</si>
  <si>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</si>
  <si>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</si>
  <si>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</si>
  <si>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</si>
  <si>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</si>
  <si>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</si>
  <si>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</si>
  <si>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</si>
  <si>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</si>
  <si>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</si>
  <si>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</si>
  <si>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</si>
  <si>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</si>
  <si>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</si>
  <si>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</si>
  <si>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</si>
  <si>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</si>
  <si>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</si>
  <si>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</si>
  <si>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</si>
  <si>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</si>
  <si>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</si>
  <si>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</si>
  <si>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</si>
  <si>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</si>
  <si>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</si>
  <si>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</si>
  <si>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</si>
  <si>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</si>
  <si>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</si>
  <si>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</si>
  <si>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</si>
  <si>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</si>
  <si>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</si>
  <si>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</si>
  <si>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</si>
  <si>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</si>
  <si>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</si>
  <si>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</si>
  <si>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</si>
  <si>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</si>
  <si>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</si>
  <si>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</si>
  <si>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</si>
  <si>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</si>
  <si>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</si>
  <si>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</si>
  <si>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</si>
  <si>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</si>
  <si>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</si>
  <si>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</si>
  <si>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</si>
  <si>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</si>
  <si>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</si>
  <si>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</si>
  <si>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</si>
  <si>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</si>
  <si>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</si>
  <si>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</si>
  <si>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</si>
  <si>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</si>
  <si>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</si>
  <si>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</si>
  <si>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</si>
  <si>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</si>
  <si>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</si>
  <si>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</si>
  <si>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</si>
  <si>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</si>
  <si>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</si>
  <si>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</si>
  <si>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</si>
  <si>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</si>
  <si>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</si>
  <si>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</si>
  <si>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</si>
  <si>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</si>
  <si>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</si>
  <si>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</si>
  <si>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</si>
  <si>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</si>
  <si>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</si>
  <si>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</si>
  <si>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</si>
  <si>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</si>
  <si>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</si>
  <si>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</si>
  <si>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</si>
  <si>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</si>
  <si>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</si>
  <si>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</si>
  <si>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</si>
  <si>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</si>
  <si>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</si>
  <si>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</si>
  <si>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</si>
  <si>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</si>
  <si>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</si>
  <si>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</si>
  <si>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</si>
  <si>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</si>
  <si>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</si>
  <si>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</si>
  <si>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</si>
  <si>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</si>
  <si>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</si>
  <si>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</si>
  <si>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</si>
  <si>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</si>
  <si>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</si>
  <si>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</si>
  <si>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</si>
  <si>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</si>
  <si>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</si>
  <si>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</si>
  <si>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</si>
  <si>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</si>
  <si>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</si>
  <si>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</si>
  <si>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</si>
  <si>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</si>
  <si>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</si>
  <si>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</si>
  <si>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</si>
  <si>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</si>
  <si>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</si>
  <si>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</si>
  <si>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</si>
  <si>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</si>
  <si>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</si>
  <si>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</si>
  <si>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</si>
  <si>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</si>
  <si>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</si>
  <si>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</si>
  <si>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</si>
  <si>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</si>
  <si>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</si>
  <si>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</si>
  <si>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</si>
  <si>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</si>
  <si>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</si>
  <si>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</si>
  <si>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</si>
  <si>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</si>
  <si>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</si>
  <si>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</si>
  <si>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</si>
  <si>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</si>
  <si>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</si>
  <si>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</si>
  <si>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</si>
  <si>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</si>
  <si>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</si>
  <si>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</si>
  <si>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</si>
  <si>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</si>
  <si>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</si>
  <si>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</si>
  <si>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</si>
  <si>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</si>
  <si>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</si>
  <si>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</si>
  <si>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</si>
  <si>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</si>
  <si>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</si>
  <si>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</si>
  <si>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</si>
  <si>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</si>
  <si>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</si>
  <si>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</si>
  <si>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</si>
  <si>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</si>
  <si>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</si>
  <si>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</si>
  <si>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</si>
  <si>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</si>
  <si>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</si>
  <si>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</si>
  <si>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</si>
  <si>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</si>
  <si>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</si>
  <si>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</si>
  <si>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</si>
  <si>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</si>
  <si>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</si>
  <si>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</si>
  <si>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</si>
  <si>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</si>
  <si>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</si>
  <si>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</si>
  <si>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</si>
  <si>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</si>
  <si>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</si>
  <si>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</si>
  <si>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</si>
  <si>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</si>
  <si>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</si>
  <si>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</si>
  <si>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</si>
  <si>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</si>
  <si>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</si>
  <si>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</si>
  <si>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</si>
  <si>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</si>
  <si>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</si>
  <si>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</si>
  <si>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</si>
  <si>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</si>
  <si>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</si>
  <si>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</si>
  <si>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</si>
  <si>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</si>
  <si>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</si>
  <si>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</si>
  <si>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</si>
  <si>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</si>
  <si>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</si>
  <si>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</si>
  <si>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</si>
  <si>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</si>
  <si>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</si>
  <si>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</si>
  <si>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</si>
  <si>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</si>
  <si>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</si>
  <si>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</si>
  <si>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</si>
  <si>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</si>
  <si>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</si>
  <si>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</si>
  <si>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</si>
  <si>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</si>
  <si>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</si>
  <si>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</si>
  <si>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</si>
  <si>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</si>
  <si>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</si>
  <si>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</si>
  <si>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</si>
  <si>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</si>
  <si>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</si>
  <si>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</si>
  <si>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</si>
  <si>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</si>
  <si>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</si>
  <si>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</si>
  <si>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</si>
  <si>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</si>
  <si>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</si>
  <si>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</si>
  <si>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</si>
  <si>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</si>
  <si>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</si>
  <si>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</si>
  <si>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</si>
  <si>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</si>
  <si>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</si>
  <si>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</si>
  <si>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</si>
  <si>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</si>
  <si>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</si>
  <si>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</si>
  <si>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</si>
  <si>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</si>
  <si>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</si>
  <si>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</si>
  <si>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</si>
  <si>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</si>
  <si>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</si>
  <si>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</si>
  <si>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</si>
  <si>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</si>
  <si>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</si>
  <si>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</si>
  <si>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</si>
  <si>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</si>
  <si>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</si>
  <si>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</si>
  <si>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</si>
  <si>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</si>
  <si>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</si>
  <si>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</si>
  <si>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</si>
  <si>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</si>
  <si>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</si>
  <si>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</si>
  <si>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</si>
  <si>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</si>
  <si>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</si>
  <si>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</si>
  <si>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</si>
  <si>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</si>
  <si>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</si>
  <si>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</si>
  <si>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</si>
  <si>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</si>
  <si>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</si>
  <si>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</si>
  <si>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</si>
  <si>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</si>
  <si>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</si>
  <si>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</si>
  <si>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</si>
  <si>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</si>
  <si>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</si>
  <si>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</si>
  <si>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</si>
  <si>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</si>
  <si>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</si>
  <si>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</si>
  <si>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</si>
  <si>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</si>
  <si>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</si>
  <si>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</si>
  <si>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</si>
  <si>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</si>
  <si>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</si>
  <si>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</si>
  <si>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</si>
  <si>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</si>
  <si>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</si>
  <si>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</si>
  <si>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</si>
  <si>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</si>
  <si>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</si>
  <si>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</si>
  <si>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</si>
  <si>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</si>
  <si>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</si>
  <si>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</si>
  <si>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</si>
  <si>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</si>
  <si>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</si>
  <si>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</si>
  <si>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</si>
  <si>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</si>
  <si>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</si>
  <si>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</si>
  <si>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</si>
  <si>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</si>
  <si>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</si>
  <si>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</si>
  <si>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</si>
  <si>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</si>
  <si>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</si>
  <si>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</si>
  <si>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</si>
  <si>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</si>
  <si>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</si>
  <si>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</si>
  <si>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</si>
  <si>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</si>
  <si>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</si>
  <si>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</si>
  <si>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</si>
  <si>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</si>
  <si>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</si>
  <si>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</si>
  <si>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</si>
  <si>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</si>
  <si>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</si>
  <si>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</si>
  <si>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</si>
  <si>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</si>
  <si>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</si>
  <si>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</si>
  <si>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</si>
  <si>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</si>
  <si>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</si>
  <si>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</si>
  <si>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</si>
  <si>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</si>
  <si>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</si>
  <si>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</si>
  <si>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</si>
  <si>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</si>
  <si>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</si>
  <si>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</si>
  <si>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</si>
  <si>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</si>
  <si>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</si>
  <si>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</si>
  <si>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</si>
  <si>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</si>
  <si>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</si>
  <si>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</si>
  <si>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</si>
  <si>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</si>
  <si>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</si>
  <si>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</si>
  <si>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</si>
  <si>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</si>
  <si>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</si>
  <si>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</si>
  <si>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</si>
  <si>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</si>
  <si>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</si>
  <si>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</si>
  <si>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</si>
  <si>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</si>
  <si>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</si>
  <si>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</si>
  <si>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</si>
  <si>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</si>
  <si>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</si>
  <si>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</si>
  <si>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</si>
  <si>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</si>
  <si>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</si>
  <si>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</si>
  <si>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</si>
  <si>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</si>
  <si>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</si>
  <si>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</si>
  <si>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</si>
  <si>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</si>
  <si>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</si>
  <si>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</si>
  <si>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</si>
  <si>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</si>
  <si>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</si>
  <si>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</si>
  <si>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</si>
  <si>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</si>
  <si>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</si>
  <si>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</si>
  <si>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</si>
  <si>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</si>
  <si>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</si>
  <si>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</si>
  <si>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</si>
  <si>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</si>
  <si>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</si>
  <si>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</si>
  <si>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</si>
  <si>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</si>
  <si>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</si>
  <si>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</si>
  <si>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</si>
  <si>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</si>
  <si>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</si>
  <si>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</si>
  <si>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</si>
  <si>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</si>
  <si>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</si>
  <si>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</si>
  <si>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</si>
  <si>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</si>
  <si>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</si>
  <si>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</si>
  <si>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</si>
  <si>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</si>
  <si>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</si>
  <si>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</si>
  <si>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</si>
  <si>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</si>
  <si>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</si>
  <si>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</si>
  <si>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</si>
  <si>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</si>
  <si>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</si>
  <si>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</si>
  <si>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</si>
  <si>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</si>
  <si>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</si>
  <si>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</si>
  <si>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</si>
  <si>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</si>
  <si>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</si>
  <si>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</si>
  <si>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</si>
  <si>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</si>
  <si>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</si>
  <si>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</si>
  <si>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</si>
  <si>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</si>
  <si>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</si>
  <si>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</si>
  <si>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</si>
  <si>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</si>
  <si>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</si>
  <si>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</si>
  <si>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</si>
  <si>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</si>
  <si>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</si>
  <si>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</si>
  <si>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</si>
  <si>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</si>
  <si>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</si>
  <si>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</si>
  <si>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</si>
  <si>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</si>
  <si>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</si>
  <si>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</si>
  <si>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</si>
  <si>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</si>
  <si>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</si>
  <si>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</si>
  <si>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</si>
  <si>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</si>
  <si>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</si>
  <si>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</si>
  <si>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</si>
  <si>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</si>
  <si>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</si>
  <si>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</si>
  <si>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</si>
  <si>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</si>
  <si>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</si>
  <si>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</si>
  <si>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</si>
  <si>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</si>
  <si>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</si>
  <si>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</si>
  <si>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</si>
  <si>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</si>
  <si>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</si>
  <si>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</si>
  <si>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</si>
  <si>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</si>
  <si>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</si>
  <si>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</si>
  <si>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</si>
  <si>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</si>
  <si>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</si>
  <si>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</si>
  <si>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</si>
  <si>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</si>
  <si>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</si>
  <si>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</si>
  <si>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</si>
  <si>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</si>
  <si>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</si>
  <si>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</si>
  <si>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</si>
  <si>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</si>
  <si>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</si>
  <si>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</si>
  <si>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</si>
  <si>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</si>
  <si>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</si>
  <si>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</si>
  <si>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</si>
  <si>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</si>
  <si>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</si>
  <si>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</si>
  <si>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</si>
  <si>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</si>
  <si>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</si>
  <si>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</si>
  <si>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</si>
  <si>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</si>
  <si>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</si>
  <si>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</si>
  <si>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</si>
  <si>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</si>
  <si>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</si>
  <si>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</si>
  <si>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</si>
  <si>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</si>
  <si>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</si>
  <si>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34040</t>
  </si>
  <si>
    <t>WAREGEM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</si>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</sst>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274933.77677022718</c:v>
                </c:pt>
                <c:pt idx="1">
                  <c:v>206660.99623462133</c:v>
                </c:pt>
                <c:pt idx="2">
                  <c:v>2878.154</c:v>
                </c:pt>
                <c:pt idx="3">
                  <c:v>6692.1685695757269</c:v>
                </c:pt>
                <c:pt idx="4">
                  <c:v>555111.7167074075</c:v>
                </c:pt>
                <c:pt idx="5">
                  <c:v>361376.34567270498</c:v>
                </c:pt>
                <c:pt idx="6">
                  <c:v>2022.7966405102634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274933.77677022718</c:v>
                </c:pt>
                <c:pt idx="1">
                  <c:v>206660.99623462133</c:v>
                </c:pt>
                <c:pt idx="2">
                  <c:v>2878.154</c:v>
                </c:pt>
                <c:pt idx="3">
                  <c:v>6692.1685695757269</c:v>
                </c:pt>
                <c:pt idx="4">
                  <c:v>555111.7167074075</c:v>
                </c:pt>
                <c:pt idx="5">
                  <c:v>361376.34567270498</c:v>
                </c:pt>
                <c:pt idx="6">
                  <c:v>2022.7966405102634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54840.492400317467</c:v>
                </c:pt>
                <c:pt idx="2">
                  <c:v>41596.523604727197</c:v>
                </c:pt>
                <c:pt idx="3">
                  <c:v>580.91969196368882</c:v>
                </c:pt>
                <c:pt idx="4">
                  <c:v>1622.3915461298116</c:v>
                </c:pt>
                <c:pt idx="5">
                  <c:v>108720.06411802235</c:v>
                </c:pt>
                <c:pt idx="6">
                  <c:v>90716.060475750171</c:v>
                </c:pt>
                <c:pt idx="7">
                  <c:v>510.94878339536831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54840.492400317467</c:v>
                </c:pt>
                <c:pt idx="2">
                  <c:v>41596.523604727197</c:v>
                </c:pt>
                <c:pt idx="3">
                  <c:v>580.91969196368882</c:v>
                </c:pt>
                <c:pt idx="4">
                  <c:v>1622.3915461298116</c:v>
                </c:pt>
                <c:pt idx="5">
                  <c:v>108720.06411802235</c:v>
                </c:pt>
                <c:pt idx="6">
                  <c:v>90716.060475750171</c:v>
                </c:pt>
                <c:pt idx="7">
                  <c:v>510.94878339536831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34040</v>
      </c>
      <c r="B6" s="416"/>
      <c r="C6" s="417"/>
    </row>
    <row r="7" spans="1:7" s="414" customFormat="1" ht="15.75" customHeight="1">
      <c r="A7" s="418" t="str">
        <f>txtMunicipality</f>
        <v>WAREGEM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0.20183759867042861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0.20183759867042861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15454</v>
      </c>
      <c r="C9" s="342">
        <v>15588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1645</v>
      </c>
    </row>
    <row r="15" spans="1:6">
      <c r="A15" s="348" t="s">
        <v>184</v>
      </c>
      <c r="B15" s="334">
        <v>20</v>
      </c>
    </row>
    <row r="16" spans="1:6">
      <c r="A16" s="348" t="s">
        <v>6</v>
      </c>
      <c r="B16" s="334">
        <v>625</v>
      </c>
    </row>
    <row r="17" spans="1:6">
      <c r="A17" s="348" t="s">
        <v>7</v>
      </c>
      <c r="B17" s="334">
        <v>572</v>
      </c>
    </row>
    <row r="18" spans="1:6">
      <c r="A18" s="348" t="s">
        <v>8</v>
      </c>
      <c r="B18" s="334">
        <v>744</v>
      </c>
    </row>
    <row r="19" spans="1:6">
      <c r="A19" s="348" t="s">
        <v>9</v>
      </c>
      <c r="B19" s="334">
        <v>669</v>
      </c>
    </row>
    <row r="20" spans="1:6">
      <c r="A20" s="348" t="s">
        <v>10</v>
      </c>
      <c r="B20" s="334">
        <v>544</v>
      </c>
    </row>
    <row r="21" spans="1:6">
      <c r="A21" s="348" t="s">
        <v>11</v>
      </c>
      <c r="B21" s="334">
        <v>1209</v>
      </c>
    </row>
    <row r="22" spans="1:6">
      <c r="A22" s="348" t="s">
        <v>12</v>
      </c>
      <c r="B22" s="334">
        <v>5500</v>
      </c>
    </row>
    <row r="23" spans="1:6">
      <c r="A23" s="348" t="s">
        <v>13</v>
      </c>
      <c r="B23" s="334">
        <v>40</v>
      </c>
    </row>
    <row r="24" spans="1:6">
      <c r="A24" s="348" t="s">
        <v>14</v>
      </c>
      <c r="B24" s="334">
        <v>2</v>
      </c>
    </row>
    <row r="25" spans="1:6">
      <c r="A25" s="348" t="s">
        <v>15</v>
      </c>
      <c r="B25" s="334">
        <v>297</v>
      </c>
    </row>
    <row r="26" spans="1:6">
      <c r="A26" s="348" t="s">
        <v>16</v>
      </c>
      <c r="B26" s="334">
        <v>238</v>
      </c>
    </row>
    <row r="27" spans="1:6">
      <c r="A27" s="348" t="s">
        <v>17</v>
      </c>
      <c r="B27" s="334">
        <v>14</v>
      </c>
    </row>
    <row r="28" spans="1:6" s="356" customFormat="1">
      <c r="A28" s="355" t="s">
        <v>18</v>
      </c>
      <c r="B28" s="355">
        <v>38190</v>
      </c>
    </row>
    <row r="29" spans="1:6">
      <c r="A29" s="355" t="s">
        <v>901</v>
      </c>
      <c r="B29" s="355">
        <v>106</v>
      </c>
      <c r="C29" s="356"/>
      <c r="D29" s="356"/>
      <c r="E29" s="356"/>
      <c r="F29" s="356"/>
    </row>
    <row r="30" spans="1:6">
      <c r="A30" s="341" t="s">
        <v>902</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923207.37993075396</v>
      </c>
      <c r="E36" s="334">
        <v>5</v>
      </c>
      <c r="F36" s="334">
        <v>33952.5</v>
      </c>
    </row>
    <row r="37" spans="1:6">
      <c r="A37" s="348" t="s">
        <v>25</v>
      </c>
      <c r="B37" s="348" t="s">
        <v>28</v>
      </c>
      <c r="C37" s="334">
        <v>0</v>
      </c>
      <c r="D37" s="334">
        <v>0</v>
      </c>
      <c r="E37" s="334">
        <v>0</v>
      </c>
      <c r="F37" s="334">
        <v>0</v>
      </c>
    </row>
    <row r="38" spans="1:6">
      <c r="A38" s="348" t="s">
        <v>25</v>
      </c>
      <c r="B38" s="348" t="s">
        <v>29</v>
      </c>
      <c r="C38" s="334">
        <v>0</v>
      </c>
      <c r="D38" s="334">
        <v>0</v>
      </c>
      <c r="E38" s="334">
        <v>6</v>
      </c>
      <c r="F38" s="334">
        <v>25941.48</v>
      </c>
    </row>
    <row r="39" spans="1:6">
      <c r="A39" s="348" t="s">
        <v>30</v>
      </c>
      <c r="B39" s="348" t="s">
        <v>31</v>
      </c>
      <c r="C39" s="334">
        <v>9069</v>
      </c>
      <c r="D39" s="334">
        <v>127077689.44684599</v>
      </c>
      <c r="E39" s="334">
        <v>15017</v>
      </c>
      <c r="F39" s="334">
        <v>62194591.266000003</v>
      </c>
    </row>
    <row r="40" spans="1:6">
      <c r="A40" s="348" t="s">
        <v>30</v>
      </c>
      <c r="B40" s="348" t="s">
        <v>29</v>
      </c>
      <c r="C40" s="334">
        <v>2</v>
      </c>
      <c r="D40" s="334">
        <v>34445.5178762293</v>
      </c>
      <c r="E40" s="334">
        <v>0</v>
      </c>
      <c r="F40" s="334">
        <v>0</v>
      </c>
    </row>
    <row r="41" spans="1:6">
      <c r="A41" s="348" t="s">
        <v>32</v>
      </c>
      <c r="B41" s="348" t="s">
        <v>33</v>
      </c>
      <c r="C41" s="334">
        <v>188</v>
      </c>
      <c r="D41" s="334">
        <v>7624516.7589462101</v>
      </c>
      <c r="E41" s="334">
        <v>491</v>
      </c>
      <c r="F41" s="334">
        <v>16032617</v>
      </c>
    </row>
    <row r="42" spans="1:6">
      <c r="A42" s="348" t="s">
        <v>32</v>
      </c>
      <c r="B42" s="348" t="s">
        <v>34</v>
      </c>
      <c r="C42" s="334">
        <v>0</v>
      </c>
      <c r="D42" s="334">
        <v>0</v>
      </c>
      <c r="E42" s="334">
        <v>3</v>
      </c>
      <c r="F42" s="334">
        <v>1261998</v>
      </c>
    </row>
    <row r="43" spans="1:6">
      <c r="A43" s="348" t="s">
        <v>32</v>
      </c>
      <c r="B43" s="348" t="s">
        <v>35</v>
      </c>
      <c r="C43" s="334">
        <v>0</v>
      </c>
      <c r="D43" s="334">
        <v>0</v>
      </c>
      <c r="E43" s="334">
        <v>0</v>
      </c>
      <c r="F43" s="334">
        <v>0</v>
      </c>
    </row>
    <row r="44" spans="1:6">
      <c r="A44" s="348" t="s">
        <v>32</v>
      </c>
      <c r="B44" s="348" t="s">
        <v>36</v>
      </c>
      <c r="C44" s="334">
        <v>18</v>
      </c>
      <c r="D44" s="334">
        <v>10183494.300031301</v>
      </c>
      <c r="E44" s="334">
        <v>58</v>
      </c>
      <c r="F44" s="334">
        <v>6232964</v>
      </c>
    </row>
    <row r="45" spans="1:6">
      <c r="A45" s="348" t="s">
        <v>32</v>
      </c>
      <c r="B45" s="348" t="s">
        <v>37</v>
      </c>
      <c r="C45" s="334">
        <v>0</v>
      </c>
      <c r="D45" s="334">
        <v>0</v>
      </c>
      <c r="E45" s="334">
        <v>11</v>
      </c>
      <c r="F45" s="334">
        <v>1277807</v>
      </c>
    </row>
    <row r="46" spans="1:6">
      <c r="A46" s="348" t="s">
        <v>32</v>
      </c>
      <c r="B46" s="348" t="s">
        <v>38</v>
      </c>
      <c r="C46" s="334">
        <v>0</v>
      </c>
      <c r="D46" s="334">
        <v>0</v>
      </c>
      <c r="E46" s="334">
        <v>0</v>
      </c>
      <c r="F46" s="334">
        <v>0</v>
      </c>
    </row>
    <row r="47" spans="1:6">
      <c r="A47" s="348" t="s">
        <v>32</v>
      </c>
      <c r="B47" s="348" t="s">
        <v>39</v>
      </c>
      <c r="C47" s="334">
        <v>0</v>
      </c>
      <c r="D47" s="334">
        <v>0</v>
      </c>
      <c r="E47" s="334">
        <v>9</v>
      </c>
      <c r="F47" s="334">
        <v>920783</v>
      </c>
    </row>
    <row r="48" spans="1:6">
      <c r="A48" s="348" t="s">
        <v>32</v>
      </c>
      <c r="B48" s="348" t="s">
        <v>29</v>
      </c>
      <c r="C48" s="334">
        <v>107</v>
      </c>
      <c r="D48" s="334">
        <v>198781085.858096</v>
      </c>
      <c r="E48" s="334">
        <v>154</v>
      </c>
      <c r="F48" s="334">
        <v>158000000</v>
      </c>
    </row>
    <row r="49" spans="1:6">
      <c r="A49" s="348" t="s">
        <v>32</v>
      </c>
      <c r="B49" s="348" t="s">
        <v>40</v>
      </c>
      <c r="C49" s="334">
        <v>17</v>
      </c>
      <c r="D49" s="334">
        <v>17788752.761960998</v>
      </c>
      <c r="E49" s="334">
        <v>75</v>
      </c>
      <c r="F49" s="334">
        <v>53699809</v>
      </c>
    </row>
    <row r="50" spans="1:6">
      <c r="A50" s="348" t="s">
        <v>32</v>
      </c>
      <c r="B50" s="348" t="s">
        <v>41</v>
      </c>
      <c r="C50" s="334">
        <v>10</v>
      </c>
      <c r="D50" s="334">
        <v>829499.61549159104</v>
      </c>
      <c r="E50" s="334">
        <v>20</v>
      </c>
      <c r="F50" s="334">
        <v>894070.1</v>
      </c>
    </row>
    <row r="51" spans="1:6">
      <c r="A51" s="348" t="s">
        <v>42</v>
      </c>
      <c r="B51" s="348" t="s">
        <v>43</v>
      </c>
      <c r="C51" s="334">
        <v>12</v>
      </c>
      <c r="D51" s="334">
        <v>846334.32424659305</v>
      </c>
      <c r="E51" s="334">
        <v>65</v>
      </c>
      <c r="F51" s="334">
        <v>1196174</v>
      </c>
    </row>
    <row r="52" spans="1:6">
      <c r="A52" s="348" t="s">
        <v>42</v>
      </c>
      <c r="B52" s="348" t="s">
        <v>29</v>
      </c>
      <c r="C52" s="334">
        <v>13</v>
      </c>
      <c r="D52" s="334">
        <v>678707.78192780295</v>
      </c>
      <c r="E52" s="334">
        <v>17</v>
      </c>
      <c r="F52" s="334">
        <v>240831.3</v>
      </c>
    </row>
    <row r="53" spans="1:6">
      <c r="A53" s="348" t="s">
        <v>44</v>
      </c>
      <c r="B53" s="348" t="s">
        <v>45</v>
      </c>
      <c r="C53" s="334">
        <v>240</v>
      </c>
      <c r="D53" s="334">
        <v>5912881.5285192803</v>
      </c>
      <c r="E53" s="334">
        <v>543</v>
      </c>
      <c r="F53" s="334">
        <v>2591116</v>
      </c>
    </row>
    <row r="54" spans="1:6">
      <c r="A54" s="348" t="s">
        <v>46</v>
      </c>
      <c r="B54" s="348" t="s">
        <v>47</v>
      </c>
      <c r="C54" s="334">
        <v>0</v>
      </c>
      <c r="D54" s="334">
        <v>0</v>
      </c>
      <c r="E54" s="334">
        <v>3</v>
      </c>
      <c r="F54" s="334">
        <v>2878154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102</v>
      </c>
      <c r="D57" s="334">
        <v>6529619.3861994604</v>
      </c>
      <c r="E57" s="334">
        <v>171</v>
      </c>
      <c r="F57" s="334">
        <v>3782746</v>
      </c>
    </row>
    <row r="58" spans="1:6">
      <c r="A58" s="348" t="s">
        <v>49</v>
      </c>
      <c r="B58" s="348" t="s">
        <v>51</v>
      </c>
      <c r="C58" s="334">
        <v>52</v>
      </c>
      <c r="D58" s="334">
        <v>1482616.1061996899</v>
      </c>
      <c r="E58" s="334">
        <v>84</v>
      </c>
      <c r="F58" s="334">
        <v>5230344</v>
      </c>
    </row>
    <row r="59" spans="1:6">
      <c r="A59" s="348" t="s">
        <v>49</v>
      </c>
      <c r="B59" s="348" t="s">
        <v>52</v>
      </c>
      <c r="C59" s="334">
        <v>270</v>
      </c>
      <c r="D59" s="334">
        <v>13545167.928596601</v>
      </c>
      <c r="E59" s="334">
        <v>649</v>
      </c>
      <c r="F59" s="334">
        <v>28007205</v>
      </c>
    </row>
    <row r="60" spans="1:6">
      <c r="A60" s="348" t="s">
        <v>49</v>
      </c>
      <c r="B60" s="348" t="s">
        <v>53</v>
      </c>
      <c r="C60" s="334">
        <v>125</v>
      </c>
      <c r="D60" s="334">
        <v>7991792.2059631096</v>
      </c>
      <c r="E60" s="334">
        <v>179</v>
      </c>
      <c r="F60" s="334">
        <v>6409245</v>
      </c>
    </row>
    <row r="61" spans="1:6">
      <c r="A61" s="348" t="s">
        <v>49</v>
      </c>
      <c r="B61" s="348" t="s">
        <v>54</v>
      </c>
      <c r="C61" s="334">
        <v>392</v>
      </c>
      <c r="D61" s="334">
        <v>68687759.583747506</v>
      </c>
      <c r="E61" s="334">
        <v>969</v>
      </c>
      <c r="F61" s="334">
        <v>29577019</v>
      </c>
    </row>
    <row r="62" spans="1:6">
      <c r="A62" s="348" t="s">
        <v>49</v>
      </c>
      <c r="B62" s="348" t="s">
        <v>55</v>
      </c>
      <c r="C62" s="334">
        <v>8</v>
      </c>
      <c r="D62" s="334">
        <v>837257.92580216599</v>
      </c>
      <c r="E62" s="334">
        <v>20</v>
      </c>
      <c r="F62" s="334">
        <v>549063.6</v>
      </c>
    </row>
    <row r="63" spans="1:6">
      <c r="A63" s="348" t="s">
        <v>49</v>
      </c>
      <c r="B63" s="348" t="s">
        <v>29</v>
      </c>
      <c r="C63" s="334">
        <v>296</v>
      </c>
      <c r="D63" s="334">
        <v>15765951.915513501</v>
      </c>
      <c r="E63" s="334">
        <v>324</v>
      </c>
      <c r="F63" s="334">
        <v>12373492</v>
      </c>
    </row>
    <row r="64" spans="1:6">
      <c r="A64" s="348" t="s">
        <v>56</v>
      </c>
      <c r="B64" s="348" t="s">
        <v>57</v>
      </c>
      <c r="C64" s="334">
        <v>0</v>
      </c>
      <c r="D64" s="334">
        <v>0</v>
      </c>
      <c r="E64" s="334">
        <v>0</v>
      </c>
      <c r="F64" s="334">
        <v>0</v>
      </c>
    </row>
    <row r="65" spans="1:6">
      <c r="A65" s="348" t="s">
        <v>56</v>
      </c>
      <c r="B65" s="348" t="s">
        <v>29</v>
      </c>
      <c r="C65" s="334">
        <v>4</v>
      </c>
      <c r="D65" s="334">
        <v>175189.652662787</v>
      </c>
      <c r="E65" s="334">
        <v>4</v>
      </c>
      <c r="F65" s="334">
        <v>120406.9</v>
      </c>
    </row>
    <row r="66" spans="1:6">
      <c r="A66" s="348" t="s">
        <v>56</v>
      </c>
      <c r="B66" s="348" t="s">
        <v>58</v>
      </c>
      <c r="C66" s="334">
        <v>0</v>
      </c>
      <c r="D66" s="334">
        <v>0</v>
      </c>
      <c r="E66" s="334">
        <v>18</v>
      </c>
      <c r="F66" s="334">
        <v>993605.9</v>
      </c>
    </row>
    <row r="67" spans="1:6">
      <c r="A67" s="355" t="s">
        <v>56</v>
      </c>
      <c r="B67" s="355" t="s">
        <v>59</v>
      </c>
      <c r="C67" s="334">
        <v>0</v>
      </c>
      <c r="D67" s="334">
        <v>0</v>
      </c>
      <c r="E67" s="334">
        <v>0</v>
      </c>
      <c r="F67" s="334">
        <v>0</v>
      </c>
    </row>
    <row r="68" spans="1:6">
      <c r="A68" s="341" t="s">
        <v>56</v>
      </c>
      <c r="B68" s="341" t="s">
        <v>60</v>
      </c>
      <c r="C68" s="334">
        <v>7</v>
      </c>
      <c r="D68" s="334">
        <v>126293.957961227</v>
      </c>
      <c r="E68" s="334">
        <v>32</v>
      </c>
      <c r="F68" s="334">
        <v>244991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90026143</v>
      </c>
      <c r="E73" s="476">
        <v>96167027.366195381</v>
      </c>
    </row>
    <row r="74" spans="1:6">
      <c r="A74" s="348" t="s">
        <v>64</v>
      </c>
      <c r="B74" s="348" t="s">
        <v>714</v>
      </c>
      <c r="C74" s="1311" t="s">
        <v>716</v>
      </c>
      <c r="D74" s="476">
        <v>10006641.222150564</v>
      </c>
      <c r="E74" s="476">
        <v>10604762.89954049</v>
      </c>
    </row>
    <row r="75" spans="1:6">
      <c r="A75" s="348" t="s">
        <v>65</v>
      </c>
      <c r="B75" s="348" t="s">
        <v>713</v>
      </c>
      <c r="C75" s="1311" t="s">
        <v>717</v>
      </c>
      <c r="D75" s="476">
        <v>33729806</v>
      </c>
      <c r="E75" s="476">
        <v>35396982.851065367</v>
      </c>
    </row>
    <row r="76" spans="1:6">
      <c r="A76" s="348" t="s">
        <v>65</v>
      </c>
      <c r="B76" s="348" t="s">
        <v>714</v>
      </c>
      <c r="C76" s="1311" t="s">
        <v>718</v>
      </c>
      <c r="D76" s="476">
        <v>2030675.2221505642</v>
      </c>
      <c r="E76" s="476">
        <v>2161847.8433216871</v>
      </c>
    </row>
    <row r="77" spans="1:6">
      <c r="A77" s="348" t="s">
        <v>66</v>
      </c>
      <c r="B77" s="348" t="s">
        <v>713</v>
      </c>
      <c r="C77" s="1311" t="s">
        <v>719</v>
      </c>
      <c r="D77" s="476">
        <v>181462222</v>
      </c>
      <c r="E77" s="476">
        <v>205685150.72418639</v>
      </c>
    </row>
    <row r="78" spans="1:6">
      <c r="A78" s="341" t="s">
        <v>66</v>
      </c>
      <c r="B78" s="341" t="s">
        <v>714</v>
      </c>
      <c r="C78" s="341" t="s">
        <v>720</v>
      </c>
      <c r="D78" s="1307">
        <v>46482565</v>
      </c>
      <c r="E78" s="1307">
        <v>50350056.22741469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540539.5556988715</v>
      </c>
      <c r="C83" s="476">
        <v>545153.85835482844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6427.7548970379512</v>
      </c>
    </row>
    <row r="92" spans="1:6">
      <c r="A92" s="341" t="s">
        <v>69</v>
      </c>
      <c r="B92" s="342">
        <v>28239.683697990011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5216</v>
      </c>
    </row>
    <row r="98" spans="1:6">
      <c r="A98" s="348" t="s">
        <v>72</v>
      </c>
      <c r="B98" s="334">
        <v>2</v>
      </c>
    </row>
    <row r="99" spans="1:6">
      <c r="A99" s="348" t="s">
        <v>73</v>
      </c>
      <c r="B99" s="334">
        <v>157</v>
      </c>
    </row>
    <row r="100" spans="1:6">
      <c r="A100" s="348" t="s">
        <v>74</v>
      </c>
      <c r="B100" s="334">
        <v>1363</v>
      </c>
    </row>
    <row r="101" spans="1:6">
      <c r="A101" s="348" t="s">
        <v>75</v>
      </c>
      <c r="B101" s="334">
        <v>179</v>
      </c>
    </row>
    <row r="102" spans="1:6">
      <c r="A102" s="348" t="s">
        <v>76</v>
      </c>
      <c r="B102" s="334">
        <v>330</v>
      </c>
    </row>
    <row r="103" spans="1:6">
      <c r="A103" s="348" t="s">
        <v>77</v>
      </c>
      <c r="B103" s="334">
        <v>222</v>
      </c>
    </row>
    <row r="104" spans="1:6">
      <c r="A104" s="348" t="s">
        <v>78</v>
      </c>
      <c r="B104" s="334">
        <v>6001</v>
      </c>
    </row>
    <row r="105" spans="1:6">
      <c r="A105" s="341" t="s">
        <v>79</v>
      </c>
      <c r="B105" s="341">
        <v>20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24</v>
      </c>
      <c r="C123" s="334">
        <v>19</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318</v>
      </c>
    </row>
    <row r="130" spans="1:6">
      <c r="A130" s="348" t="s">
        <v>295</v>
      </c>
      <c r="B130" s="334">
        <v>5</v>
      </c>
    </row>
    <row r="131" spans="1:6">
      <c r="A131" s="348" t="s">
        <v>296</v>
      </c>
      <c r="B131" s="334">
        <v>13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399819.61538807582</v>
      </c>
      <c r="C3" s="43" t="s">
        <v>170</v>
      </c>
      <c r="D3" s="43"/>
      <c r="E3" s="154"/>
      <c r="F3" s="43"/>
      <c r="G3" s="43"/>
      <c r="H3" s="43"/>
      <c r="I3" s="43"/>
      <c r="J3" s="43"/>
      <c r="K3" s="96"/>
    </row>
    <row r="4" spans="1:11">
      <c r="A4" s="384" t="s">
        <v>171</v>
      </c>
      <c r="B4" s="49">
        <f>IF(ISERROR('SEAP template'!B78+'SEAP template'!C78),0,'SEAP template'!B78+'SEAP template'!C78)</f>
        <v>34667.438595027961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0.20183759867042861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2878.154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2878.154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0.20183759867042861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580.91969196368882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62194.591266000003</v>
      </c>
      <c r="C5" s="17">
        <f>IF(ISERROR('Eigen informatie GS &amp; warmtenet'!B57),0,'Eigen informatie GS &amp; warmtenet'!B57)</f>
        <v>0</v>
      </c>
      <c r="D5" s="30">
        <f>(SUM(HH_hh_gas_kWh,HH_rest_gas_kWh)/1000)*0.902</f>
        <v>114655.14573817945</v>
      </c>
      <c r="E5" s="17">
        <f>B46*B57</f>
        <v>5246.8813642351934</v>
      </c>
      <c r="F5" s="17">
        <f>B51*B62</f>
        <v>62316.634182941365</v>
      </c>
      <c r="G5" s="18"/>
      <c r="H5" s="17"/>
      <c r="I5" s="17"/>
      <c r="J5" s="17">
        <f>B50*B61+C50*C61</f>
        <v>0</v>
      </c>
      <c r="K5" s="17"/>
      <c r="L5" s="17"/>
      <c r="M5" s="17"/>
      <c r="N5" s="17">
        <f>B48*B59+C48*C59</f>
        <v>22685.73265516659</v>
      </c>
      <c r="O5" s="17">
        <f>B69*B70*B71</f>
        <v>529.97</v>
      </c>
      <c r="P5" s="17">
        <f>B77*B78*B79/1000-B77*B78*B79/1000/B80</f>
        <v>877.06666666666661</v>
      </c>
    </row>
    <row r="6" spans="1:16">
      <c r="A6" s="16" t="s">
        <v>631</v>
      </c>
      <c r="B6" s="789">
        <f>kWh_PV_kleiner_dan_10kW</f>
        <v>6427.7548970379512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68622.346163037961</v>
      </c>
      <c r="C8" s="21">
        <f>C5</f>
        <v>0</v>
      </c>
      <c r="D8" s="21">
        <f>D5</f>
        <v>114655.14573817945</v>
      </c>
      <c r="E8" s="21">
        <f>E5</f>
        <v>5246.8813642351934</v>
      </c>
      <c r="F8" s="21">
        <f>F5</f>
        <v>62316.634182941365</v>
      </c>
      <c r="G8" s="21"/>
      <c r="H8" s="21"/>
      <c r="I8" s="21"/>
      <c r="J8" s="21">
        <f>J5</f>
        <v>0</v>
      </c>
      <c r="K8" s="21"/>
      <c r="L8" s="21">
        <f>L5</f>
        <v>0</v>
      </c>
      <c r="M8" s="21">
        <f>M5</f>
        <v>0</v>
      </c>
      <c r="N8" s="21">
        <f>N5</f>
        <v>22685.73265516659</v>
      </c>
      <c r="O8" s="21">
        <f>O5</f>
        <v>529.97</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0.20183759867042861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13850.569564678482</v>
      </c>
      <c r="C12" s="23">
        <f ca="1">C10*C8</f>
        <v>0</v>
      </c>
      <c r="D12" s="23">
        <f>D8*D10</f>
        <v>23160.339439112249</v>
      </c>
      <c r="E12" s="23">
        <f>E10*E8</f>
        <v>1191.042069681389</v>
      </c>
      <c r="F12" s="23">
        <f>F10*F8</f>
        <v>16638.541326845345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5216</v>
      </c>
      <c r="C18" s="166" t="s">
        <v>111</v>
      </c>
      <c r="D18" s="228"/>
      <c r="E18" s="15"/>
    </row>
    <row r="19" spans="1:7">
      <c r="A19" s="171" t="s">
        <v>72</v>
      </c>
      <c r="B19" s="37">
        <f>aantalw2001_ander</f>
        <v>2</v>
      </c>
      <c r="C19" s="166" t="s">
        <v>111</v>
      </c>
      <c r="D19" s="229"/>
      <c r="E19" s="15"/>
    </row>
    <row r="20" spans="1:7">
      <c r="A20" s="171" t="s">
        <v>73</v>
      </c>
      <c r="B20" s="37">
        <f>aantalw2001_propaan</f>
        <v>157</v>
      </c>
      <c r="C20" s="167">
        <f>IF(ISERROR(B20/SUM($B$20,$B$21,$B$22)*100),0,B20/SUM($B$20,$B$21,$B$22)*100)</f>
        <v>9.2407298410829899</v>
      </c>
      <c r="D20" s="229"/>
      <c r="E20" s="15"/>
    </row>
    <row r="21" spans="1:7">
      <c r="A21" s="171" t="s">
        <v>74</v>
      </c>
      <c r="B21" s="37">
        <f>aantalw2001_elektriciteit</f>
        <v>1363</v>
      </c>
      <c r="C21" s="167">
        <f>IF(ISERROR(B21/SUM($B$20,$B$21,$B$22)*100),0,B21/SUM($B$20,$B$21,$B$22)*100)</f>
        <v>80.223660977045313</v>
      </c>
      <c r="D21" s="229"/>
      <c r="E21" s="15"/>
    </row>
    <row r="22" spans="1:7">
      <c r="A22" s="171" t="s">
        <v>75</v>
      </c>
      <c r="B22" s="37">
        <f>aantalw2001_hout</f>
        <v>179</v>
      </c>
      <c r="C22" s="167">
        <f>IF(ISERROR(B22/SUM($B$20,$B$21,$B$22)*100),0,B22/SUM($B$20,$B$21,$B$22)*100)</f>
        <v>10.53560918187169</v>
      </c>
      <c r="D22" s="229"/>
      <c r="E22" s="15"/>
    </row>
    <row r="23" spans="1:7">
      <c r="A23" s="171" t="s">
        <v>76</v>
      </c>
      <c r="B23" s="37">
        <f>aantalw2001_niet_gespec</f>
        <v>330</v>
      </c>
      <c r="C23" s="166" t="s">
        <v>111</v>
      </c>
      <c r="D23" s="228"/>
      <c r="E23" s="15"/>
    </row>
    <row r="24" spans="1:7">
      <c r="A24" s="171" t="s">
        <v>77</v>
      </c>
      <c r="B24" s="37">
        <f>aantalw2001_steenkool</f>
        <v>222</v>
      </c>
      <c r="C24" s="166" t="s">
        <v>111</v>
      </c>
      <c r="D24" s="229"/>
      <c r="E24" s="15"/>
    </row>
    <row r="25" spans="1:7">
      <c r="A25" s="171" t="s">
        <v>78</v>
      </c>
      <c r="B25" s="37">
        <f>aantalw2001_stookolie</f>
        <v>6001</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740</v>
      </c>
      <c r="B28" s="37">
        <f>aantalHuishoudens2011</f>
        <v>15454</v>
      </c>
      <c r="C28" s="36"/>
      <c r="D28" s="228"/>
    </row>
    <row r="29" spans="1:7" s="15" customFormat="1">
      <c r="A29" s="230" t="s">
        <v>741</v>
      </c>
      <c r="B29" s="37">
        <f>SUM(HH_hh_gas_aantal,HH_rest_gas_aantal)</f>
        <v>9071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9071</v>
      </c>
      <c r="C32" s="167">
        <f>IF(ISERROR(B32/SUM($B$32,$B$34,$B$35,$B$36,$B$38,$B$39)*100),0,B32/SUM($B$32,$B$34,$B$35,$B$36,$B$38,$B$39)*100)</f>
        <v>58.872014537902388</v>
      </c>
      <c r="D32" s="233"/>
      <c r="G32" s="15"/>
    </row>
    <row r="33" spans="1:7">
      <c r="A33" s="171" t="s">
        <v>72</v>
      </c>
      <c r="B33" s="34" t="s">
        <v>111</v>
      </c>
      <c r="C33" s="167"/>
      <c r="D33" s="233"/>
      <c r="G33" s="15"/>
    </row>
    <row r="34" spans="1:7">
      <c r="A34" s="171" t="s">
        <v>73</v>
      </c>
      <c r="B34" s="33">
        <f>IF((($B$28-$B$32-$B$39-$B$77-$B$38)*C20/100)&lt;0,0,($B$28-$B$32-$B$39-$B$77-$B$38)*C20/100)</f>
        <v>351.65597410241315</v>
      </c>
      <c r="C34" s="167">
        <f>IF(ISERROR(B34/SUM($B$32,$B$34,$B$35,$B$36,$B$38,$B$39)*100),0,B34/SUM($B$32,$B$34,$B$35,$B$36,$B$38,$B$39)*100)</f>
        <v>2.2822947436553291</v>
      </c>
      <c r="D34" s="233"/>
      <c r="G34" s="15"/>
    </row>
    <row r="35" spans="1:7">
      <c r="A35" s="171" t="s">
        <v>74</v>
      </c>
      <c r="B35" s="33">
        <f>IF((($B$28-$B$32-$B$39-$B$77-$B$38)*C21/100)&lt;0,0,($B$28-$B$32-$B$39-$B$77-$B$38)*C21/100)</f>
        <v>3052.9114184814594</v>
      </c>
      <c r="C35" s="167">
        <f>IF(ISERROR(B35/SUM($B$32,$B$34,$B$35,$B$36,$B$38,$B$39)*100),0,B35/SUM($B$32,$B$34,$B$35,$B$36,$B$38,$B$39)*100)</f>
        <v>19.813807233135119</v>
      </c>
      <c r="D35" s="233"/>
      <c r="G35" s="15"/>
    </row>
    <row r="36" spans="1:7">
      <c r="A36" s="171" t="s">
        <v>75</v>
      </c>
      <c r="B36" s="33">
        <f>IF((($B$28-$B$32-$B$39-$B$77-$B$38)*C22/100)&lt;0,0,($B$28-$B$32-$B$39-$B$77-$B$38)*C22/100)</f>
        <v>400.93260741612715</v>
      </c>
      <c r="C36" s="167">
        <f>IF(ISERROR(B36/SUM($B$32,$B$34,$B$35,$B$36,$B$38,$B$39)*100),0,B36/SUM($B$32,$B$34,$B$35,$B$36,$B$38,$B$39)*100)</f>
        <v>2.602106745950981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2531.5</v>
      </c>
      <c r="C39" s="167">
        <f>IF(ISERROR(B39/SUM($B$32,$B$34,$B$35,$B$36,$B$38,$B$39)*100),0,B39/SUM($B$32,$B$34,$B$35,$B$36,$B$38,$B$39)*100)</f>
        <v>16.429776739356178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9071</v>
      </c>
      <c r="C44" s="34" t="s">
        <v>111</v>
      </c>
      <c r="D44" s="174"/>
    </row>
    <row r="45" spans="1:7">
      <c r="A45" s="171" t="s">
        <v>72</v>
      </c>
      <c r="B45" s="33" t="str">
        <f t="shared" si="0"/>
        <v>-</v>
      </c>
      <c r="C45" s="34" t="s">
        <v>111</v>
      </c>
      <c r="D45" s="174"/>
    </row>
    <row r="46" spans="1:7">
      <c r="A46" s="171" t="s">
        <v>73</v>
      </c>
      <c r="B46" s="33">
        <f t="shared" si="0"/>
        <v>351.65597410241315</v>
      </c>
      <c r="C46" s="34" t="s">
        <v>111</v>
      </c>
      <c r="D46" s="174"/>
    </row>
    <row r="47" spans="1:7">
      <c r="A47" s="171" t="s">
        <v>74</v>
      </c>
      <c r="B47" s="33">
        <f t="shared" si="0"/>
        <v>3052.9114184814594</v>
      </c>
      <c r="C47" s="34" t="s">
        <v>111</v>
      </c>
      <c r="D47" s="174"/>
    </row>
    <row r="48" spans="1:7">
      <c r="A48" s="171" t="s">
        <v>75</v>
      </c>
      <c r="B48" s="33">
        <f t="shared" si="0"/>
        <v>400.93260741612715</v>
      </c>
      <c r="C48" s="33">
        <f>B48*10</f>
        <v>4009.3260741612717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2531.5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85929.114600000001</v>
      </c>
      <c r="C5" s="17">
        <f>IF(ISERROR('Eigen informatie GS &amp; warmtenet'!B58),0,'Eigen informatie GS &amp; warmtenet'!B58)</f>
        <v>0</v>
      </c>
      <c r="D5" s="30">
        <f>SUM(D6:D12)</f>
        <v>103585.82887692389</v>
      </c>
      <c r="E5" s="17">
        <f>SUM(E6:E12)</f>
        <v>784.9293665923002</v>
      </c>
      <c r="F5" s="17">
        <f>SUM(F6:F12)</f>
        <v>11798.805463041375</v>
      </c>
      <c r="G5" s="18"/>
      <c r="H5" s="17"/>
      <c r="I5" s="17"/>
      <c r="J5" s="17">
        <f>SUM(J6:J12)</f>
        <v>0</v>
      </c>
      <c r="K5" s="17"/>
      <c r="L5" s="17"/>
      <c r="M5" s="17"/>
      <c r="N5" s="17">
        <f>SUM(N6:N12)</f>
        <v>4287.5679280637833</v>
      </c>
      <c r="O5" s="17">
        <f>B38*B39*B40</f>
        <v>7.8166666666666664</v>
      </c>
      <c r="P5" s="17">
        <f>B46*B47*B48/1000-B46*B47*B48/1000/B49</f>
        <v>266.93333333333334</v>
      </c>
      <c r="R5" s="32"/>
    </row>
    <row r="6" spans="1:18">
      <c r="A6" s="32" t="s">
        <v>54</v>
      </c>
      <c r="B6" s="37">
        <f>B26</f>
        <v>29577.019</v>
      </c>
      <c r="C6" s="33"/>
      <c r="D6" s="37">
        <f>IF(ISERROR(TER_kantoor_gas_kWh/1000),0,TER_kantoor_gas_kWh/1000)*0.902</f>
        <v>61956.359144540256</v>
      </c>
      <c r="E6" s="33">
        <f>$C$26*'E Balans VL '!I12/100/3.6*1000000</f>
        <v>85.688963607005363</v>
      </c>
      <c r="F6" s="33">
        <f>$C$26*('E Balans VL '!L12+'E Balans VL '!N12)/100/3.6*1000000</f>
        <v>3347.4669185488538</v>
      </c>
      <c r="G6" s="34"/>
      <c r="H6" s="33"/>
      <c r="I6" s="33"/>
      <c r="J6" s="33">
        <f>$C$26*('E Balans VL '!D12+'E Balans VL '!E12)/100/3.6*1000000</f>
        <v>0</v>
      </c>
      <c r="K6" s="33"/>
      <c r="L6" s="33"/>
      <c r="M6" s="33"/>
      <c r="N6" s="33">
        <f>$C$26*'E Balans VL '!Y12/100/3.6*1000000</f>
        <v>296.04416686935588</v>
      </c>
      <c r="O6" s="33"/>
      <c r="P6" s="33"/>
      <c r="R6" s="32"/>
    </row>
    <row r="7" spans="1:18">
      <c r="A7" s="32" t="s">
        <v>53</v>
      </c>
      <c r="B7" s="37">
        <f t="shared" ref="B7:B12" si="0">B27</f>
        <v>6409.2449999999999</v>
      </c>
      <c r="C7" s="33"/>
      <c r="D7" s="37">
        <f>IF(ISERROR(TER_horeca_gas_kWh/1000),0,TER_horeca_gas_kWh/1000)*0.902</f>
        <v>7208.5965697787251</v>
      </c>
      <c r="E7" s="33">
        <f>$C$27*'E Balans VL '!I9/100/3.6*1000000</f>
        <v>269.04219802338253</v>
      </c>
      <c r="F7" s="33">
        <f>$C$27*('E Balans VL '!L9+'E Balans VL '!N9)/100/3.6*1000000</f>
        <v>1377.1577221975617</v>
      </c>
      <c r="G7" s="34"/>
      <c r="H7" s="33"/>
      <c r="I7" s="33"/>
      <c r="J7" s="33">
        <f>$C$27*('E Balans VL '!D9+'E Balans VL '!E9)/100/3.6*1000000</f>
        <v>0</v>
      </c>
      <c r="K7" s="33"/>
      <c r="L7" s="33"/>
      <c r="M7" s="33"/>
      <c r="N7" s="33">
        <f>$C$27*'E Balans VL '!Y9/100/3.6*1000000</f>
        <v>1.6516063856190997</v>
      </c>
      <c r="O7" s="33"/>
      <c r="P7" s="33"/>
      <c r="R7" s="32"/>
    </row>
    <row r="8" spans="1:18">
      <c r="A8" s="6" t="s">
        <v>52</v>
      </c>
      <c r="B8" s="37">
        <f t="shared" si="0"/>
        <v>28007.205000000002</v>
      </c>
      <c r="C8" s="33"/>
      <c r="D8" s="37">
        <f>IF(ISERROR(TER_handel_gas_kWh/1000),0,TER_handel_gas_kWh/1000)*0.902</f>
        <v>12217.741471594134</v>
      </c>
      <c r="E8" s="33">
        <f>$C$28*'E Balans VL '!I13/100/3.6*1000000</f>
        <v>300.82069143410524</v>
      </c>
      <c r="F8" s="33">
        <f>$C$28*('E Balans VL '!L13+'E Balans VL '!N13)/100/3.6*1000000</f>
        <v>3625.7639659811271</v>
      </c>
      <c r="G8" s="34"/>
      <c r="H8" s="33"/>
      <c r="I8" s="33"/>
      <c r="J8" s="33">
        <f>$C$28*('E Balans VL '!D13+'E Balans VL '!E13)/100/3.6*1000000</f>
        <v>0</v>
      </c>
      <c r="K8" s="33"/>
      <c r="L8" s="33"/>
      <c r="M8" s="33"/>
      <c r="N8" s="33">
        <f>$C$28*'E Balans VL '!Y13/100/3.6*1000000</f>
        <v>227.1959762198845</v>
      </c>
      <c r="O8" s="33"/>
      <c r="P8" s="33"/>
      <c r="R8" s="32"/>
    </row>
    <row r="9" spans="1:18">
      <c r="A9" s="32" t="s">
        <v>51</v>
      </c>
      <c r="B9" s="37">
        <f t="shared" si="0"/>
        <v>5230.3440000000001</v>
      </c>
      <c r="C9" s="33"/>
      <c r="D9" s="37">
        <f>IF(ISERROR(TER_gezond_gas_kWh/1000),0,TER_gezond_gas_kWh/1000)*0.902</f>
        <v>1337.3197277921204</v>
      </c>
      <c r="E9" s="33">
        <f>$C$29*'E Balans VL '!I10/100/3.6*1000000</f>
        <v>4.1636921135868743</v>
      </c>
      <c r="F9" s="33">
        <f>$C$29*('E Balans VL '!L10+'E Balans VL '!N10)/100/3.6*1000000</f>
        <v>635.82389847879665</v>
      </c>
      <c r="G9" s="34"/>
      <c r="H9" s="33"/>
      <c r="I9" s="33"/>
      <c r="J9" s="33">
        <f>$C$29*('E Balans VL '!D10+'E Balans VL '!E10)/100/3.6*1000000</f>
        <v>0</v>
      </c>
      <c r="K9" s="33"/>
      <c r="L9" s="33"/>
      <c r="M9" s="33"/>
      <c r="N9" s="33">
        <f>$C$29*'E Balans VL '!Y10/100/3.6*1000000</f>
        <v>42.249333143402076</v>
      </c>
      <c r="O9" s="33"/>
      <c r="P9" s="33"/>
      <c r="R9" s="32"/>
    </row>
    <row r="10" spans="1:18">
      <c r="A10" s="32" t="s">
        <v>50</v>
      </c>
      <c r="B10" s="37">
        <f t="shared" si="0"/>
        <v>3782.7460000000001</v>
      </c>
      <c r="C10" s="33"/>
      <c r="D10" s="37">
        <f>IF(ISERROR(TER_ander_gas_kWh/1000),0,TER_ander_gas_kWh/1000)*0.902</f>
        <v>5889.7166863519133</v>
      </c>
      <c r="E10" s="33">
        <f>$C$30*'E Balans VL '!I14/100/3.6*1000000</f>
        <v>12.963669262001728</v>
      </c>
      <c r="F10" s="33">
        <f>$C$30*('E Balans VL '!L14+'E Balans VL '!N14)/100/3.6*1000000</f>
        <v>844.91174370937733</v>
      </c>
      <c r="G10" s="34"/>
      <c r="H10" s="33"/>
      <c r="I10" s="33"/>
      <c r="J10" s="33">
        <f>$C$30*('E Balans VL '!D14+'E Balans VL '!E14)/100/3.6*1000000</f>
        <v>0</v>
      </c>
      <c r="K10" s="33"/>
      <c r="L10" s="33"/>
      <c r="M10" s="33"/>
      <c r="N10" s="33">
        <f>$C$30*'E Balans VL '!Y14/100/3.6*1000000</f>
        <v>2664.586947137459</v>
      </c>
      <c r="O10" s="33"/>
      <c r="P10" s="33"/>
      <c r="R10" s="32"/>
    </row>
    <row r="11" spans="1:18">
      <c r="A11" s="32" t="s">
        <v>55</v>
      </c>
      <c r="B11" s="37">
        <f t="shared" si="0"/>
        <v>549.06359999999995</v>
      </c>
      <c r="C11" s="33"/>
      <c r="D11" s="37">
        <f>IF(ISERROR(TER_onderwijs_gas_kWh/1000),0,TER_onderwijs_gas_kWh/1000)*0.902</f>
        <v>755.20664907355376</v>
      </c>
      <c r="E11" s="33">
        <f>$C$31*'E Balans VL '!I11/100/3.6*1000000</f>
        <v>0.37955075685194445</v>
      </c>
      <c r="F11" s="33">
        <f>$C$31*('E Balans VL '!L11+'E Balans VL '!N11)/100/3.6*1000000</f>
        <v>143.72890126460024</v>
      </c>
      <c r="G11" s="34"/>
      <c r="H11" s="33"/>
      <c r="I11" s="33"/>
      <c r="J11" s="33">
        <f>$C$31*('E Balans VL '!D11+'E Balans VL '!E11)/100/3.6*1000000</f>
        <v>0</v>
      </c>
      <c r="K11" s="33"/>
      <c r="L11" s="33"/>
      <c r="M11" s="33"/>
      <c r="N11" s="33">
        <f>$C$31*'E Balans VL '!Y11/100/3.6*1000000</f>
        <v>0.54654604821065433</v>
      </c>
      <c r="O11" s="33"/>
      <c r="P11" s="33"/>
      <c r="R11" s="32"/>
    </row>
    <row r="12" spans="1:18">
      <c r="A12" s="32" t="s">
        <v>260</v>
      </c>
      <c r="B12" s="37">
        <f t="shared" si="0"/>
        <v>12373.492</v>
      </c>
      <c r="C12" s="33"/>
      <c r="D12" s="37">
        <f>IF(ISERROR(TER_rest_gas_kWh/1000),0,TER_rest_gas_kWh/1000)*0.902</f>
        <v>14220.888627793178</v>
      </c>
      <c r="E12" s="33">
        <f>$C$32*'E Balans VL '!I8/100/3.6*1000000</f>
        <v>111.87060139536653</v>
      </c>
      <c r="F12" s="33">
        <f>$C$32*('E Balans VL '!L8+'E Balans VL '!N8)/100/3.6*1000000</f>
        <v>1823.9523128610597</v>
      </c>
      <c r="G12" s="34"/>
      <c r="H12" s="33"/>
      <c r="I12" s="33"/>
      <c r="J12" s="33">
        <f>$C$32*('E Balans VL '!D8+'E Balans VL '!E8)/100/3.6*1000000</f>
        <v>0</v>
      </c>
      <c r="K12" s="33"/>
      <c r="L12" s="33"/>
      <c r="M12" s="33"/>
      <c r="N12" s="33">
        <f>$C$32*'E Balans VL '!Y8/100/3.6*1000000</f>
        <v>1055.2933522598521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85929.114600000001</v>
      </c>
      <c r="C16" s="21">
        <f t="shared" ca="1" si="1"/>
        <v>0</v>
      </c>
      <c r="D16" s="21">
        <f t="shared" ca="1" si="1"/>
        <v>103585.82887692389</v>
      </c>
      <c r="E16" s="21">
        <f t="shared" si="1"/>
        <v>784.9293665923002</v>
      </c>
      <c r="F16" s="21">
        <f t="shared" ca="1" si="1"/>
        <v>11798.805463041375</v>
      </c>
      <c r="G16" s="21">
        <f t="shared" si="1"/>
        <v>0</v>
      </c>
      <c r="H16" s="21">
        <f t="shared" si="1"/>
        <v>0</v>
      </c>
      <c r="I16" s="21">
        <f t="shared" si="1"/>
        <v>0</v>
      </c>
      <c r="J16" s="21">
        <f t="shared" si="1"/>
        <v>0</v>
      </c>
      <c r="K16" s="21">
        <f t="shared" si="1"/>
        <v>0</v>
      </c>
      <c r="L16" s="21">
        <f t="shared" ca="1" si="1"/>
        <v>0</v>
      </c>
      <c r="M16" s="21">
        <f t="shared" si="1"/>
        <v>0</v>
      </c>
      <c r="N16" s="21">
        <f t="shared" ca="1" si="1"/>
        <v>4287.5679280637833</v>
      </c>
      <c r="O16" s="21">
        <f>O5</f>
        <v>7.8166666666666664</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0.20183759867042861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17343.726146740068</v>
      </c>
      <c r="C20" s="23">
        <f t="shared" ref="C20:P20" ca="1" si="2">C16*C18</f>
        <v>0</v>
      </c>
      <c r="D20" s="23">
        <f t="shared" ca="1" si="2"/>
        <v>20924.337433138626</v>
      </c>
      <c r="E20" s="23">
        <f t="shared" si="2"/>
        <v>178.17896621645215</v>
      </c>
      <c r="F20" s="23">
        <f t="shared" ca="1" si="2"/>
        <v>3150.2810586320475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29577.019</v>
      </c>
      <c r="C26" s="39">
        <f>IF(ISERROR(B26*3.6/1000000/'E Balans VL '!Z12*100),0,B26*3.6/1000000/'E Balans VL '!Z12*100)</f>
        <v>0.64969341679310277</v>
      </c>
      <c r="D26" s="237" t="s">
        <v>692</v>
      </c>
      <c r="F26" s="6"/>
    </row>
    <row r="27" spans="1:18">
      <c r="A27" s="231" t="s">
        <v>53</v>
      </c>
      <c r="B27" s="33">
        <f>IF(ISERROR(TER_horeca_ele_kWh/1000),0,TER_horeca_ele_kWh/1000)</f>
        <v>6409.2449999999999</v>
      </c>
      <c r="C27" s="39">
        <f>IF(ISERROR(B27*3.6/1000000/'E Balans VL '!Z9*100),0,B27*3.6/1000000/'E Balans VL '!Z9*100)</f>
        <v>0.51504672385874761</v>
      </c>
      <c r="D27" s="237" t="s">
        <v>692</v>
      </c>
      <c r="F27" s="6"/>
    </row>
    <row r="28" spans="1:18">
      <c r="A28" s="171" t="s">
        <v>52</v>
      </c>
      <c r="B28" s="33">
        <f>IF(ISERROR(TER_handel_ele_kWh/1000),0,TER_handel_ele_kWh/1000)</f>
        <v>28007.205000000002</v>
      </c>
      <c r="C28" s="39">
        <f>IF(ISERROR(B28*3.6/1000000/'E Balans VL '!Z13*100),0,B28*3.6/1000000/'E Balans VL '!Z13*100)</f>
        <v>0.82815348560576296</v>
      </c>
      <c r="D28" s="237" t="s">
        <v>692</v>
      </c>
      <c r="F28" s="6"/>
    </row>
    <row r="29" spans="1:18">
      <c r="A29" s="231" t="s">
        <v>51</v>
      </c>
      <c r="B29" s="33">
        <f>IF(ISERROR(TER_gezond_ele_kWh/1000),0,TER_gezond_ele_kWh/1000)</f>
        <v>5230.3440000000001</v>
      </c>
      <c r="C29" s="39">
        <f>IF(ISERROR(B29*3.6/1000000/'E Balans VL '!Z10*100),0,B29*3.6/1000000/'E Balans VL '!Z10*100)</f>
        <v>0.58932473322133638</v>
      </c>
      <c r="D29" s="237" t="s">
        <v>692</v>
      </c>
      <c r="F29" s="6"/>
    </row>
    <row r="30" spans="1:18">
      <c r="A30" s="231" t="s">
        <v>50</v>
      </c>
      <c r="B30" s="33">
        <f>IF(ISERROR(TER_ander_ele_kWh/1000),0,TER_ander_ele_kWh/1000)</f>
        <v>3782.7460000000001</v>
      </c>
      <c r="C30" s="39">
        <f>IF(ISERROR(B30*3.6/1000000/'E Balans VL '!Z14*100),0,B30*3.6/1000000/'E Balans VL '!Z14*100)</f>
        <v>0.28608261366779675</v>
      </c>
      <c r="D30" s="237" t="s">
        <v>692</v>
      </c>
      <c r="F30" s="6"/>
    </row>
    <row r="31" spans="1:18">
      <c r="A31" s="231" t="s">
        <v>55</v>
      </c>
      <c r="B31" s="33">
        <f>IF(ISERROR(TER_onderwijs_ele_kWh/1000),0,TER_onderwijs_ele_kWh/1000)</f>
        <v>549.06359999999995</v>
      </c>
      <c r="C31" s="39">
        <f>IF(ISERROR(B31*3.6/1000000/'E Balans VL '!Z11*100),0,B31*3.6/1000000/'E Balans VL '!Z11*100)</f>
        <v>0.11397285739571565</v>
      </c>
      <c r="D31" s="237" t="s">
        <v>692</v>
      </c>
    </row>
    <row r="32" spans="1:18">
      <c r="A32" s="231" t="s">
        <v>260</v>
      </c>
      <c r="B32" s="33">
        <f>IF(ISERROR(TER_rest_ele_kWh/1000),0,TER_rest_ele_kWh/1000)</f>
        <v>12373.492</v>
      </c>
      <c r="C32" s="39">
        <f>IF(ISERROR(B32*3.6/1000000/'E Balans VL '!Z8*100),0,B32*3.6/1000000/'E Balans VL '!Z8*100)</f>
        <v>0.10423939102115981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238320.04810000001</v>
      </c>
      <c r="C5" s="17">
        <f>IF(ISERROR('Eigen informatie GS &amp; warmtenet'!B59),0,'Eigen informatie GS &amp; warmtenet'!B59)</f>
        <v>0</v>
      </c>
      <c r="D5" s="30">
        <f>SUM(D6:D15)</f>
        <v>212157.02906366254</v>
      </c>
      <c r="E5" s="17">
        <f>SUM(E6:E15)</f>
        <v>12764.206463300878</v>
      </c>
      <c r="F5" s="17">
        <f>SUM(F6:F15)</f>
        <v>54764.136005083688</v>
      </c>
      <c r="G5" s="18"/>
      <c r="H5" s="17"/>
      <c r="I5" s="17"/>
      <c r="J5" s="17">
        <f>SUM(J6:J15)</f>
        <v>686.15492404186455</v>
      </c>
      <c r="K5" s="17"/>
      <c r="L5" s="17"/>
      <c r="M5" s="17"/>
      <c r="N5" s="17">
        <f>SUM(N6:N15)</f>
        <v>36420.142151318585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6232.9639999999999</v>
      </c>
      <c r="C8" s="33"/>
      <c r="D8" s="37">
        <f>IF( ISERROR(IND_metaal_Gas_kWH/1000),0,IND_metaal_Gas_kWH/1000)*0.902</f>
        <v>9185.5118586282333</v>
      </c>
      <c r="E8" s="33">
        <f>C30*'E Balans VL '!I18/100/3.6*1000000</f>
        <v>155.98927401335388</v>
      </c>
      <c r="F8" s="33">
        <f>C30*'E Balans VL '!L18/100/3.6*1000000+C30*'E Balans VL '!N18/100/3.6*1000000</f>
        <v>1953.4419219574272</v>
      </c>
      <c r="G8" s="34"/>
      <c r="H8" s="33"/>
      <c r="I8" s="33"/>
      <c r="J8" s="40">
        <f>C30*'E Balans VL '!D18/100/3.6*1000000+C30*'E Balans VL '!E18/100/3.6*1000000</f>
        <v>0</v>
      </c>
      <c r="K8" s="33"/>
      <c r="L8" s="33"/>
      <c r="M8" s="33"/>
      <c r="N8" s="33">
        <f>C30*'E Balans VL '!Y18/100/3.6*1000000</f>
        <v>156.58823163213393</v>
      </c>
      <c r="O8" s="33"/>
      <c r="P8" s="33"/>
      <c r="R8" s="32"/>
    </row>
    <row r="9" spans="1:18">
      <c r="A9" s="6" t="s">
        <v>33</v>
      </c>
      <c r="B9" s="37">
        <f t="shared" si="0"/>
        <v>16032.617</v>
      </c>
      <c r="C9" s="33"/>
      <c r="D9" s="37">
        <f>IF( ISERROR(IND_andere_gas_kWh/1000),0,IND_andere_gas_kWh/1000)*0.902</f>
        <v>6877.3141165694815</v>
      </c>
      <c r="E9" s="33">
        <f>C31*'E Balans VL '!I19/100/3.6*1000000</f>
        <v>4408.3120963224246</v>
      </c>
      <c r="F9" s="33">
        <f>C31*'E Balans VL '!L19/100/3.6*1000000+C31*'E Balans VL '!N19/100/3.6*1000000</f>
        <v>12636.492071665383</v>
      </c>
      <c r="G9" s="34"/>
      <c r="H9" s="33"/>
      <c r="I9" s="33"/>
      <c r="J9" s="40">
        <f>C31*'E Balans VL '!D19/100/3.6*1000000+C31*'E Balans VL '!E19/100/3.6*1000000</f>
        <v>0</v>
      </c>
      <c r="K9" s="33"/>
      <c r="L9" s="33"/>
      <c r="M9" s="33"/>
      <c r="N9" s="33">
        <f>C31*'E Balans VL '!Y19/100/3.6*1000000</f>
        <v>5190.1813131725021</v>
      </c>
      <c r="O9" s="33"/>
      <c r="P9" s="33"/>
      <c r="R9" s="32"/>
    </row>
    <row r="10" spans="1:18">
      <c r="A10" s="6" t="s">
        <v>41</v>
      </c>
      <c r="B10" s="37">
        <f t="shared" si="0"/>
        <v>894.07010000000002</v>
      </c>
      <c r="C10" s="33"/>
      <c r="D10" s="37">
        <f>IF( ISERROR(IND_voed_gas_kWh/1000),0,IND_voed_gas_kWh/1000)*0.902</f>
        <v>748.20865317341509</v>
      </c>
      <c r="E10" s="33">
        <f>C32*'E Balans VL '!I20/100/3.6*1000000</f>
        <v>9.114552123471432</v>
      </c>
      <c r="F10" s="33">
        <f>C32*'E Balans VL '!L20/100/3.6*1000000+C32*'E Balans VL '!N20/100/3.6*1000000</f>
        <v>1688.8928270313129</v>
      </c>
      <c r="G10" s="34"/>
      <c r="H10" s="33"/>
      <c r="I10" s="33"/>
      <c r="J10" s="40">
        <f>C32*'E Balans VL '!D20/100/3.6*1000000+C32*'E Balans VL '!E20/100/3.6*1000000</f>
        <v>21.398022903611693</v>
      </c>
      <c r="K10" s="33"/>
      <c r="L10" s="33"/>
      <c r="M10" s="33"/>
      <c r="N10" s="33">
        <f>C32*'E Balans VL '!Y20/100/3.6*1000000</f>
        <v>471.27792694722433</v>
      </c>
      <c r="O10" s="33"/>
      <c r="P10" s="33"/>
      <c r="R10" s="32"/>
    </row>
    <row r="11" spans="1:18">
      <c r="A11" s="6" t="s">
        <v>40</v>
      </c>
      <c r="B11" s="37">
        <f t="shared" si="0"/>
        <v>53699.809000000001</v>
      </c>
      <c r="C11" s="33"/>
      <c r="D11" s="37">
        <f>IF( ISERROR(IND_textiel_gas_kWh/1000),0,IND_textiel_gas_kWh/1000)*0.902</f>
        <v>16045.45499128882</v>
      </c>
      <c r="E11" s="33">
        <f>C33*'E Balans VL '!I21/100/3.6*1000000</f>
        <v>142.33076473644044</v>
      </c>
      <c r="F11" s="33">
        <f>C33*'E Balans VL '!L21/100/3.6*1000000+C33*'E Balans VL '!N21/100/3.6*1000000</f>
        <v>2398.2888654178405</v>
      </c>
      <c r="G11" s="34"/>
      <c r="H11" s="33"/>
      <c r="I11" s="33"/>
      <c r="J11" s="40">
        <f>C33*'E Balans VL '!D21/100/3.6*1000000+C33*'E Balans VL '!E21/100/3.6*1000000</f>
        <v>0</v>
      </c>
      <c r="K11" s="33"/>
      <c r="L11" s="33"/>
      <c r="M11" s="33"/>
      <c r="N11" s="33">
        <f>C33*'E Balans VL '!Y21/100/3.6*1000000</f>
        <v>506.08231294019225</v>
      </c>
      <c r="O11" s="33"/>
      <c r="P11" s="33"/>
      <c r="R11" s="32"/>
    </row>
    <row r="12" spans="1:18">
      <c r="A12" s="6" t="s">
        <v>37</v>
      </c>
      <c r="B12" s="37">
        <f t="shared" si="0"/>
        <v>1277.807</v>
      </c>
      <c r="C12" s="33"/>
      <c r="D12" s="37">
        <f>IF( ISERROR(IND_min_gas_kWh/1000),0,IND_min_gas_kWh/1000)*0.902</f>
        <v>0</v>
      </c>
      <c r="E12" s="33">
        <f>C34*'E Balans VL '!I22/100/3.6*1000000</f>
        <v>3.8698993832559081</v>
      </c>
      <c r="F12" s="33">
        <f>C34*'E Balans VL '!L22/100/3.6*1000000+C34*'E Balans VL '!N22/100/3.6*1000000</f>
        <v>39.932567326813128</v>
      </c>
      <c r="G12" s="34"/>
      <c r="H12" s="33"/>
      <c r="I12" s="33"/>
      <c r="J12" s="40">
        <f>C34*'E Balans VL '!D22/100/3.6*1000000+C34*'E Balans VL '!E22/100/3.6*1000000</f>
        <v>1.8947041224626504</v>
      </c>
      <c r="K12" s="33"/>
      <c r="L12" s="33"/>
      <c r="M12" s="33"/>
      <c r="N12" s="33">
        <f>C34*'E Balans VL '!Y22/100/3.6*1000000</f>
        <v>0</v>
      </c>
      <c r="O12" s="33"/>
      <c r="P12" s="33"/>
      <c r="R12" s="32"/>
    </row>
    <row r="13" spans="1:18">
      <c r="A13" s="6" t="s">
        <v>39</v>
      </c>
      <c r="B13" s="37">
        <f t="shared" si="0"/>
        <v>920.78300000000002</v>
      </c>
      <c r="C13" s="33"/>
      <c r="D13" s="37">
        <f>IF( ISERROR(IND_papier_gas_kWh/1000),0,IND_papier_gas_kWh/1000)*0.902</f>
        <v>0</v>
      </c>
      <c r="E13" s="33">
        <f>C35*'E Balans VL '!I23/100/3.6*1000000</f>
        <v>1.9070037443559213</v>
      </c>
      <c r="F13" s="33">
        <f>C35*'E Balans VL '!L23/100/3.6*1000000+C35*'E Balans VL '!N23/100/3.6*1000000</f>
        <v>18.261100891856785</v>
      </c>
      <c r="G13" s="34"/>
      <c r="H13" s="33"/>
      <c r="I13" s="33"/>
      <c r="J13" s="40">
        <f>C35*'E Balans VL '!D23/100/3.6*1000000+C35*'E Balans VL '!E23/100/3.6*1000000</f>
        <v>0</v>
      </c>
      <c r="K13" s="33"/>
      <c r="L13" s="33"/>
      <c r="M13" s="33"/>
      <c r="N13" s="33">
        <f>C35*'E Balans VL '!Y23/100/3.6*1000000</f>
        <v>388.7986593590889</v>
      </c>
      <c r="O13" s="33"/>
      <c r="P13" s="33"/>
      <c r="R13" s="32"/>
    </row>
    <row r="14" spans="1:18">
      <c r="A14" s="6" t="s">
        <v>34</v>
      </c>
      <c r="B14" s="37">
        <f t="shared" si="0"/>
        <v>1261.998</v>
      </c>
      <c r="C14" s="33"/>
      <c r="D14" s="37">
        <f>IF( ISERROR(IND_chemie_gas_kWh/1000),0,IND_chemie_gas_kWh/1000)*0.902</f>
        <v>0</v>
      </c>
      <c r="E14" s="33">
        <f>C36*'E Balans VL '!I24/100/3.6*1000000</f>
        <v>4.7314379028049753</v>
      </c>
      <c r="F14" s="33">
        <f>C36*'E Balans VL '!L24/100/3.6*1000000+C36*'E Balans VL '!N24/100/3.6*1000000</f>
        <v>14.682024809858214</v>
      </c>
      <c r="G14" s="34"/>
      <c r="H14" s="33"/>
      <c r="I14" s="33"/>
      <c r="J14" s="40">
        <f>C36*'E Balans VL '!D24/100/3.6*1000000+C36*'E Balans VL '!E24/100/3.6*1000000</f>
        <v>0</v>
      </c>
      <c r="K14" s="33"/>
      <c r="L14" s="33"/>
      <c r="M14" s="33"/>
      <c r="N14" s="33">
        <f>C36*'E Balans VL '!Y24/100/3.6*1000000</f>
        <v>21.560630172542531</v>
      </c>
      <c r="O14" s="33"/>
      <c r="P14" s="33"/>
      <c r="R14" s="32"/>
    </row>
    <row r="15" spans="1:18">
      <c r="A15" s="6" t="s">
        <v>270</v>
      </c>
      <c r="B15" s="37">
        <f t="shared" si="0"/>
        <v>158000</v>
      </c>
      <c r="C15" s="33"/>
      <c r="D15" s="37">
        <f>IF( ISERROR(IND_rest_gas_kWh/1000),0,IND_rest_gas_kWh/1000)*0.902</f>
        <v>179300.53944400258</v>
      </c>
      <c r="E15" s="33">
        <f>C37*'E Balans VL '!I15/100/3.6*1000000</f>
        <v>8037.9514350747713</v>
      </c>
      <c r="F15" s="33">
        <f>C37*'E Balans VL '!L15/100/3.6*1000000+C37*'E Balans VL '!N15/100/3.6*1000000</f>
        <v>36014.144625983194</v>
      </c>
      <c r="G15" s="34"/>
      <c r="H15" s="33"/>
      <c r="I15" s="33"/>
      <c r="J15" s="40">
        <f>C37*'E Balans VL '!D15/100/3.6*1000000+C37*'E Balans VL '!E15/100/3.6*1000000</f>
        <v>662.86219701579023</v>
      </c>
      <c r="K15" s="33"/>
      <c r="L15" s="33"/>
      <c r="M15" s="33"/>
      <c r="N15" s="33">
        <f>C37*'E Balans VL '!Y15/100/3.6*1000000</f>
        <v>29685.653077094903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238320.04810000001</v>
      </c>
      <c r="C18" s="21">
        <f>C5+C16</f>
        <v>0</v>
      </c>
      <c r="D18" s="21">
        <f>MAX((D5+D16),0)</f>
        <v>212157.02906366254</v>
      </c>
      <c r="E18" s="21">
        <f>MAX((E5+E16),0)</f>
        <v>12764.206463300878</v>
      </c>
      <c r="F18" s="21">
        <f>MAX((F5+F16),0)</f>
        <v>54764.136005083688</v>
      </c>
      <c r="G18" s="21"/>
      <c r="H18" s="21"/>
      <c r="I18" s="21"/>
      <c r="J18" s="21">
        <f>MAX((J5+J16),0)</f>
        <v>686.15492404186455</v>
      </c>
      <c r="K18" s="21"/>
      <c r="L18" s="21">
        <f>MAX((L5+L16),0)</f>
        <v>0</v>
      </c>
      <c r="M18" s="21"/>
      <c r="N18" s="21">
        <f>MAX((N5+N16),0)</f>
        <v>36420.142151318585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0.20183759867042861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48101.946223525047</v>
      </c>
      <c r="C22" s="23">
        <f ca="1">C18*C20</f>
        <v>0</v>
      </c>
      <c r="D22" s="23">
        <f>D18*D20</f>
        <v>42855.719870859837</v>
      </c>
      <c r="E22" s="23">
        <f>E18*E20</f>
        <v>2897.4748671692992</v>
      </c>
      <c r="F22" s="23">
        <f>F18*F20</f>
        <v>14622.024313357346</v>
      </c>
      <c r="G22" s="23"/>
      <c r="H22" s="23"/>
      <c r="I22" s="23"/>
      <c r="J22" s="23">
        <f>J18*J20</f>
        <v>242.89884311082002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6232.9639999999999</v>
      </c>
      <c r="C30" s="39">
        <f>IF(ISERROR(B30*3.6/1000000/'E Balans VL '!Z18*100),0,B30*3.6/1000000/'E Balans VL '!Z18*100)</f>
        <v>0.87240724417999993</v>
      </c>
      <c r="D30" s="237" t="s">
        <v>692</v>
      </c>
    </row>
    <row r="31" spans="1:18">
      <c r="A31" s="6" t="s">
        <v>33</v>
      </c>
      <c r="B31" s="37">
        <f>IF( ISERROR(IND_ander_ele_kWh/1000),0,IND_ander_ele_kWh/1000)</f>
        <v>16032.617</v>
      </c>
      <c r="C31" s="39">
        <f>IF(ISERROR(B31*3.6/1000000/'E Balans VL '!Z19*100),0,B31*3.6/1000000/'E Balans VL '!Z19*100)</f>
        <v>0.70174504523000725</v>
      </c>
      <c r="D31" s="237" t="s">
        <v>692</v>
      </c>
    </row>
    <row r="32" spans="1:18">
      <c r="A32" s="171" t="s">
        <v>41</v>
      </c>
      <c r="B32" s="37">
        <f>IF( ISERROR(IND_voed_ele_kWh/1000),0,IND_voed_ele_kWh/1000)</f>
        <v>894.07010000000002</v>
      </c>
      <c r="C32" s="39">
        <f>IF(ISERROR(B32*3.6/1000000/'E Balans VL '!Z20*100),0,B32*3.6/1000000/'E Balans VL '!Z20*100)</f>
        <v>0.22134206615648228</v>
      </c>
      <c r="D32" s="237" t="s">
        <v>692</v>
      </c>
    </row>
    <row r="33" spans="1:5">
      <c r="A33" s="171" t="s">
        <v>40</v>
      </c>
      <c r="B33" s="37">
        <f>IF( ISERROR(IND_textiel_ele_kWh/1000),0,IND_textiel_ele_kWh/1000)</f>
        <v>53699.809000000001</v>
      </c>
      <c r="C33" s="39">
        <f>IF(ISERROR(B33*3.6/1000000/'E Balans VL '!Z21*100),0,B33*3.6/1000000/'E Balans VL '!Z21*100)</f>
        <v>6.0510225434495837</v>
      </c>
      <c r="D33" s="237" t="s">
        <v>692</v>
      </c>
    </row>
    <row r="34" spans="1:5">
      <c r="A34" s="171" t="s">
        <v>37</v>
      </c>
      <c r="B34" s="37">
        <f>IF( ISERROR(IND_min_ele_kWh/1000),0,IND_min_ele_kWh/1000)</f>
        <v>1277.807</v>
      </c>
      <c r="C34" s="39">
        <f>IF(ISERROR(B34*3.6/1000000/'E Balans VL '!Z22*100),0,B34*3.6/1000000/'E Balans VL '!Z22*100)</f>
        <v>3.625894948761911E-2</v>
      </c>
      <c r="D34" s="237" t="s">
        <v>692</v>
      </c>
    </row>
    <row r="35" spans="1:5">
      <c r="A35" s="171" t="s">
        <v>39</v>
      </c>
      <c r="B35" s="37">
        <f>IF( ISERROR(IND_papier_ele_kWh/1000),0,IND_papier_ele_kWh/1000)</f>
        <v>920.78300000000002</v>
      </c>
      <c r="C35" s="39">
        <f>IF(ISERROR(B35*3.6/1000000/'E Balans VL '!Z22*100),0,B35*3.6/1000000/'E Balans VL '!Z22*100)</f>
        <v>2.6128064947256027E-2</v>
      </c>
      <c r="D35" s="237" t="s">
        <v>692</v>
      </c>
    </row>
    <row r="36" spans="1:5">
      <c r="A36" s="171" t="s">
        <v>34</v>
      </c>
      <c r="B36" s="37">
        <f>IF( ISERROR(IND_chemie_ele_kWh/1000),0,IND_chemie_ele_kWh/1000)</f>
        <v>1261.998</v>
      </c>
      <c r="C36" s="39">
        <f>IF(ISERROR(B36*3.6/1000000/'E Balans VL '!Z24*100),0,B36*3.6/1000000/'E Balans VL '!Z24*100)</f>
        <v>3.217902276586096E-2</v>
      </c>
      <c r="D36" s="237" t="s">
        <v>692</v>
      </c>
    </row>
    <row r="37" spans="1:5">
      <c r="A37" s="171" t="s">
        <v>270</v>
      </c>
      <c r="B37" s="37">
        <f>IF( ISERROR(IND_rest_ele_kWh/1000),0,IND_rest_ele_kWh/1000)</f>
        <v>158000</v>
      </c>
      <c r="C37" s="39">
        <f>IF(ISERROR(B37*3.6/1000000/'E Balans VL '!Z15*100),0,B37*3.6/1000000/'E Balans VL '!Z15*100)</f>
        <v>1.1715429492553087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1437.0053</v>
      </c>
      <c r="C5" s="17">
        <f>'Eigen informatie GS &amp; warmtenet'!B60</f>
        <v>0</v>
      </c>
      <c r="D5" s="30">
        <f>IF(ISERROR(SUM(LB_lb_gas_kWh,LB_rest_gas_kWh)/1000),0,SUM(LB_lb_gas_kWh,LB_rest_gas_kWh)/1000)*0.902</f>
        <v>1375.5879797693051</v>
      </c>
      <c r="E5" s="17">
        <f>B17*'E Balans VL '!I25/3.6*1000000/100</f>
        <v>13.310144961744976</v>
      </c>
      <c r="F5" s="17">
        <f>B17*('E Balans VL '!L25/3.6*1000000+'E Balans VL '!N25/3.6*1000000)/100</f>
        <v>3645.9561953287234</v>
      </c>
      <c r="G5" s="18"/>
      <c r="H5" s="17"/>
      <c r="I5" s="17"/>
      <c r="J5" s="17">
        <f>('E Balans VL '!D25+'E Balans VL '!E25)/3.6*1000000*landbouw!B17/100</f>
        <v>220.3089495159536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1437.0053</v>
      </c>
      <c r="C8" s="21">
        <f>C5+C6</f>
        <v>0</v>
      </c>
      <c r="D8" s="21">
        <f>MAX((D5+D6),0)</f>
        <v>1375.5879797693051</v>
      </c>
      <c r="E8" s="21">
        <f>MAX((E5+E6),0)</f>
        <v>13.310144961744976</v>
      </c>
      <c r="F8" s="21">
        <f>MAX((F5+F6),0)</f>
        <v>3645.9561953287234</v>
      </c>
      <c r="G8" s="21"/>
      <c r="H8" s="21"/>
      <c r="I8" s="21"/>
      <c r="J8" s="21">
        <f>MAX((J5+J6),0)</f>
        <v>220.3089495159536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0.20183759867042861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290.04169902867886</v>
      </c>
      <c r="C12" s="23">
        <f ca="1">C8*C10</f>
        <v>0</v>
      </c>
      <c r="D12" s="23">
        <f>D8*D10</f>
        <v>277.86877191339966</v>
      </c>
      <c r="E12" s="23">
        <f>E8*E10</f>
        <v>3.0214029063161099</v>
      </c>
      <c r="F12" s="23">
        <f>F8*F10</f>
        <v>973.47030415276924</v>
      </c>
      <c r="G12" s="23"/>
      <c r="H12" s="23"/>
      <c r="I12" s="23"/>
      <c r="J12" s="23">
        <f>J8*J10</f>
        <v>77.98936812864757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0.20431168388096704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239.05602145992518</v>
      </c>
      <c r="C26" s="247">
        <f>B26*'GWP N2O_CH4'!B5</f>
        <v>5020.1764506584286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67.413878263991322</v>
      </c>
      <c r="C27" s="247">
        <f>B27*'GWP N2O_CH4'!B5</f>
        <v>1415.6914435438177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3.1558843664813114</v>
      </c>
      <c r="C28" s="247">
        <f>B28*'GWP N2O_CH4'!B4</f>
        <v>978.32415360920652</v>
      </c>
      <c r="D28" s="50"/>
    </row>
    <row r="29" spans="1:4">
      <c r="A29" s="41" t="s">
        <v>277</v>
      </c>
      <c r="B29" s="247">
        <f>B34*'ha_N2O bodem landbouw'!B4</f>
        <v>10.889549857784527</v>
      </c>
      <c r="C29" s="247">
        <f>B29*'GWP N2O_CH4'!B4</f>
        <v>3375.7604559132033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2.4423341885214749E-3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1.5059241013625001E-4</v>
      </c>
      <c r="C5" s="464" t="s">
        <v>211</v>
      </c>
      <c r="D5" s="449">
        <f>SUM(D6:D11)</f>
        <v>3.8797308181299313E-4</v>
      </c>
      <c r="E5" s="449">
        <f>SUM(E6:E11)</f>
        <v>2.8409361337360262E-3</v>
      </c>
      <c r="F5" s="462" t="s">
        <v>211</v>
      </c>
      <c r="G5" s="449">
        <f>SUM(G6:G11)</f>
        <v>1.0797428284548483</v>
      </c>
      <c r="H5" s="449">
        <f>SUM(H6:H11)</f>
        <v>0.15073423389530907</v>
      </c>
      <c r="I5" s="464" t="s">
        <v>211</v>
      </c>
      <c r="J5" s="464" t="s">
        <v>211</v>
      </c>
      <c r="K5" s="464" t="s">
        <v>211</v>
      </c>
      <c r="L5" s="464" t="s">
        <v>211</v>
      </c>
      <c r="M5" s="449">
        <f>SUM(M6:M11)</f>
        <v>6.7098280445895525E-2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4.4418239599636071E-5</v>
      </c>
      <c r="C6" s="450"/>
      <c r="D6" s="893">
        <f>vkm_2011_GW_PW*SUMIFS(TableVerdeelsleutelVkm[CNG],TableVerdeelsleutelVkm[Voertuigtype],"Lichte voertuigen")*SUMIFS(TableECFTransport[EnergieConsumptieFactor (PJ per km)],TableECFTransport[Index],CONCATENATE($A6,"_CNG_CNG"))</f>
        <v>1.0274427843956123E-4</v>
      </c>
      <c r="E6" s="893">
        <f>vkm_2011_GW_PW*SUMIFS(TableVerdeelsleutelVkm[LPG],TableVerdeelsleutelVkm[Voertuigtype],"Lichte voertuigen")*SUMIFS(TableECFTransport[EnergieConsumptieFactor (PJ per km)],TableECFTransport[Index],CONCATENATE($A6,"_LPG_LPG"))</f>
        <v>6.6900869566661114E-4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0.13898160701783466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3.9176042877606738E-2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9.245458472466099E-3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9.3350399626335456E-2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3.1924141349977527E-5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5.4008497524614014E-3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1.6642039241392827E-5</v>
      </c>
      <c r="C8" s="450"/>
      <c r="D8" s="452">
        <f>vkm_2011_NGW_PW*SUMIFS(TableVerdeelsleutelVkm[CNG],TableVerdeelsleutelVkm[Voertuigtype],"Lichte voertuigen")*SUMIFS(TableECFTransport[EnergieConsumptieFactor (PJ per km)],TableECFTransport[Index],CONCATENATE($A8,"_CNG_CNG"))</f>
        <v>6.8086173329629619E-5</v>
      </c>
      <c r="E8" s="452">
        <f>vkm_2011_NGW_PW*SUMIFS(TableVerdeelsleutelVkm[LPG],TableVerdeelsleutelVkm[Voertuigtype],"Lichte voertuigen")*SUMIFS(TableECFTransport[EnergieConsumptieFactor (PJ per km)],TableECFTransport[Index],CONCATENATE($A8,"_LPG_LPG"))</f>
        <v>4.0915304542959221E-4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7.9456920350202867E-2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2.5102479600505247E-2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5.3689851495351808E-3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2.4167376719515698E-2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7.8202815882832555E-6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1.3982060453587796E-3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8.953213129522111E-5</v>
      </c>
      <c r="C10" s="450"/>
      <c r="D10" s="452">
        <f>vkm_2011_SW_PW*SUMIFS(TableVerdeelsleutelVkm[CNG],TableVerdeelsleutelVkm[Voertuigtype],"Lichte voertuigen")*SUMIFS(TableECFTransport[EnergieConsumptieFactor (PJ per km)],TableECFTransport[Index],CONCATENATE($A10,"_CNG_CNG"))</f>
        <v>2.1714263004380226E-4</v>
      </c>
      <c r="E10" s="452">
        <f>vkm_2011_SW_PW*SUMIFS(TableVerdeelsleutelVkm[LPG],TableVerdeelsleutelVkm[Voertuigtype],"Lichte voertuigen")*SUMIFS(TableECFTransport[EnergieConsumptieFactor (PJ per km)],TableECFTransport[Index],CONCATENATE($A10,"_LPG_LPG"))</f>
        <v>1.7627743926398227E-3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0.32968942505679227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8.6263346430233576E-2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2.1726577750000437E-2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0.41409709968416719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1.5262056402524145E-4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2.3958203276073634E-2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41.831225037847219</v>
      </c>
      <c r="C14" s="21"/>
      <c r="D14" s="21">
        <f t="shared" ref="D14:M14" si="0">((D5)*10^9/3600)+D12</f>
        <v>107.77030050360919</v>
      </c>
      <c r="E14" s="21">
        <f t="shared" si="0"/>
        <v>789.14892603778503</v>
      </c>
      <c r="F14" s="21"/>
      <c r="G14" s="21">
        <f t="shared" si="0"/>
        <v>299928.56345968007</v>
      </c>
      <c r="H14" s="21">
        <f t="shared" si="0"/>
        <v>41870.62052647474</v>
      </c>
      <c r="I14" s="21"/>
      <c r="J14" s="21"/>
      <c r="K14" s="21"/>
      <c r="L14" s="21"/>
      <c r="M14" s="21">
        <f t="shared" si="0"/>
        <v>18638.411234970979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0.20183759867042861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8.4431140110813914</v>
      </c>
      <c r="C18" s="23"/>
      <c r="D18" s="23">
        <f t="shared" ref="D18:M18" si="1">D14*D16</f>
        <v>21.769600701729058</v>
      </c>
      <c r="E18" s="23">
        <f t="shared" si="1"/>
        <v>179.13680621057722</v>
      </c>
      <c r="F18" s="23"/>
      <c r="G18" s="23">
        <f t="shared" si="1"/>
        <v>80080.926443734585</v>
      </c>
      <c r="H18" s="23">
        <f t="shared" si="1"/>
        <v>10425.78451109221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6.889197079488112E-3</v>
      </c>
      <c r="H50" s="321">
        <f t="shared" si="2"/>
        <v>0</v>
      </c>
      <c r="I50" s="321">
        <f t="shared" si="2"/>
        <v>0</v>
      </c>
      <c r="J50" s="321">
        <f t="shared" si="2"/>
        <v>0</v>
      </c>
      <c r="K50" s="321">
        <f t="shared" si="2"/>
        <v>0</v>
      </c>
      <c r="L50" s="321">
        <f t="shared" si="2"/>
        <v>0</v>
      </c>
      <c r="M50" s="321">
        <f t="shared" si="2"/>
        <v>3.928708263488366E-4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6.889197079488112E-3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3.928708263488366E-4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1913.6658554133644</v>
      </c>
      <c r="H54" s="21">
        <f t="shared" si="3"/>
        <v>0</v>
      </c>
      <c r="I54" s="21">
        <f t="shared" si="3"/>
        <v>0</v>
      </c>
      <c r="J54" s="21">
        <f t="shared" si="3"/>
        <v>0</v>
      </c>
      <c r="K54" s="21">
        <f t="shared" si="3"/>
        <v>0</v>
      </c>
      <c r="L54" s="21">
        <f t="shared" si="3"/>
        <v>0</v>
      </c>
      <c r="M54" s="21">
        <f t="shared" si="3"/>
        <v>109.13078509689905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0.20183759867042861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510.94878339536831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88807.268599999996</v>
      </c>
      <c r="D10" s="1025">
        <f ca="1">tertiair!C16</f>
        <v>0</v>
      </c>
      <c r="E10" s="1025">
        <f ca="1">tertiair!D16</f>
        <v>103585.82887692389</v>
      </c>
      <c r="F10" s="1025">
        <f>tertiair!E16</f>
        <v>784.9293665923002</v>
      </c>
      <c r="G10" s="1025">
        <f ca="1">tertiair!F16</f>
        <v>11798.805463041375</v>
      </c>
      <c r="H10" s="1025">
        <f>tertiair!G16</f>
        <v>0</v>
      </c>
      <c r="I10" s="1025">
        <f>tertiair!H16</f>
        <v>0</v>
      </c>
      <c r="J10" s="1025">
        <f>tertiair!I16</f>
        <v>0</v>
      </c>
      <c r="K10" s="1025">
        <f>tertiair!J16</f>
        <v>0</v>
      </c>
      <c r="L10" s="1025">
        <f>tertiair!K16</f>
        <v>0</v>
      </c>
      <c r="M10" s="1025">
        <f ca="1">tertiair!L16</f>
        <v>0</v>
      </c>
      <c r="N10" s="1025">
        <f>tertiair!M16</f>
        <v>0</v>
      </c>
      <c r="O10" s="1025">
        <f ca="1">tertiair!N16</f>
        <v>4287.5679280637833</v>
      </c>
      <c r="P10" s="1025">
        <f>tertiair!O16</f>
        <v>7.8166666666666664</v>
      </c>
      <c r="Q10" s="1026">
        <f>tertiair!P16</f>
        <v>266.93333333333334</v>
      </c>
      <c r="R10" s="701">
        <f ca="1">SUM(C10:Q10)</f>
        <v>209539.15023462134</v>
      </c>
      <c r="S10" s="67"/>
    </row>
    <row r="11" spans="1:19" s="474" customFormat="1">
      <c r="A11" s="810" t="s">
        <v>225</v>
      </c>
      <c r="B11" s="815"/>
      <c r="C11" s="1025">
        <f>huishoudens!B8</f>
        <v>68622.346163037961</v>
      </c>
      <c r="D11" s="1025">
        <f>huishoudens!C8</f>
        <v>0</v>
      </c>
      <c r="E11" s="1025">
        <f>huishoudens!D8</f>
        <v>114655.14573817945</v>
      </c>
      <c r="F11" s="1025">
        <f>huishoudens!E8</f>
        <v>5246.8813642351934</v>
      </c>
      <c r="G11" s="1025">
        <f>huishoudens!F8</f>
        <v>62316.634182941365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22685.73265516659</v>
      </c>
      <c r="P11" s="1025">
        <f>huishoudens!O8</f>
        <v>529.97</v>
      </c>
      <c r="Q11" s="1026">
        <f>huishoudens!P8</f>
        <v>877.06666666666661</v>
      </c>
      <c r="R11" s="701">
        <f>SUM(C11:Q11)</f>
        <v>274933.77677022718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238320.04810000001</v>
      </c>
      <c r="D13" s="1025">
        <f>industrie!C18</f>
        <v>0</v>
      </c>
      <c r="E13" s="1025">
        <f>industrie!D18</f>
        <v>212157.02906366254</v>
      </c>
      <c r="F13" s="1025">
        <f>industrie!E18</f>
        <v>12764.206463300878</v>
      </c>
      <c r="G13" s="1025">
        <f>industrie!F18</f>
        <v>54764.136005083688</v>
      </c>
      <c r="H13" s="1025">
        <f>industrie!G18</f>
        <v>0</v>
      </c>
      <c r="I13" s="1025">
        <f>industrie!H18</f>
        <v>0</v>
      </c>
      <c r="J13" s="1025">
        <f>industrie!I18</f>
        <v>0</v>
      </c>
      <c r="K13" s="1025">
        <f>industrie!J18</f>
        <v>686.15492404186455</v>
      </c>
      <c r="L13" s="1025">
        <f>industrie!K18</f>
        <v>0</v>
      </c>
      <c r="M13" s="1025">
        <f>industrie!L18</f>
        <v>0</v>
      </c>
      <c r="N13" s="1025">
        <f>industrie!M18</f>
        <v>0</v>
      </c>
      <c r="O13" s="1025">
        <f>industrie!N18</f>
        <v>36420.142151318585</v>
      </c>
      <c r="P13" s="1025">
        <f>industrie!O18</f>
        <v>0</v>
      </c>
      <c r="Q13" s="1026">
        <f>industrie!P18</f>
        <v>0</v>
      </c>
      <c r="R13" s="701">
        <f>SUM(C13:Q13)</f>
        <v>555111.7167074075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395749.66286303796</v>
      </c>
      <c r="D16" s="733">
        <f t="shared" ref="D16:R16" ca="1" si="0">SUM(D9:D15)</f>
        <v>0</v>
      </c>
      <c r="E16" s="733">
        <f t="shared" ca="1" si="0"/>
        <v>430398.00367876585</v>
      </c>
      <c r="F16" s="733">
        <f t="shared" si="0"/>
        <v>18796.01719412837</v>
      </c>
      <c r="G16" s="733">
        <f t="shared" ca="1" si="0"/>
        <v>128879.57565106644</v>
      </c>
      <c r="H16" s="733">
        <f t="shared" si="0"/>
        <v>0</v>
      </c>
      <c r="I16" s="733">
        <f t="shared" si="0"/>
        <v>0</v>
      </c>
      <c r="J16" s="733">
        <f t="shared" si="0"/>
        <v>0</v>
      </c>
      <c r="K16" s="733">
        <f t="shared" si="0"/>
        <v>686.15492404186455</v>
      </c>
      <c r="L16" s="733">
        <f t="shared" si="0"/>
        <v>0</v>
      </c>
      <c r="M16" s="733">
        <f t="shared" ca="1" si="0"/>
        <v>0</v>
      </c>
      <c r="N16" s="733">
        <f t="shared" si="0"/>
        <v>0</v>
      </c>
      <c r="O16" s="733">
        <f t="shared" ca="1" si="0"/>
        <v>63393.44273454896</v>
      </c>
      <c r="P16" s="733">
        <f t="shared" si="0"/>
        <v>537.78666666666675</v>
      </c>
      <c r="Q16" s="733">
        <f t="shared" si="0"/>
        <v>1144</v>
      </c>
      <c r="R16" s="733">
        <f t="shared" ca="1" si="0"/>
        <v>1039584.643712256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1913.6658554133644</v>
      </c>
      <c r="I19" s="1025">
        <f>transport!H54</f>
        <v>0</v>
      </c>
      <c r="J19" s="1025">
        <f>transport!I54</f>
        <v>0</v>
      </c>
      <c r="K19" s="1025">
        <f>transport!J54</f>
        <v>0</v>
      </c>
      <c r="L19" s="1025">
        <f>transport!K54</f>
        <v>0</v>
      </c>
      <c r="M19" s="1025">
        <f>transport!L54</f>
        <v>0</v>
      </c>
      <c r="N19" s="1025">
        <f>transport!M54</f>
        <v>109.13078509689905</v>
      </c>
      <c r="O19" s="1025">
        <f>transport!N54</f>
        <v>0</v>
      </c>
      <c r="P19" s="1025">
        <f>transport!O54</f>
        <v>0</v>
      </c>
      <c r="Q19" s="1026">
        <f>transport!P54</f>
        <v>0</v>
      </c>
      <c r="R19" s="701">
        <f>SUM(C19:Q19)</f>
        <v>2022.7966405102634</v>
      </c>
      <c r="S19" s="67"/>
    </row>
    <row r="20" spans="1:19" s="474" customFormat="1">
      <c r="A20" s="810" t="s">
        <v>307</v>
      </c>
      <c r="B20" s="815"/>
      <c r="C20" s="1025">
        <f>transport!B14</f>
        <v>41.831225037847219</v>
      </c>
      <c r="D20" s="1025">
        <f>transport!C14</f>
        <v>0</v>
      </c>
      <c r="E20" s="1025">
        <f>transport!D14</f>
        <v>107.77030050360919</v>
      </c>
      <c r="F20" s="1025">
        <f>transport!E14</f>
        <v>789.14892603778503</v>
      </c>
      <c r="G20" s="1025">
        <f>transport!F14</f>
        <v>0</v>
      </c>
      <c r="H20" s="1025">
        <f>transport!G14</f>
        <v>299928.56345968007</v>
      </c>
      <c r="I20" s="1025">
        <f>transport!H14</f>
        <v>41870.62052647474</v>
      </c>
      <c r="J20" s="1025">
        <f>transport!I14</f>
        <v>0</v>
      </c>
      <c r="K20" s="1025">
        <f>transport!J14</f>
        <v>0</v>
      </c>
      <c r="L20" s="1025">
        <f>transport!K14</f>
        <v>0</v>
      </c>
      <c r="M20" s="1025">
        <f>transport!L14</f>
        <v>0</v>
      </c>
      <c r="N20" s="1025">
        <f>transport!M14</f>
        <v>18638.411234970979</v>
      </c>
      <c r="O20" s="1025">
        <f>transport!N14</f>
        <v>0</v>
      </c>
      <c r="P20" s="1025">
        <f>transport!O14</f>
        <v>0</v>
      </c>
      <c r="Q20" s="1026">
        <f>transport!P14</f>
        <v>0</v>
      </c>
      <c r="R20" s="701">
        <f>SUM(C20:Q20)</f>
        <v>361376.34567270498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41.831225037847219</v>
      </c>
      <c r="D22" s="813">
        <f t="shared" ref="D22:R22" si="1">SUM(D18:D21)</f>
        <v>0</v>
      </c>
      <c r="E22" s="813">
        <f t="shared" si="1"/>
        <v>107.77030050360919</v>
      </c>
      <c r="F22" s="813">
        <f t="shared" si="1"/>
        <v>789.14892603778503</v>
      </c>
      <c r="G22" s="813">
        <f t="shared" si="1"/>
        <v>0</v>
      </c>
      <c r="H22" s="813">
        <f t="shared" si="1"/>
        <v>301842.22931509343</v>
      </c>
      <c r="I22" s="813">
        <f t="shared" si="1"/>
        <v>41870.62052647474</v>
      </c>
      <c r="J22" s="813">
        <f t="shared" si="1"/>
        <v>0</v>
      </c>
      <c r="K22" s="813">
        <f t="shared" si="1"/>
        <v>0</v>
      </c>
      <c r="L22" s="813">
        <f t="shared" si="1"/>
        <v>0</v>
      </c>
      <c r="M22" s="813">
        <f t="shared" si="1"/>
        <v>0</v>
      </c>
      <c r="N22" s="813">
        <f t="shared" si="1"/>
        <v>18747.542020067878</v>
      </c>
      <c r="O22" s="813">
        <f t="shared" si="1"/>
        <v>0</v>
      </c>
      <c r="P22" s="813">
        <f t="shared" si="1"/>
        <v>0</v>
      </c>
      <c r="Q22" s="813">
        <f t="shared" si="1"/>
        <v>0</v>
      </c>
      <c r="R22" s="813">
        <f t="shared" si="1"/>
        <v>363399.14231321524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1437.0053</v>
      </c>
      <c r="D24" s="1025">
        <f>+landbouw!C8</f>
        <v>0</v>
      </c>
      <c r="E24" s="1025">
        <f>+landbouw!D8</f>
        <v>1375.5879797693051</v>
      </c>
      <c r="F24" s="1025">
        <f>+landbouw!E8</f>
        <v>13.310144961744976</v>
      </c>
      <c r="G24" s="1025">
        <f>+landbouw!F8</f>
        <v>3645.9561953287234</v>
      </c>
      <c r="H24" s="1025">
        <f>+landbouw!G8</f>
        <v>0</v>
      </c>
      <c r="I24" s="1025">
        <f>+landbouw!H8</f>
        <v>0</v>
      </c>
      <c r="J24" s="1025">
        <f>+landbouw!I8</f>
        <v>0</v>
      </c>
      <c r="K24" s="1025">
        <f>+landbouw!J8</f>
        <v>220.3089495159536</v>
      </c>
      <c r="L24" s="1025">
        <f>+landbouw!K8</f>
        <v>0</v>
      </c>
      <c r="M24" s="1025">
        <f>+landbouw!L8</f>
        <v>0</v>
      </c>
      <c r="N24" s="1025">
        <f>+landbouw!M8</f>
        <v>0</v>
      </c>
      <c r="O24" s="1025">
        <f>+landbouw!N8</f>
        <v>0</v>
      </c>
      <c r="P24" s="1025">
        <f>+landbouw!O8</f>
        <v>0</v>
      </c>
      <c r="Q24" s="1026">
        <f>+landbouw!P8</f>
        <v>0</v>
      </c>
      <c r="R24" s="701">
        <f>SUM(C24:Q24)</f>
        <v>6692.1685695757269</v>
      </c>
      <c r="S24" s="67"/>
    </row>
    <row r="25" spans="1:19" s="474" customFormat="1" ht="15" thickBot="1">
      <c r="A25" s="832" t="s">
        <v>864</v>
      </c>
      <c r="B25" s="1028"/>
      <c r="C25" s="1029">
        <f>IF(Onbekend_ele_kWh="---",0,Onbekend_ele_kWh)/1000+IF(REST_rest_ele_kWh="---",0,REST_rest_ele_kWh)/1000</f>
        <v>2591.116</v>
      </c>
      <c r="D25" s="1029"/>
      <c r="E25" s="1029">
        <f>IF(onbekend_gas_kWh="---",0,onbekend_gas_kWh)/1000+IF(REST_rest_gas_kWh="---",0,REST_rest_gas_kWh)/1000</f>
        <v>5912.8815285192804</v>
      </c>
      <c r="F25" s="1029"/>
      <c r="G25" s="1029"/>
      <c r="H25" s="1029"/>
      <c r="I25" s="1029"/>
      <c r="J25" s="1029"/>
      <c r="K25" s="1029"/>
      <c r="L25" s="1029"/>
      <c r="M25" s="1029"/>
      <c r="N25" s="1029"/>
      <c r="O25" s="1029"/>
      <c r="P25" s="1029"/>
      <c r="Q25" s="1030"/>
      <c r="R25" s="701">
        <f>SUM(C25:Q25)</f>
        <v>8503.9975285192813</v>
      </c>
      <c r="S25" s="67"/>
    </row>
    <row r="26" spans="1:19" s="474" customFormat="1" ht="15.75" thickBot="1">
      <c r="A26" s="706" t="s">
        <v>865</v>
      </c>
      <c r="B26" s="818"/>
      <c r="C26" s="813">
        <f>SUM(C24:C25)</f>
        <v>4028.1212999999998</v>
      </c>
      <c r="D26" s="813">
        <f t="shared" ref="D26:R26" si="2">SUM(D24:D25)</f>
        <v>0</v>
      </c>
      <c r="E26" s="813">
        <f t="shared" si="2"/>
        <v>7288.4695082885855</v>
      </c>
      <c r="F26" s="813">
        <f t="shared" si="2"/>
        <v>13.310144961744976</v>
      </c>
      <c r="G26" s="813">
        <f t="shared" si="2"/>
        <v>3645.9561953287234</v>
      </c>
      <c r="H26" s="813">
        <f t="shared" si="2"/>
        <v>0</v>
      </c>
      <c r="I26" s="813">
        <f t="shared" si="2"/>
        <v>0</v>
      </c>
      <c r="J26" s="813">
        <f t="shared" si="2"/>
        <v>0</v>
      </c>
      <c r="K26" s="813">
        <f t="shared" si="2"/>
        <v>220.3089495159536</v>
      </c>
      <c r="L26" s="813">
        <f t="shared" si="2"/>
        <v>0</v>
      </c>
      <c r="M26" s="813">
        <f t="shared" si="2"/>
        <v>0</v>
      </c>
      <c r="N26" s="813">
        <f t="shared" si="2"/>
        <v>0</v>
      </c>
      <c r="O26" s="813">
        <f t="shared" si="2"/>
        <v>0</v>
      </c>
      <c r="P26" s="813">
        <f t="shared" si="2"/>
        <v>0</v>
      </c>
      <c r="Q26" s="813">
        <f t="shared" si="2"/>
        <v>0</v>
      </c>
      <c r="R26" s="813">
        <f t="shared" si="2"/>
        <v>15196.166098095007</v>
      </c>
      <c r="S26" s="67"/>
    </row>
    <row r="27" spans="1:19" s="474" customFormat="1" ht="17.25" thickTop="1" thickBot="1">
      <c r="A27" s="707" t="s">
        <v>116</v>
      </c>
      <c r="B27" s="806"/>
      <c r="C27" s="708">
        <f ca="1">C22+C16+C26</f>
        <v>399819.61538807582</v>
      </c>
      <c r="D27" s="708">
        <f t="shared" ref="D27:R27" ca="1" si="3">D22+D16+D26</f>
        <v>0</v>
      </c>
      <c r="E27" s="708">
        <f t="shared" ca="1" si="3"/>
        <v>437794.24348755804</v>
      </c>
      <c r="F27" s="708">
        <f t="shared" si="3"/>
        <v>19598.476265127902</v>
      </c>
      <c r="G27" s="708">
        <f t="shared" ca="1" si="3"/>
        <v>132525.53184639517</v>
      </c>
      <c r="H27" s="708">
        <f t="shared" si="3"/>
        <v>301842.22931509343</v>
      </c>
      <c r="I27" s="708">
        <f t="shared" si="3"/>
        <v>41870.62052647474</v>
      </c>
      <c r="J27" s="708">
        <f t="shared" si="3"/>
        <v>0</v>
      </c>
      <c r="K27" s="708">
        <f t="shared" si="3"/>
        <v>906.46387355781815</v>
      </c>
      <c r="L27" s="708">
        <f t="shared" si="3"/>
        <v>0</v>
      </c>
      <c r="M27" s="708">
        <f t="shared" ca="1" si="3"/>
        <v>0</v>
      </c>
      <c r="N27" s="708">
        <f t="shared" si="3"/>
        <v>18747.542020067878</v>
      </c>
      <c r="O27" s="708">
        <f t="shared" ca="1" si="3"/>
        <v>63393.44273454896</v>
      </c>
      <c r="P27" s="708">
        <f t="shared" si="3"/>
        <v>537.78666666666675</v>
      </c>
      <c r="Q27" s="708">
        <f t="shared" si="3"/>
        <v>1144</v>
      </c>
      <c r="R27" s="708">
        <f t="shared" ca="1" si="3"/>
        <v>1418179.9521235663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17924.645838703756</v>
      </c>
      <c r="D40" s="1025">
        <f ca="1">tertiair!C20</f>
        <v>0</v>
      </c>
      <c r="E40" s="1025">
        <f ca="1">tertiair!D20</f>
        <v>20924.337433138626</v>
      </c>
      <c r="F40" s="1025">
        <f>tertiair!E20</f>
        <v>178.17896621645215</v>
      </c>
      <c r="G40" s="1025">
        <f ca="1">tertiair!F20</f>
        <v>3150.2810586320475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42177.443296690886</v>
      </c>
    </row>
    <row r="41" spans="1:18">
      <c r="A41" s="823" t="s">
        <v>225</v>
      </c>
      <c r="B41" s="830"/>
      <c r="C41" s="1025">
        <f ca="1">huishoudens!B12</f>
        <v>13850.569564678482</v>
      </c>
      <c r="D41" s="1025">
        <f ca="1">huishoudens!C12</f>
        <v>0</v>
      </c>
      <c r="E41" s="1025">
        <f>huishoudens!D12</f>
        <v>23160.339439112249</v>
      </c>
      <c r="F41" s="1025">
        <f>huishoudens!E12</f>
        <v>1191.042069681389</v>
      </c>
      <c r="G41" s="1025">
        <f>huishoudens!F12</f>
        <v>16638.541326845345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54840.492400317467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48101.946223525047</v>
      </c>
      <c r="D43" s="1025">
        <f ca="1">industrie!C22</f>
        <v>0</v>
      </c>
      <c r="E43" s="1025">
        <f>industrie!D22</f>
        <v>42855.719870859837</v>
      </c>
      <c r="F43" s="1025">
        <f>industrie!E22</f>
        <v>2897.4748671692992</v>
      </c>
      <c r="G43" s="1025">
        <f>industrie!F22</f>
        <v>14622.024313357346</v>
      </c>
      <c r="H43" s="1025">
        <f>industrie!G22</f>
        <v>0</v>
      </c>
      <c r="I43" s="1025">
        <f>industrie!H22</f>
        <v>0</v>
      </c>
      <c r="J43" s="1025">
        <f>industrie!I22</f>
        <v>0</v>
      </c>
      <c r="K43" s="1025">
        <f>industrie!J22</f>
        <v>242.89884311082002</v>
      </c>
      <c r="L43" s="1025">
        <f>industrie!K22</f>
        <v>0</v>
      </c>
      <c r="M43" s="1025">
        <f>industrie!L22</f>
        <v>0</v>
      </c>
      <c r="N43" s="1025">
        <f>industrie!M22</f>
        <v>0</v>
      </c>
      <c r="O43" s="1025">
        <f>industrie!N22</f>
        <v>0</v>
      </c>
      <c r="P43" s="1025">
        <f>industrie!O22</f>
        <v>0</v>
      </c>
      <c r="Q43" s="775">
        <f>industrie!P22</f>
        <v>0</v>
      </c>
      <c r="R43" s="850">
        <f t="shared" ca="1" si="4"/>
        <v>108720.06411802235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79877.161626907284</v>
      </c>
      <c r="D46" s="733">
        <f t="shared" ref="D46:Q46" ca="1" si="5">SUM(D39:D45)</f>
        <v>0</v>
      </c>
      <c r="E46" s="733">
        <f t="shared" ca="1" si="5"/>
        <v>86940.396743110701</v>
      </c>
      <c r="F46" s="733">
        <f t="shared" si="5"/>
        <v>4266.6959030671405</v>
      </c>
      <c r="G46" s="733">
        <f t="shared" ca="1" si="5"/>
        <v>34410.846698834735</v>
      </c>
      <c r="H46" s="733">
        <f t="shared" si="5"/>
        <v>0</v>
      </c>
      <c r="I46" s="733">
        <f t="shared" si="5"/>
        <v>0</v>
      </c>
      <c r="J46" s="733">
        <f t="shared" si="5"/>
        <v>0</v>
      </c>
      <c r="K46" s="733">
        <f t="shared" si="5"/>
        <v>242.89884311082002</v>
      </c>
      <c r="L46" s="733">
        <f t="shared" si="5"/>
        <v>0</v>
      </c>
      <c r="M46" s="733">
        <f t="shared" ca="1" si="5"/>
        <v>0</v>
      </c>
      <c r="N46" s="733">
        <f t="shared" si="5"/>
        <v>0</v>
      </c>
      <c r="O46" s="733">
        <f t="shared" ca="1" si="5"/>
        <v>0</v>
      </c>
      <c r="P46" s="733">
        <f t="shared" si="5"/>
        <v>0</v>
      </c>
      <c r="Q46" s="733">
        <f t="shared" si="5"/>
        <v>0</v>
      </c>
      <c r="R46" s="733">
        <f ca="1">SUM(R39:R45)</f>
        <v>205737.99981503072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510.94878339536831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510.94878339536831</v>
      </c>
    </row>
    <row r="50" spans="1:18">
      <c r="A50" s="826" t="s">
        <v>307</v>
      </c>
      <c r="B50" s="836"/>
      <c r="C50" s="704">
        <f ca="1">transport!B18</f>
        <v>8.4431140110813914</v>
      </c>
      <c r="D50" s="704">
        <f>transport!C18</f>
        <v>0</v>
      </c>
      <c r="E50" s="704">
        <f>transport!D18</f>
        <v>21.769600701729058</v>
      </c>
      <c r="F50" s="704">
        <f>transport!E18</f>
        <v>179.13680621057722</v>
      </c>
      <c r="G50" s="704">
        <f>transport!F18</f>
        <v>0</v>
      </c>
      <c r="H50" s="704">
        <f>transport!G18</f>
        <v>80080.926443734585</v>
      </c>
      <c r="I50" s="704">
        <f>transport!H18</f>
        <v>10425.78451109221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90716.060475750171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8.4431140110813914</v>
      </c>
      <c r="D52" s="733">
        <f t="shared" ref="D52:Q52" ca="1" si="6">SUM(D48:D51)</f>
        <v>0</v>
      </c>
      <c r="E52" s="733">
        <f t="shared" si="6"/>
        <v>21.769600701729058</v>
      </c>
      <c r="F52" s="733">
        <f t="shared" si="6"/>
        <v>179.13680621057722</v>
      </c>
      <c r="G52" s="733">
        <f t="shared" si="6"/>
        <v>0</v>
      </c>
      <c r="H52" s="733">
        <f t="shared" si="6"/>
        <v>80591.87522712996</v>
      </c>
      <c r="I52" s="733">
        <f t="shared" si="6"/>
        <v>10425.78451109221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91227.009259145547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290.04169902867886</v>
      </c>
      <c r="D54" s="704">
        <f ca="1">+landbouw!C12</f>
        <v>0</v>
      </c>
      <c r="E54" s="704">
        <f>+landbouw!D12</f>
        <v>277.86877191339966</v>
      </c>
      <c r="F54" s="704">
        <f>+landbouw!E12</f>
        <v>3.0214029063161099</v>
      </c>
      <c r="G54" s="704">
        <f>+landbouw!F12</f>
        <v>973.47030415276924</v>
      </c>
      <c r="H54" s="704">
        <f>+landbouw!G12</f>
        <v>0</v>
      </c>
      <c r="I54" s="704">
        <f>+landbouw!H12</f>
        <v>0</v>
      </c>
      <c r="J54" s="704">
        <f>+landbouw!I12</f>
        <v>0</v>
      </c>
      <c r="K54" s="704">
        <f>+landbouw!J12</f>
        <v>77.98936812864757</v>
      </c>
      <c r="L54" s="704">
        <f>+landbouw!K12</f>
        <v>0</v>
      </c>
      <c r="M54" s="704">
        <f>+landbouw!L12</f>
        <v>0</v>
      </c>
      <c r="N54" s="704">
        <f>+landbouw!M12</f>
        <v>0</v>
      </c>
      <c r="O54" s="704">
        <f>+landbouw!N12</f>
        <v>0</v>
      </c>
      <c r="P54" s="704">
        <f>+landbouw!O12</f>
        <v>0</v>
      </c>
      <c r="Q54" s="705">
        <f>+landbouw!P12</f>
        <v>0</v>
      </c>
      <c r="R54" s="732">
        <f ca="1">SUM(C54:Q54)</f>
        <v>1622.3915461298116</v>
      </c>
    </row>
    <row r="55" spans="1:18" ht="15" thickBot="1">
      <c r="A55" s="826" t="s">
        <v>864</v>
      </c>
      <c r="B55" s="836"/>
      <c r="C55" s="704">
        <f ca="1">C25*'EF ele_warmte'!B12</f>
        <v>522.98463131652625</v>
      </c>
      <c r="D55" s="704"/>
      <c r="E55" s="704">
        <f>E25*EF_CO2_aardgas</f>
        <v>1194.4020687608947</v>
      </c>
      <c r="F55" s="704"/>
      <c r="G55" s="704"/>
      <c r="H55" s="704"/>
      <c r="I55" s="704"/>
      <c r="J55" s="704"/>
      <c r="K55" s="704"/>
      <c r="L55" s="704"/>
      <c r="M55" s="704"/>
      <c r="N55" s="704"/>
      <c r="O55" s="704"/>
      <c r="P55" s="704"/>
      <c r="Q55" s="705"/>
      <c r="R55" s="732">
        <f ca="1">SUM(C55:Q55)</f>
        <v>1717.386700077421</v>
      </c>
    </row>
    <row r="56" spans="1:18" ht="15.75" thickBot="1">
      <c r="A56" s="824" t="s">
        <v>865</v>
      </c>
      <c r="B56" s="837"/>
      <c r="C56" s="733">
        <f ca="1">SUM(C54:C55)</f>
        <v>813.02633034520511</v>
      </c>
      <c r="D56" s="733">
        <f t="shared" ref="D56:Q56" ca="1" si="7">SUM(D54:D55)</f>
        <v>0</v>
      </c>
      <c r="E56" s="733">
        <f t="shared" si="7"/>
        <v>1472.2708406742945</v>
      </c>
      <c r="F56" s="733">
        <f t="shared" si="7"/>
        <v>3.0214029063161099</v>
      </c>
      <c r="G56" s="733">
        <f t="shared" si="7"/>
        <v>973.47030415276924</v>
      </c>
      <c r="H56" s="733">
        <f t="shared" si="7"/>
        <v>0</v>
      </c>
      <c r="I56" s="733">
        <f t="shared" si="7"/>
        <v>0</v>
      </c>
      <c r="J56" s="733">
        <f t="shared" si="7"/>
        <v>0</v>
      </c>
      <c r="K56" s="733">
        <f t="shared" si="7"/>
        <v>77.98936812864757</v>
      </c>
      <c r="L56" s="733">
        <f t="shared" si="7"/>
        <v>0</v>
      </c>
      <c r="M56" s="733">
        <f t="shared" si="7"/>
        <v>0</v>
      </c>
      <c r="N56" s="733">
        <f t="shared" si="7"/>
        <v>0</v>
      </c>
      <c r="O56" s="733">
        <f t="shared" si="7"/>
        <v>0</v>
      </c>
      <c r="P56" s="733">
        <f t="shared" si="7"/>
        <v>0</v>
      </c>
      <c r="Q56" s="734">
        <f t="shared" si="7"/>
        <v>0</v>
      </c>
      <c r="R56" s="735">
        <f ca="1">SUM(R54:R55)</f>
        <v>3339.7782462072328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80698.631071263575</v>
      </c>
      <c r="D61" s="741">
        <f t="shared" ref="D61:Q61" ca="1" si="8">D46+D52+D56</f>
        <v>0</v>
      </c>
      <c r="E61" s="741">
        <f t="shared" ca="1" si="8"/>
        <v>88434.437184486713</v>
      </c>
      <c r="F61" s="741">
        <f t="shared" si="8"/>
        <v>4448.8541121840344</v>
      </c>
      <c r="G61" s="741">
        <f t="shared" ca="1" si="8"/>
        <v>35384.317002987504</v>
      </c>
      <c r="H61" s="741">
        <f t="shared" si="8"/>
        <v>80591.87522712996</v>
      </c>
      <c r="I61" s="741">
        <f t="shared" si="8"/>
        <v>10425.78451109221</v>
      </c>
      <c r="J61" s="741">
        <f t="shared" si="8"/>
        <v>0</v>
      </c>
      <c r="K61" s="741">
        <f t="shared" si="8"/>
        <v>320.88821123946758</v>
      </c>
      <c r="L61" s="741">
        <f t="shared" si="8"/>
        <v>0</v>
      </c>
      <c r="M61" s="741">
        <f t="shared" ca="1" si="8"/>
        <v>0</v>
      </c>
      <c r="N61" s="741">
        <f t="shared" si="8"/>
        <v>0</v>
      </c>
      <c r="O61" s="741">
        <f t="shared" ca="1" si="8"/>
        <v>0</v>
      </c>
      <c r="P61" s="741">
        <f t="shared" si="8"/>
        <v>0</v>
      </c>
      <c r="Q61" s="741">
        <f t="shared" si="8"/>
        <v>0</v>
      </c>
      <c r="R61" s="741">
        <f ca="1">R46+R52+R56</f>
        <v>300304.78732038348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0.20183759867042861</v>
      </c>
      <c r="D63" s="782">
        <f t="shared" ca="1" si="9"/>
        <v>0</v>
      </c>
      <c r="E63" s="1036">
        <f t="shared" ca="1" si="9"/>
        <v>0.20199999999999999</v>
      </c>
      <c r="F63" s="782">
        <f t="shared" si="9"/>
        <v>0.22700000000000004</v>
      </c>
      <c r="G63" s="782">
        <f t="shared" ca="1" si="9"/>
        <v>0.26699999999999996</v>
      </c>
      <c r="H63" s="782">
        <f t="shared" si="9"/>
        <v>0.26700000000000007</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34667.438595027961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34667.438595027961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34667.438595027961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34667.438595027961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68622.346163037961</v>
      </c>
      <c r="C4" s="478">
        <f>huishoudens!C8</f>
        <v>0</v>
      </c>
      <c r="D4" s="478">
        <f>huishoudens!D8</f>
        <v>114655.14573817945</v>
      </c>
      <c r="E4" s="478">
        <f>huishoudens!E8</f>
        <v>5246.8813642351934</v>
      </c>
      <c r="F4" s="478">
        <f>huishoudens!F8</f>
        <v>62316.634182941365</v>
      </c>
      <c r="G4" s="478">
        <f>huishoudens!G8</f>
        <v>0</v>
      </c>
      <c r="H4" s="478">
        <f>huishoudens!H8</f>
        <v>0</v>
      </c>
      <c r="I4" s="478">
        <f>huishoudens!I8</f>
        <v>0</v>
      </c>
      <c r="J4" s="478">
        <f>huishoudens!J8</f>
        <v>0</v>
      </c>
      <c r="K4" s="478">
        <f>huishoudens!K8</f>
        <v>0</v>
      </c>
      <c r="L4" s="478">
        <f>huishoudens!L8</f>
        <v>0</v>
      </c>
      <c r="M4" s="478">
        <f>huishoudens!M8</f>
        <v>0</v>
      </c>
      <c r="N4" s="478">
        <f>huishoudens!N8</f>
        <v>22685.73265516659</v>
      </c>
      <c r="O4" s="478">
        <f>huishoudens!O8</f>
        <v>529.97</v>
      </c>
      <c r="P4" s="479">
        <f>huishoudens!P8</f>
        <v>877.06666666666661</v>
      </c>
      <c r="Q4" s="480">
        <f>SUM(B4:P4)</f>
        <v>274933.77677022718</v>
      </c>
    </row>
    <row r="5" spans="1:17">
      <c r="A5" s="477" t="s">
        <v>156</v>
      </c>
      <c r="B5" s="478">
        <f ca="1">tertiair!B16</f>
        <v>85929.114600000001</v>
      </c>
      <c r="C5" s="478">
        <f ca="1">tertiair!C16</f>
        <v>0</v>
      </c>
      <c r="D5" s="478">
        <f ca="1">tertiair!D16</f>
        <v>103585.82887692389</v>
      </c>
      <c r="E5" s="478">
        <f>tertiair!E16</f>
        <v>784.9293665923002</v>
      </c>
      <c r="F5" s="478">
        <f ca="1">tertiair!F16</f>
        <v>11798.805463041375</v>
      </c>
      <c r="G5" s="478">
        <f>tertiair!G16</f>
        <v>0</v>
      </c>
      <c r="H5" s="478">
        <f>tertiair!H16</f>
        <v>0</v>
      </c>
      <c r="I5" s="478">
        <f>tertiair!I16</f>
        <v>0</v>
      </c>
      <c r="J5" s="478">
        <f>tertiair!J16</f>
        <v>0</v>
      </c>
      <c r="K5" s="478">
        <f>tertiair!K16</f>
        <v>0</v>
      </c>
      <c r="L5" s="478">
        <f ca="1">tertiair!L16</f>
        <v>0</v>
      </c>
      <c r="M5" s="478">
        <f>tertiair!M16</f>
        <v>0</v>
      </c>
      <c r="N5" s="478">
        <f ca="1">tertiair!N16</f>
        <v>4287.5679280637833</v>
      </c>
      <c r="O5" s="478">
        <f>tertiair!O16</f>
        <v>7.8166666666666664</v>
      </c>
      <c r="P5" s="479">
        <f>tertiair!P16</f>
        <v>266.93333333333334</v>
      </c>
      <c r="Q5" s="477">
        <f t="shared" ref="Q5:Q14" ca="1" si="0">SUM(B5:P5)</f>
        <v>206660.99623462133</v>
      </c>
    </row>
    <row r="6" spans="1:17">
      <c r="A6" s="477" t="s">
        <v>194</v>
      </c>
      <c r="B6" s="478">
        <f>'openbare verlichting'!B8</f>
        <v>2878.154</v>
      </c>
      <c r="C6" s="478"/>
      <c r="D6" s="478"/>
      <c r="E6" s="478"/>
      <c r="F6" s="478"/>
      <c r="G6" s="478"/>
      <c r="H6" s="478"/>
      <c r="I6" s="478"/>
      <c r="J6" s="478"/>
      <c r="K6" s="478"/>
      <c r="L6" s="478"/>
      <c r="M6" s="478"/>
      <c r="N6" s="478"/>
      <c r="O6" s="478"/>
      <c r="P6" s="479"/>
      <c r="Q6" s="477">
        <f t="shared" si="0"/>
        <v>2878.154</v>
      </c>
    </row>
    <row r="7" spans="1:17">
      <c r="A7" s="477" t="s">
        <v>112</v>
      </c>
      <c r="B7" s="478">
        <f>landbouw!B8</f>
        <v>1437.0053</v>
      </c>
      <c r="C7" s="478">
        <f>landbouw!C8</f>
        <v>0</v>
      </c>
      <c r="D7" s="478">
        <f>landbouw!D8</f>
        <v>1375.5879797693051</v>
      </c>
      <c r="E7" s="478">
        <f>landbouw!E8</f>
        <v>13.310144961744976</v>
      </c>
      <c r="F7" s="478">
        <f>landbouw!F8</f>
        <v>3645.9561953287234</v>
      </c>
      <c r="G7" s="478">
        <f>landbouw!G8</f>
        <v>0</v>
      </c>
      <c r="H7" s="478">
        <f>landbouw!H8</f>
        <v>0</v>
      </c>
      <c r="I7" s="478">
        <f>landbouw!I8</f>
        <v>0</v>
      </c>
      <c r="J7" s="478">
        <f>landbouw!J8</f>
        <v>220.3089495159536</v>
      </c>
      <c r="K7" s="478">
        <f>landbouw!K8</f>
        <v>0</v>
      </c>
      <c r="L7" s="478">
        <f>landbouw!L8</f>
        <v>0</v>
      </c>
      <c r="M7" s="478">
        <f>landbouw!M8</f>
        <v>0</v>
      </c>
      <c r="N7" s="478">
        <f>landbouw!N8</f>
        <v>0</v>
      </c>
      <c r="O7" s="478">
        <f>landbouw!O8</f>
        <v>0</v>
      </c>
      <c r="P7" s="479">
        <f>landbouw!P8</f>
        <v>0</v>
      </c>
      <c r="Q7" s="477">
        <f t="shared" si="0"/>
        <v>6692.1685695757269</v>
      </c>
    </row>
    <row r="8" spans="1:17">
      <c r="A8" s="477" t="s">
        <v>650</v>
      </c>
      <c r="B8" s="478">
        <f>industrie!B18</f>
        <v>238320.04810000001</v>
      </c>
      <c r="C8" s="478">
        <f>industrie!C18</f>
        <v>0</v>
      </c>
      <c r="D8" s="478">
        <f>industrie!D18</f>
        <v>212157.02906366254</v>
      </c>
      <c r="E8" s="478">
        <f>industrie!E18</f>
        <v>12764.206463300878</v>
      </c>
      <c r="F8" s="478">
        <f>industrie!F18</f>
        <v>54764.136005083688</v>
      </c>
      <c r="G8" s="478">
        <f>industrie!G18</f>
        <v>0</v>
      </c>
      <c r="H8" s="478">
        <f>industrie!H18</f>
        <v>0</v>
      </c>
      <c r="I8" s="478">
        <f>industrie!I18</f>
        <v>0</v>
      </c>
      <c r="J8" s="478">
        <f>industrie!J18</f>
        <v>686.15492404186455</v>
      </c>
      <c r="K8" s="478">
        <f>industrie!K18</f>
        <v>0</v>
      </c>
      <c r="L8" s="478">
        <f>industrie!L18</f>
        <v>0</v>
      </c>
      <c r="M8" s="478">
        <f>industrie!M18</f>
        <v>0</v>
      </c>
      <c r="N8" s="478">
        <f>industrie!N18</f>
        <v>36420.142151318585</v>
      </c>
      <c r="O8" s="478">
        <f>industrie!O18</f>
        <v>0</v>
      </c>
      <c r="P8" s="479">
        <f>industrie!P18</f>
        <v>0</v>
      </c>
      <c r="Q8" s="477">
        <f t="shared" si="0"/>
        <v>555111.7167074075</v>
      </c>
    </row>
    <row r="9" spans="1:17" s="483" customFormat="1">
      <c r="A9" s="481" t="s">
        <v>571</v>
      </c>
      <c r="B9" s="482">
        <f>transport!B14</f>
        <v>41.831225037847219</v>
      </c>
      <c r="C9" s="482">
        <f>transport!C14</f>
        <v>0</v>
      </c>
      <c r="D9" s="482">
        <f>transport!D14</f>
        <v>107.77030050360919</v>
      </c>
      <c r="E9" s="482">
        <f>transport!E14</f>
        <v>789.14892603778503</v>
      </c>
      <c r="F9" s="482">
        <f>transport!F14</f>
        <v>0</v>
      </c>
      <c r="G9" s="482">
        <f>transport!G14</f>
        <v>299928.56345968007</v>
      </c>
      <c r="H9" s="482">
        <f>transport!H14</f>
        <v>41870.62052647474</v>
      </c>
      <c r="I9" s="482">
        <f>transport!I14</f>
        <v>0</v>
      </c>
      <c r="J9" s="482">
        <f>transport!J14</f>
        <v>0</v>
      </c>
      <c r="K9" s="482">
        <f>transport!K14</f>
        <v>0</v>
      </c>
      <c r="L9" s="482">
        <f>transport!L14</f>
        <v>0</v>
      </c>
      <c r="M9" s="482">
        <f>transport!M14</f>
        <v>18638.411234970979</v>
      </c>
      <c r="N9" s="482">
        <f>transport!N14</f>
        <v>0</v>
      </c>
      <c r="O9" s="482">
        <f>transport!O14</f>
        <v>0</v>
      </c>
      <c r="P9" s="482">
        <f>transport!P14</f>
        <v>0</v>
      </c>
      <c r="Q9" s="481">
        <f>SUM(B9:P9)</f>
        <v>361376.34567270498</v>
      </c>
    </row>
    <row r="10" spans="1:17">
      <c r="A10" s="477" t="s">
        <v>561</v>
      </c>
      <c r="B10" s="478">
        <f>transport!B54</f>
        <v>0</v>
      </c>
      <c r="C10" s="478">
        <f>transport!C54</f>
        <v>0</v>
      </c>
      <c r="D10" s="478">
        <f>transport!D54</f>
        <v>0</v>
      </c>
      <c r="E10" s="478">
        <f>transport!E54</f>
        <v>0</v>
      </c>
      <c r="F10" s="478">
        <f>transport!F54</f>
        <v>0</v>
      </c>
      <c r="G10" s="478">
        <f>transport!G54</f>
        <v>1913.6658554133644</v>
      </c>
      <c r="H10" s="478">
        <f>transport!H54</f>
        <v>0</v>
      </c>
      <c r="I10" s="478">
        <f>transport!I54</f>
        <v>0</v>
      </c>
      <c r="J10" s="478">
        <f>transport!J54</f>
        <v>0</v>
      </c>
      <c r="K10" s="478">
        <f>transport!K54</f>
        <v>0</v>
      </c>
      <c r="L10" s="478">
        <f>transport!L54</f>
        <v>0</v>
      </c>
      <c r="M10" s="478">
        <f>transport!M54</f>
        <v>109.13078509689905</v>
      </c>
      <c r="N10" s="478">
        <f>transport!N54</f>
        <v>0</v>
      </c>
      <c r="O10" s="478">
        <f>transport!O54</f>
        <v>0</v>
      </c>
      <c r="P10" s="479">
        <f>transport!P54</f>
        <v>0</v>
      </c>
      <c r="Q10" s="477">
        <f t="shared" si="0"/>
        <v>2022.7966405102634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2591.116</v>
      </c>
      <c r="C14" s="485"/>
      <c r="D14" s="485">
        <f>'SEAP template'!E25</f>
        <v>5912.8815285192804</v>
      </c>
      <c r="E14" s="485"/>
      <c r="F14" s="485"/>
      <c r="G14" s="485"/>
      <c r="H14" s="485"/>
      <c r="I14" s="485"/>
      <c r="J14" s="485"/>
      <c r="K14" s="485"/>
      <c r="L14" s="485"/>
      <c r="M14" s="485"/>
      <c r="N14" s="485"/>
      <c r="O14" s="485"/>
      <c r="P14" s="486"/>
      <c r="Q14" s="477">
        <f t="shared" si="0"/>
        <v>8503.9975285192813</v>
      </c>
    </row>
    <row r="15" spans="1:17" s="487" customFormat="1">
      <c r="A15" s="1051" t="s">
        <v>565</v>
      </c>
      <c r="B15" s="991">
        <f ca="1">SUM(B4:B14)</f>
        <v>399819.61538807582</v>
      </c>
      <c r="C15" s="991">
        <f t="shared" ref="C15:Q15" ca="1" si="1">SUM(C4:C14)</f>
        <v>0</v>
      </c>
      <c r="D15" s="991">
        <f t="shared" ca="1" si="1"/>
        <v>437794.24348755804</v>
      </c>
      <c r="E15" s="991">
        <f t="shared" si="1"/>
        <v>19598.476265127902</v>
      </c>
      <c r="F15" s="991">
        <f t="shared" ca="1" si="1"/>
        <v>132525.53184639514</v>
      </c>
      <c r="G15" s="991">
        <f t="shared" si="1"/>
        <v>301842.22931509343</v>
      </c>
      <c r="H15" s="991">
        <f t="shared" si="1"/>
        <v>41870.62052647474</v>
      </c>
      <c r="I15" s="991">
        <f t="shared" si="1"/>
        <v>0</v>
      </c>
      <c r="J15" s="991">
        <f t="shared" si="1"/>
        <v>906.46387355781815</v>
      </c>
      <c r="K15" s="991">
        <f t="shared" si="1"/>
        <v>0</v>
      </c>
      <c r="L15" s="991">
        <f t="shared" ca="1" si="1"/>
        <v>0</v>
      </c>
      <c r="M15" s="991">
        <f t="shared" si="1"/>
        <v>18747.542020067878</v>
      </c>
      <c r="N15" s="991">
        <f t="shared" ca="1" si="1"/>
        <v>63393.44273454896</v>
      </c>
      <c r="O15" s="991">
        <f t="shared" si="1"/>
        <v>537.78666666666675</v>
      </c>
      <c r="P15" s="991">
        <f t="shared" si="1"/>
        <v>1144</v>
      </c>
      <c r="Q15" s="991">
        <f t="shared" ca="1" si="1"/>
        <v>1418179.9521235661</v>
      </c>
    </row>
    <row r="17" spans="1:17">
      <c r="A17" s="488" t="s">
        <v>566</v>
      </c>
      <c r="B17" s="787">
        <f ca="1">huishoudens!B10</f>
        <v>0.20183759867042861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13850.569564678482</v>
      </c>
      <c r="C22" s="478">
        <f t="shared" ref="C22:C32" ca="1" si="3">C4*$C$17</f>
        <v>0</v>
      </c>
      <c r="D22" s="478">
        <f t="shared" ref="D22:D32" si="4">D4*$D$17</f>
        <v>23160.339439112249</v>
      </c>
      <c r="E22" s="478">
        <f t="shared" ref="E22:E32" si="5">E4*$E$17</f>
        <v>1191.042069681389</v>
      </c>
      <c r="F22" s="478">
        <f t="shared" ref="F22:F32" si="6">F4*$F$17</f>
        <v>16638.541326845345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54840.492400317467</v>
      </c>
    </row>
    <row r="23" spans="1:17">
      <c r="A23" s="477" t="s">
        <v>156</v>
      </c>
      <c r="B23" s="478">
        <f t="shared" ca="1" si="2"/>
        <v>17343.726146740068</v>
      </c>
      <c r="C23" s="478">
        <f t="shared" ca="1" si="3"/>
        <v>0</v>
      </c>
      <c r="D23" s="478">
        <f t="shared" ca="1" si="4"/>
        <v>20924.337433138626</v>
      </c>
      <c r="E23" s="478">
        <f t="shared" si="5"/>
        <v>178.17896621645215</v>
      </c>
      <c r="F23" s="478">
        <f t="shared" ca="1" si="6"/>
        <v>3150.2810586320475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41596.523604727197</v>
      </c>
    </row>
    <row r="24" spans="1:17">
      <c r="A24" s="477" t="s">
        <v>194</v>
      </c>
      <c r="B24" s="478">
        <f t="shared" ca="1" si="2"/>
        <v>580.91969196368882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580.91969196368882</v>
      </c>
    </row>
    <row r="25" spans="1:17">
      <c r="A25" s="477" t="s">
        <v>112</v>
      </c>
      <c r="B25" s="478">
        <f t="shared" ca="1" si="2"/>
        <v>290.04169902867886</v>
      </c>
      <c r="C25" s="478">
        <f t="shared" ca="1" si="3"/>
        <v>0</v>
      </c>
      <c r="D25" s="478">
        <f t="shared" si="4"/>
        <v>277.86877191339966</v>
      </c>
      <c r="E25" s="478">
        <f t="shared" si="5"/>
        <v>3.0214029063161099</v>
      </c>
      <c r="F25" s="478">
        <f t="shared" si="6"/>
        <v>973.47030415276924</v>
      </c>
      <c r="G25" s="478">
        <f t="shared" si="7"/>
        <v>0</v>
      </c>
      <c r="H25" s="478">
        <f t="shared" si="8"/>
        <v>0</v>
      </c>
      <c r="I25" s="478">
        <f t="shared" si="9"/>
        <v>0</v>
      </c>
      <c r="J25" s="478">
        <f t="shared" si="10"/>
        <v>77.98936812864757</v>
      </c>
      <c r="K25" s="478">
        <f t="shared" si="11"/>
        <v>0</v>
      </c>
      <c r="L25" s="478">
        <f t="shared" si="12"/>
        <v>0</v>
      </c>
      <c r="M25" s="478">
        <f t="shared" si="13"/>
        <v>0</v>
      </c>
      <c r="N25" s="478">
        <f t="shared" si="14"/>
        <v>0</v>
      </c>
      <c r="O25" s="478">
        <f t="shared" si="15"/>
        <v>0</v>
      </c>
      <c r="P25" s="479">
        <f t="shared" si="16"/>
        <v>0</v>
      </c>
      <c r="Q25" s="477">
        <f t="shared" ca="1" si="17"/>
        <v>1622.3915461298116</v>
      </c>
    </row>
    <row r="26" spans="1:17">
      <c r="A26" s="477" t="s">
        <v>650</v>
      </c>
      <c r="B26" s="478">
        <f t="shared" ca="1" si="2"/>
        <v>48101.946223525047</v>
      </c>
      <c r="C26" s="478">
        <f t="shared" ca="1" si="3"/>
        <v>0</v>
      </c>
      <c r="D26" s="478">
        <f t="shared" si="4"/>
        <v>42855.719870859837</v>
      </c>
      <c r="E26" s="478">
        <f t="shared" si="5"/>
        <v>2897.4748671692992</v>
      </c>
      <c r="F26" s="478">
        <f t="shared" si="6"/>
        <v>14622.024313357346</v>
      </c>
      <c r="G26" s="478">
        <f t="shared" si="7"/>
        <v>0</v>
      </c>
      <c r="H26" s="478">
        <f t="shared" si="8"/>
        <v>0</v>
      </c>
      <c r="I26" s="478">
        <f t="shared" si="9"/>
        <v>0</v>
      </c>
      <c r="J26" s="478">
        <f t="shared" si="10"/>
        <v>242.89884311082002</v>
      </c>
      <c r="K26" s="478">
        <f t="shared" si="11"/>
        <v>0</v>
      </c>
      <c r="L26" s="478">
        <f t="shared" si="12"/>
        <v>0</v>
      </c>
      <c r="M26" s="478">
        <f t="shared" si="13"/>
        <v>0</v>
      </c>
      <c r="N26" s="478">
        <f t="shared" si="14"/>
        <v>0</v>
      </c>
      <c r="O26" s="478">
        <f t="shared" si="15"/>
        <v>0</v>
      </c>
      <c r="P26" s="479">
        <f t="shared" si="16"/>
        <v>0</v>
      </c>
      <c r="Q26" s="477">
        <f t="shared" ca="1" si="17"/>
        <v>108720.06411802235</v>
      </c>
    </row>
    <row r="27" spans="1:17" s="483" customFormat="1">
      <c r="A27" s="481" t="s">
        <v>571</v>
      </c>
      <c r="B27" s="781">
        <f t="shared" ca="1" si="2"/>
        <v>8.4431140110813914</v>
      </c>
      <c r="C27" s="482">
        <f t="shared" ca="1" si="3"/>
        <v>0</v>
      </c>
      <c r="D27" s="482">
        <f t="shared" si="4"/>
        <v>21.769600701729058</v>
      </c>
      <c r="E27" s="482">
        <f t="shared" si="5"/>
        <v>179.13680621057722</v>
      </c>
      <c r="F27" s="482">
        <f t="shared" si="6"/>
        <v>0</v>
      </c>
      <c r="G27" s="482">
        <f t="shared" si="7"/>
        <v>80080.926443734585</v>
      </c>
      <c r="H27" s="482">
        <f t="shared" si="8"/>
        <v>10425.78451109221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90716.060475750171</v>
      </c>
    </row>
    <row r="28" spans="1:17">
      <c r="A28" s="477" t="s">
        <v>561</v>
      </c>
      <c r="B28" s="478">
        <f t="shared" ca="1" si="2"/>
        <v>0</v>
      </c>
      <c r="C28" s="478">
        <f t="shared" ca="1" si="3"/>
        <v>0</v>
      </c>
      <c r="D28" s="478">
        <f t="shared" si="4"/>
        <v>0</v>
      </c>
      <c r="E28" s="478">
        <f t="shared" si="5"/>
        <v>0</v>
      </c>
      <c r="F28" s="478">
        <f t="shared" si="6"/>
        <v>0</v>
      </c>
      <c r="G28" s="478">
        <f t="shared" si="7"/>
        <v>510.94878339536831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510.94878339536831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522.98463131652625</v>
      </c>
      <c r="C32" s="478">
        <f t="shared" ca="1" si="3"/>
        <v>0</v>
      </c>
      <c r="D32" s="478">
        <f t="shared" si="4"/>
        <v>1194.4020687608947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1717.386700077421</v>
      </c>
    </row>
    <row r="33" spans="1:17" s="487" customFormat="1">
      <c r="A33" s="1051" t="s">
        <v>565</v>
      </c>
      <c r="B33" s="991">
        <f ca="1">SUM(B22:B32)</f>
        <v>80698.631071263575</v>
      </c>
      <c r="C33" s="991">
        <f t="shared" ref="C33:Q33" ca="1" si="18">SUM(C22:C32)</f>
        <v>0</v>
      </c>
      <c r="D33" s="991">
        <f t="shared" ca="1" si="18"/>
        <v>88434.437184486727</v>
      </c>
      <c r="E33" s="991">
        <f t="shared" si="18"/>
        <v>4448.8541121840335</v>
      </c>
      <c r="F33" s="991">
        <f t="shared" ca="1" si="18"/>
        <v>35384.317002987504</v>
      </c>
      <c r="G33" s="991">
        <f t="shared" si="18"/>
        <v>80591.87522712996</v>
      </c>
      <c r="H33" s="991">
        <f t="shared" si="18"/>
        <v>10425.78451109221</v>
      </c>
      <c r="I33" s="991">
        <f t="shared" si="18"/>
        <v>0</v>
      </c>
      <c r="J33" s="991">
        <f t="shared" si="18"/>
        <v>320.88821123946758</v>
      </c>
      <c r="K33" s="991">
        <f t="shared" si="18"/>
        <v>0</v>
      </c>
      <c r="L33" s="991">
        <f t="shared" ca="1" si="18"/>
        <v>0</v>
      </c>
      <c r="M33" s="991">
        <f t="shared" si="18"/>
        <v>0</v>
      </c>
      <c r="N33" s="991">
        <f t="shared" ca="1" si="18"/>
        <v>0</v>
      </c>
      <c r="O33" s="991">
        <f t="shared" si="18"/>
        <v>0</v>
      </c>
      <c r="P33" s="991">
        <f t="shared" si="18"/>
        <v>0</v>
      </c>
      <c r="Q33" s="991">
        <f t="shared" ca="1" si="18"/>
        <v>300304.78732038348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34667.438595027961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34667.438595027961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0.20183759867042861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0.20183759867042861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2019-08-12T08:08:43Z</dcterms:modified>
</cp:coreProperties>
</file>